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3.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5.xml" ContentType="application/vnd.openxmlformats-officedocument.spreadsheetml.externalLink+xml"/>
  <Override PartName="/xl/comments2.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3.xml" ContentType="application/vnd.openxmlformats-officedocument.spreadsheetml.comments+xml"/>
  <Override PartName="/xl/externalLinks/externalLink6.xml" ContentType="application/vnd.openxmlformats-officedocument.spreadsheetml.externalLink+xml"/>
  <Override PartName="/xl/externalLinks/externalLink4.xml" ContentType="application/vnd.openxmlformats-officedocument.spreadsheetml.externalLink+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mc:AlternateContent xmlns:mc="http://schemas.openxmlformats.org/markup-compatibility/2006">
    <mc:Choice Requires="x15">
      <x15ac:absPath xmlns:x15ac="http://schemas.microsoft.com/office/spreadsheetml/2010/11/ac" url="Z:\Gasto-Programas-No-Contributivos\DIA-2018\Excels por armonizar -Alvaro\"/>
    </mc:Choice>
  </mc:AlternateContent>
  <bookViews>
    <workbookView xWindow="0" yWindow="0" windowWidth="23040" windowHeight="9636" tabRatio="855" activeTab="15" xr2:uid="{00000000-000D-0000-FFFF-FFFF00000000}"/>
  </bookViews>
  <sheets>
    <sheet name="Argentina" sheetId="20" r:id="rId1"/>
    <sheet name="Colombia" sheetId="8" r:id="rId2"/>
    <sheet name="Mexico" sheetId="21" r:id="rId3"/>
    <sheet name="Peru" sheetId="11" r:id="rId4"/>
    <sheet name="Uruguay" sheetId="12" r:id="rId5"/>
    <sheet name="Brazil" sheetId="6" r:id="rId6"/>
    <sheet name="Bolivia" sheetId="4" r:id="rId7"/>
    <sheet name="Chile" sheetId="7" r:id="rId8"/>
    <sheet name="Costa Rica" sheetId="16" r:id="rId9"/>
    <sheet name="Ecuador" sheetId="17" r:id="rId10"/>
    <sheet name="El Salvador" sheetId="9" r:id="rId11"/>
    <sheet name="Guatemala" sheetId="15" r:id="rId12"/>
    <sheet name="Honduras" sheetId="18" r:id="rId13"/>
    <sheet name="Jamaica" sheetId="14" r:id="rId14"/>
    <sheet name="Nicaragua" sheetId="10" r:id="rId15"/>
    <sheet name="Paraguay" sheetId="19" r:id="rId16"/>
  </sheets>
  <externalReferences>
    <externalReference r:id="rId17"/>
    <externalReference r:id="rId18"/>
    <externalReference r:id="rId19"/>
    <externalReference r:id="rId20"/>
    <externalReference r:id="rId21"/>
    <externalReference r:id="rId22"/>
  </externalReferences>
  <definedNames>
    <definedName name="\a">#N/A</definedName>
    <definedName name="_01">[1]Mensual!$A$1:$AQ$2</definedName>
    <definedName name="_Key1" localSheetId="0" hidden="1">#REF!</definedName>
    <definedName name="_Key1" hidden="1">#REF!</definedName>
    <definedName name="_Order1" hidden="1">255</definedName>
    <definedName name="_Regression_Int" hidden="1">1</definedName>
    <definedName name="_Sort" localSheetId="0" hidden="1">#REF!</definedName>
    <definedName name="_Sort" hidden="1">#REF!</definedName>
    <definedName name="_sort1" localSheetId="0" hidden="1">#REF!</definedName>
    <definedName name="_sort1" hidden="1">#REF!</definedName>
    <definedName name="A" localSheetId="0" hidden="1">#REF!</definedName>
    <definedName name="A" hidden="1">#REF!</definedName>
    <definedName name="aj">[2]aj!$A$1:$AW$25</definedName>
    <definedName name="bb" localSheetId="0" hidden="1">#REF!</definedName>
    <definedName name="bb" hidden="1">#REF!</definedName>
    <definedName name="bbb" localSheetId="0" hidden="1">#REF!</definedName>
    <definedName name="bbb" hidden="1">#REF!</definedName>
    <definedName name="CUAD.0">#N/A</definedName>
    <definedName name="CUAD.0CONT">#N/A</definedName>
    <definedName name="CUAD.1">#N/A</definedName>
    <definedName name="CUAD.1CONT">#N/A</definedName>
    <definedName name="CUAD.2">#N/A</definedName>
    <definedName name="CUAD.2CONT">#N/A</definedName>
    <definedName name="graphgastosoc" localSheetId="0" hidden="1">#REF!</definedName>
    <definedName name="graphgastosoc" hidden="1">#REF!</definedName>
    <definedName name="hhj" localSheetId="0" hidden="1">#REF!</definedName>
    <definedName name="hhj" hidden="1">#REF!</definedName>
    <definedName name="inf" localSheetId="0">#REF!</definedName>
    <definedName name="inf">#REF!</definedName>
    <definedName name="jam" localSheetId="0" hidden="1">#REF!</definedName>
    <definedName name="jam" hidden="1">#REF!</definedName>
    <definedName name="JJ" localSheetId="0" hidden="1">#REF!</definedName>
    <definedName name="JJ" hidden="1">#REF!</definedName>
    <definedName name="Juan" localSheetId="0" hidden="1">#REF!</definedName>
    <definedName name="Juan" hidden="1">#REF!</definedName>
    <definedName name="kilo" localSheetId="0" hidden="1">#REF!</definedName>
    <definedName name="kilo" hidden="1">#REF!</definedName>
    <definedName name="man" localSheetId="0" hidden="1">#REF!</definedName>
    <definedName name="man" hidden="1">#REF!</definedName>
    <definedName name="mann" localSheetId="0" hidden="1">#REF!</definedName>
    <definedName name="mann" hidden="1">#REF!</definedName>
    <definedName name="mas" localSheetId="0" hidden="1">#REF!</definedName>
    <definedName name="mas" hidden="1">#REF!</definedName>
    <definedName name="sda">[3]sda!$A$1:$AW$25</definedName>
    <definedName name="Títulos_a_imprimir_IM" localSheetId="10">'[4]SAN LUIS'!$A$102:$IV$107,'[4]SAN LUIS'!$A$1:$A$65536</definedName>
    <definedName name="Títulos_a_imprimir_IM">'[5]SAN LUIS'!$A$102:$IV$107,'[5]SAN LUIS'!$A$1:$A$65536</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 i="14" l="1"/>
  <c r="F39" i="14"/>
  <c r="E39" i="14"/>
  <c r="D39" i="14"/>
  <c r="C39" i="14"/>
  <c r="B39" i="14"/>
  <c r="G17" i="14"/>
  <c r="E17" i="14"/>
  <c r="D17" i="14"/>
  <c r="C17" i="14"/>
  <c r="B17" i="14"/>
  <c r="F17" i="14"/>
  <c r="X38" i="9" l="1"/>
  <c r="W38" i="9"/>
  <c r="V38" i="9"/>
  <c r="U38" i="9"/>
  <c r="S38" i="9"/>
  <c r="R38" i="9"/>
  <c r="Q38" i="9"/>
  <c r="P38" i="9"/>
  <c r="O38" i="9"/>
  <c r="N38" i="9"/>
  <c r="M38" i="9"/>
  <c r="L38" i="9"/>
  <c r="K38" i="9"/>
  <c r="J38" i="9"/>
  <c r="I38" i="9"/>
  <c r="H38" i="9"/>
  <c r="G38" i="9"/>
  <c r="F38" i="9"/>
  <c r="E38" i="9"/>
  <c r="D38" i="9"/>
  <c r="C38" i="9"/>
  <c r="B38" i="9"/>
  <c r="T38" i="9"/>
  <c r="G17" i="16" l="1"/>
  <c r="E17" i="16"/>
  <c r="D17" i="16"/>
  <c r="C17" i="16"/>
  <c r="B17" i="16"/>
  <c r="F17" i="16"/>
  <c r="G20" i="16" l="1"/>
  <c r="F20" i="16"/>
  <c r="E20" i="16"/>
  <c r="D20" i="16"/>
  <c r="C20" i="16"/>
  <c r="G19" i="16"/>
  <c r="F19" i="16"/>
  <c r="E19" i="16"/>
  <c r="D19" i="16"/>
  <c r="C19" i="16"/>
  <c r="G18" i="16"/>
  <c r="F18" i="16"/>
  <c r="E18" i="16"/>
  <c r="D18" i="16"/>
  <c r="C18" i="16"/>
  <c r="B20" i="16"/>
  <c r="B19" i="16"/>
  <c r="B18" i="16"/>
  <c r="O98" i="10" l="1"/>
  <c r="N98" i="10"/>
  <c r="M98" i="10"/>
  <c r="L98" i="10"/>
  <c r="K98" i="10"/>
  <c r="J98" i="10"/>
  <c r="I98" i="10"/>
  <c r="H98" i="10"/>
  <c r="G98" i="10"/>
  <c r="F98" i="10"/>
  <c r="E98" i="10"/>
  <c r="D98" i="10"/>
  <c r="C98" i="10"/>
  <c r="B98" i="10"/>
  <c r="P98" i="10"/>
  <c r="O46" i="10"/>
  <c r="N46" i="10"/>
  <c r="M46" i="10"/>
  <c r="L46" i="10"/>
  <c r="K46" i="10"/>
  <c r="J46" i="10"/>
  <c r="I46" i="10"/>
  <c r="H46" i="10"/>
  <c r="G46" i="10"/>
  <c r="F46" i="10"/>
  <c r="E46" i="10"/>
  <c r="D46" i="10"/>
  <c r="C46" i="10"/>
  <c r="B46" i="10"/>
  <c r="P46" i="10"/>
  <c r="B47" i="10" l="1"/>
  <c r="B60" i="14" l="1"/>
  <c r="W38" i="6" l="1"/>
  <c r="W41" i="6" s="1"/>
  <c r="V38" i="6"/>
  <c r="V41" i="6" s="1"/>
  <c r="V26" i="6"/>
  <c r="W26" i="6" s="1"/>
  <c r="V16" i="6"/>
  <c r="U16" i="6"/>
  <c r="T16" i="6"/>
  <c r="S16" i="6"/>
  <c r="R16" i="6"/>
  <c r="Q16" i="6"/>
  <c r="P16" i="6"/>
  <c r="O16" i="6"/>
  <c r="N16" i="6"/>
  <c r="M16" i="6"/>
  <c r="L16" i="6"/>
  <c r="K16" i="6"/>
  <c r="J16" i="6"/>
  <c r="I16" i="6"/>
  <c r="H16" i="6"/>
  <c r="G16" i="6"/>
  <c r="F16" i="6"/>
  <c r="E16" i="6"/>
  <c r="D16" i="6"/>
  <c r="C16" i="6"/>
  <c r="B16" i="6"/>
  <c r="W16" i="6"/>
  <c r="V40" i="6" l="1"/>
  <c r="V42" i="6"/>
  <c r="V43" i="6" s="1"/>
  <c r="W40" i="6"/>
  <c r="W42" i="6"/>
  <c r="W43" i="6" s="1"/>
  <c r="V39" i="6"/>
  <c r="W39" i="6"/>
  <c r="W44" i="6" l="1"/>
  <c r="V44" i="6"/>
  <c r="W20" i="6"/>
  <c r="V20" i="6"/>
  <c r="U20" i="6"/>
  <c r="T20" i="6"/>
  <c r="S20" i="6"/>
  <c r="R20" i="6"/>
  <c r="Q20" i="6"/>
  <c r="P20" i="6"/>
  <c r="O20" i="6"/>
  <c r="N20" i="6"/>
  <c r="M20" i="6"/>
  <c r="L20" i="6"/>
  <c r="K20" i="6"/>
  <c r="J20" i="6"/>
  <c r="I20" i="6"/>
  <c r="H20" i="6"/>
  <c r="G20" i="6"/>
  <c r="F20" i="6"/>
  <c r="E20" i="6"/>
  <c r="D20" i="6"/>
  <c r="C20" i="6"/>
  <c r="B20" i="6"/>
  <c r="R36" i="4" l="1"/>
  <c r="R15" i="4"/>
  <c r="R39" i="4" l="1"/>
  <c r="U4" i="12"/>
  <c r="T4" i="12" s="1"/>
  <c r="S4" i="12" s="1"/>
  <c r="R4" i="12" s="1"/>
  <c r="Q4" i="12" s="1"/>
  <c r="P4" i="12" s="1"/>
  <c r="O4" i="12" s="1"/>
  <c r="N4" i="12" s="1"/>
  <c r="M4" i="12" s="1"/>
  <c r="L4" i="12" s="1"/>
  <c r="K4" i="12" s="1"/>
  <c r="J4" i="12" s="1"/>
  <c r="I4" i="12" s="1"/>
  <c r="H4" i="12" s="1"/>
  <c r="G4" i="12" s="1"/>
  <c r="F4" i="12" s="1"/>
  <c r="E4" i="12" s="1"/>
  <c r="D4" i="12" s="1"/>
  <c r="C4" i="12" s="1"/>
  <c r="B4" i="12" s="1"/>
  <c r="Q49" i="21" l="1"/>
  <c r="R49" i="21"/>
  <c r="S49" i="21"/>
  <c r="T49" i="21"/>
  <c r="U49" i="21"/>
  <c r="V49" i="21"/>
  <c r="V53" i="21"/>
  <c r="U53" i="21"/>
  <c r="T53" i="21"/>
  <c r="S53" i="21"/>
  <c r="R53" i="21"/>
  <c r="Q53" i="21"/>
  <c r="V52" i="21"/>
  <c r="U52" i="21"/>
  <c r="T52" i="21"/>
  <c r="S52" i="21"/>
  <c r="R52" i="21"/>
  <c r="Q52" i="21"/>
  <c r="V51" i="21"/>
  <c r="U51" i="21"/>
  <c r="T51" i="21"/>
  <c r="S51" i="21"/>
  <c r="R51" i="21"/>
  <c r="Q51" i="21"/>
  <c r="V50" i="21"/>
  <c r="U50" i="21"/>
  <c r="T50" i="21"/>
  <c r="S50" i="21"/>
  <c r="R50" i="21"/>
  <c r="Q50" i="21"/>
  <c r="V48" i="21"/>
  <c r="U48" i="21"/>
  <c r="T48" i="21"/>
  <c r="S48" i="21"/>
  <c r="R48" i="21"/>
  <c r="Q48" i="21"/>
  <c r="P48" i="21"/>
  <c r="O48" i="21"/>
  <c r="N48" i="21"/>
  <c r="M48" i="21"/>
  <c r="L48" i="21"/>
  <c r="K48" i="21"/>
  <c r="J48" i="21"/>
  <c r="I48" i="21"/>
  <c r="W27" i="21"/>
  <c r="H27" i="21"/>
  <c r="G27" i="21"/>
  <c r="G33" i="21" s="1"/>
  <c r="F27" i="21"/>
  <c r="F33" i="21" s="1"/>
  <c r="E27" i="21"/>
  <c r="D27" i="21"/>
  <c r="C27" i="21"/>
  <c r="C33" i="21" s="1"/>
  <c r="B27" i="21"/>
  <c r="B33" i="21" s="1"/>
  <c r="V26" i="21"/>
  <c r="U26" i="21"/>
  <c r="T26" i="21"/>
  <c r="S26" i="21"/>
  <c r="R26" i="21"/>
  <c r="Q26" i="21"/>
  <c r="P26" i="21"/>
  <c r="O26" i="21"/>
  <c r="N26" i="21"/>
  <c r="M26" i="21"/>
  <c r="L26" i="21"/>
  <c r="K26" i="21"/>
  <c r="J26" i="21"/>
  <c r="I26" i="21"/>
  <c r="V25" i="21"/>
  <c r="U25" i="21"/>
  <c r="T25" i="21"/>
  <c r="S25" i="21"/>
  <c r="R25" i="21"/>
  <c r="Q25" i="21"/>
  <c r="P25" i="21"/>
  <c r="O25" i="21"/>
  <c r="N25" i="21"/>
  <c r="V23" i="21"/>
  <c r="U23" i="21"/>
  <c r="T23" i="21"/>
  <c r="V22" i="21"/>
  <c r="U22" i="21"/>
  <c r="T22" i="21"/>
  <c r="S22" i="21"/>
  <c r="R22" i="21"/>
  <c r="Q22" i="21"/>
  <c r="P22" i="21"/>
  <c r="O22" i="21"/>
  <c r="N22" i="21"/>
  <c r="M22" i="21"/>
  <c r="L22" i="21"/>
  <c r="K22" i="21"/>
  <c r="J22" i="21"/>
  <c r="I22" i="21"/>
  <c r="V21" i="21"/>
  <c r="U21" i="21"/>
  <c r="T21" i="21"/>
  <c r="S21" i="21"/>
  <c r="R21" i="21"/>
  <c r="Q21" i="21"/>
  <c r="P21" i="21"/>
  <c r="O21" i="21"/>
  <c r="N21" i="21"/>
  <c r="J19" i="21"/>
  <c r="I19" i="21"/>
  <c r="V18" i="21"/>
  <c r="U18" i="21"/>
  <c r="T18" i="21"/>
  <c r="S18" i="21"/>
  <c r="R18" i="21"/>
  <c r="Q18" i="21"/>
  <c r="P18" i="21"/>
  <c r="O18" i="21"/>
  <c r="N18" i="21"/>
  <c r="M18" i="21"/>
  <c r="V17" i="21"/>
  <c r="U17" i="21"/>
  <c r="T17" i="21"/>
  <c r="S17" i="21"/>
  <c r="R17" i="21"/>
  <c r="Q17" i="21"/>
  <c r="P17" i="21"/>
  <c r="O17" i="21"/>
  <c r="N17" i="21"/>
  <c r="M17" i="21"/>
  <c r="L17" i="21"/>
  <c r="K17" i="21"/>
  <c r="J17" i="21"/>
  <c r="V16" i="21"/>
  <c r="U16" i="21"/>
  <c r="T16" i="21"/>
  <c r="S16" i="21"/>
  <c r="R16" i="21"/>
  <c r="Q16" i="21"/>
  <c r="P16" i="21"/>
  <c r="O16" i="21"/>
  <c r="N16" i="21"/>
  <c r="M16" i="21"/>
  <c r="L16" i="21"/>
  <c r="K16" i="21"/>
  <c r="J16" i="21"/>
  <c r="I16" i="21"/>
  <c r="V14" i="21"/>
  <c r="U14" i="21"/>
  <c r="T14" i="21"/>
  <c r="S14" i="21"/>
  <c r="R14" i="21"/>
  <c r="Q14" i="21"/>
  <c r="P14" i="21"/>
  <c r="O14" i="21"/>
  <c r="N14" i="21"/>
  <c r="M14" i="21"/>
  <c r="L14" i="21"/>
  <c r="K14" i="21"/>
  <c r="J14" i="21"/>
  <c r="I14" i="21"/>
  <c r="V13" i="21"/>
  <c r="U13" i="21"/>
  <c r="T13" i="21"/>
  <c r="S13" i="21"/>
  <c r="R13" i="21"/>
  <c r="Q13" i="21"/>
  <c r="P13" i="21"/>
  <c r="O13" i="21"/>
  <c r="N13" i="21"/>
  <c r="V12" i="21"/>
  <c r="U12" i="21"/>
  <c r="T12" i="21"/>
  <c r="S12" i="21"/>
  <c r="R12" i="21"/>
  <c r="Q12" i="21"/>
  <c r="P12" i="21"/>
  <c r="O12" i="21"/>
  <c r="N12" i="21"/>
  <c r="M12" i="21"/>
  <c r="L12" i="21"/>
  <c r="K12" i="21"/>
  <c r="J12" i="21"/>
  <c r="I12" i="21"/>
  <c r="V11" i="21"/>
  <c r="U11" i="21"/>
  <c r="T11" i="21"/>
  <c r="S11" i="21"/>
  <c r="R11" i="21"/>
  <c r="Q11" i="21"/>
  <c r="P11" i="21"/>
  <c r="O11" i="21"/>
  <c r="N11" i="21"/>
  <c r="M11" i="21"/>
  <c r="L11" i="21"/>
  <c r="K11" i="21"/>
  <c r="J11" i="21"/>
  <c r="I11" i="21"/>
  <c r="V9" i="21"/>
  <c r="U9" i="21"/>
  <c r="T9" i="21"/>
  <c r="S9" i="21"/>
  <c r="R9" i="21"/>
  <c r="Q9" i="21"/>
  <c r="P9" i="21"/>
  <c r="O9" i="21"/>
  <c r="N9" i="21"/>
  <c r="M9" i="21"/>
  <c r="L9" i="21"/>
  <c r="K9" i="21"/>
  <c r="J9" i="21"/>
  <c r="I9" i="21"/>
  <c r="V8" i="21"/>
  <c r="U8" i="21"/>
  <c r="T8" i="21"/>
  <c r="S8" i="21"/>
  <c r="R8" i="21"/>
  <c r="Q8" i="21"/>
  <c r="P8" i="21"/>
  <c r="O8" i="21"/>
  <c r="N8" i="21"/>
  <c r="M8" i="21"/>
  <c r="L8" i="21"/>
  <c r="K8" i="21"/>
  <c r="J8" i="21"/>
  <c r="I8" i="21"/>
  <c r="V7" i="21"/>
  <c r="U7" i="21"/>
  <c r="T7" i="21"/>
  <c r="S7" i="21"/>
  <c r="R7" i="21"/>
  <c r="Q7" i="21"/>
  <c r="P7" i="21"/>
  <c r="O7" i="21"/>
  <c r="N7" i="21"/>
  <c r="M7" i="21"/>
  <c r="L7" i="21"/>
  <c r="K7" i="21"/>
  <c r="J7" i="21"/>
  <c r="I7" i="21"/>
  <c r="D29" i="21" l="1"/>
  <c r="D33" i="21"/>
  <c r="H28" i="21"/>
  <c r="H34" i="21" s="1"/>
  <c r="H33" i="21"/>
  <c r="E35" i="21"/>
  <c r="E39" i="21" s="1"/>
  <c r="E33" i="21"/>
  <c r="W33" i="21"/>
  <c r="W29" i="21"/>
  <c r="W31" i="21"/>
  <c r="W35" i="21"/>
  <c r="B28" i="21"/>
  <c r="B34" i="21" s="1"/>
  <c r="E29" i="21"/>
  <c r="E28" i="21"/>
  <c r="E34" i="21" s="1"/>
  <c r="E31" i="21"/>
  <c r="J27" i="21"/>
  <c r="J33" i="21" s="1"/>
  <c r="N27" i="21"/>
  <c r="N33" i="21" s="1"/>
  <c r="R27" i="21"/>
  <c r="R33" i="21" s="1"/>
  <c r="V27" i="21"/>
  <c r="V33" i="21" s="1"/>
  <c r="P27" i="21"/>
  <c r="P33" i="21" s="1"/>
  <c r="L27" i="21"/>
  <c r="L33" i="21" s="1"/>
  <c r="T27" i="21"/>
  <c r="T33" i="21" s="1"/>
  <c r="I27" i="21"/>
  <c r="I33" i="21" s="1"/>
  <c r="M27" i="21"/>
  <c r="M33" i="21" s="1"/>
  <c r="Q27" i="21"/>
  <c r="Q33" i="21" s="1"/>
  <c r="U27" i="21"/>
  <c r="U33" i="21" s="1"/>
  <c r="H32" i="21"/>
  <c r="B31" i="21"/>
  <c r="B29" i="21"/>
  <c r="B35" i="21"/>
  <c r="F31" i="21"/>
  <c r="F29" i="21"/>
  <c r="F35" i="21"/>
  <c r="D28" i="21"/>
  <c r="D34" i="21" s="1"/>
  <c r="K27" i="21"/>
  <c r="K33" i="21" s="1"/>
  <c r="O27" i="21"/>
  <c r="O33" i="21" s="1"/>
  <c r="S27" i="21"/>
  <c r="S33" i="21" s="1"/>
  <c r="D35" i="21"/>
  <c r="D31" i="21"/>
  <c r="H35" i="21"/>
  <c r="H31" i="21"/>
  <c r="F28" i="21"/>
  <c r="F34" i="21" s="1"/>
  <c r="H29" i="21"/>
  <c r="C35" i="21"/>
  <c r="G35" i="21"/>
  <c r="C28" i="21"/>
  <c r="C34" i="21" s="1"/>
  <c r="G28" i="21"/>
  <c r="G34" i="21" s="1"/>
  <c r="W28" i="21"/>
  <c r="C29" i="21"/>
  <c r="G29" i="21"/>
  <c r="C31" i="21"/>
  <c r="G31" i="21"/>
  <c r="H36" i="21" l="1"/>
  <c r="B30" i="21"/>
  <c r="H30" i="21"/>
  <c r="E37" i="21"/>
  <c r="W39" i="21"/>
  <c r="W37" i="21"/>
  <c r="W32" i="21"/>
  <c r="W34" i="21"/>
  <c r="W30" i="21"/>
  <c r="S35" i="21"/>
  <c r="S39" i="21" s="1"/>
  <c r="Q35" i="21"/>
  <c r="Q39" i="21" s="1"/>
  <c r="W36" i="21"/>
  <c r="I28" i="21"/>
  <c r="I34" i="21" s="1"/>
  <c r="V35" i="21"/>
  <c r="V39" i="21" s="1"/>
  <c r="U35" i="21"/>
  <c r="U39" i="21" s="1"/>
  <c r="T28" i="21"/>
  <c r="T34" i="21" s="1"/>
  <c r="T35" i="21"/>
  <c r="T39" i="21" s="1"/>
  <c r="R35" i="21"/>
  <c r="R39" i="21" s="1"/>
  <c r="B32" i="21"/>
  <c r="B36" i="21"/>
  <c r="B40" i="21" s="1"/>
  <c r="U28" i="21"/>
  <c r="U34" i="21" s="1"/>
  <c r="N28" i="21"/>
  <c r="N34" i="21" s="1"/>
  <c r="R28" i="21"/>
  <c r="R34" i="21" s="1"/>
  <c r="V28" i="21"/>
  <c r="V34" i="21" s="1"/>
  <c r="J28" i="21"/>
  <c r="J34" i="21" s="1"/>
  <c r="P28" i="21"/>
  <c r="P34" i="21" s="1"/>
  <c r="E30" i="21"/>
  <c r="E36" i="21"/>
  <c r="E40" i="21" s="1"/>
  <c r="E32" i="21"/>
  <c r="L28" i="21"/>
  <c r="L34" i="21" s="1"/>
  <c r="Q28" i="21"/>
  <c r="Q34" i="21" s="1"/>
  <c r="M28" i="21"/>
  <c r="M34" i="21" s="1"/>
  <c r="D37" i="21"/>
  <c r="D39" i="21"/>
  <c r="G36" i="21"/>
  <c r="G32" i="21"/>
  <c r="G30" i="21"/>
  <c r="G39" i="21"/>
  <c r="G37" i="21"/>
  <c r="H37" i="21"/>
  <c r="H39" i="21"/>
  <c r="S28" i="21"/>
  <c r="S34" i="21" s="1"/>
  <c r="C36" i="21"/>
  <c r="C32" i="21"/>
  <c r="C30" i="21"/>
  <c r="C39" i="21"/>
  <c r="C37" i="21"/>
  <c r="F36" i="21"/>
  <c r="F32" i="21"/>
  <c r="F30" i="21"/>
  <c r="O28" i="21"/>
  <c r="O34" i="21" s="1"/>
  <c r="F39" i="21"/>
  <c r="F37" i="21"/>
  <c r="B39" i="21"/>
  <c r="B37" i="21"/>
  <c r="H40" i="21"/>
  <c r="H38" i="21"/>
  <c r="K28" i="21"/>
  <c r="K34" i="21" s="1"/>
  <c r="D36" i="21"/>
  <c r="D32" i="21"/>
  <c r="D30" i="21"/>
  <c r="W40" i="21" l="1"/>
  <c r="W38" i="21"/>
  <c r="S37" i="21"/>
  <c r="U36" i="21"/>
  <c r="U40" i="21" s="1"/>
  <c r="T36" i="21"/>
  <c r="T40" i="21" s="1"/>
  <c r="V36" i="21"/>
  <c r="V40" i="21" s="1"/>
  <c r="R37" i="21"/>
  <c r="S36" i="21"/>
  <c r="S40" i="21" s="1"/>
  <c r="Q36" i="21"/>
  <c r="Q40" i="21" s="1"/>
  <c r="R36" i="21"/>
  <c r="R40" i="21" s="1"/>
  <c r="T37" i="21"/>
  <c r="U37" i="21"/>
  <c r="V37" i="21"/>
  <c r="Q37" i="21"/>
  <c r="B38" i="21"/>
  <c r="E38" i="21"/>
  <c r="F38" i="21"/>
  <c r="F40" i="21"/>
  <c r="D40" i="21"/>
  <c r="D38" i="21"/>
  <c r="C38" i="21"/>
  <c r="C40" i="21"/>
  <c r="G38" i="21"/>
  <c r="G40" i="21"/>
  <c r="C51" i="8" l="1"/>
  <c r="D51" i="8"/>
  <c r="E51" i="8"/>
  <c r="F51" i="8"/>
  <c r="G51" i="8"/>
  <c r="H51" i="8"/>
  <c r="I51" i="8"/>
  <c r="J51" i="8"/>
  <c r="K51" i="8"/>
  <c r="L51" i="8"/>
  <c r="M51" i="8"/>
  <c r="N51" i="8"/>
  <c r="O51" i="8"/>
  <c r="P51" i="8"/>
  <c r="Q51" i="8"/>
  <c r="R51" i="8"/>
  <c r="R22" i="8"/>
  <c r="Q22" i="8"/>
  <c r="P22" i="8"/>
  <c r="O22" i="8"/>
  <c r="N22" i="8"/>
  <c r="M22" i="8"/>
  <c r="L22" i="8"/>
  <c r="K22" i="8"/>
  <c r="J22" i="8"/>
  <c r="I22" i="8"/>
  <c r="H22" i="8"/>
  <c r="G22" i="8"/>
  <c r="F22" i="8"/>
  <c r="E22" i="8"/>
  <c r="D22" i="8"/>
  <c r="C22" i="8"/>
  <c r="B22" i="8"/>
  <c r="X63" i="20"/>
  <c r="W63" i="20"/>
  <c r="V63" i="20"/>
  <c r="U63" i="20"/>
  <c r="T63" i="20"/>
  <c r="S63" i="20"/>
  <c r="R63" i="20"/>
  <c r="Q63" i="20"/>
  <c r="P63" i="20"/>
  <c r="O63" i="20"/>
  <c r="N63" i="20"/>
  <c r="M63" i="20"/>
  <c r="L63" i="20"/>
  <c r="K63" i="20"/>
  <c r="J63" i="20"/>
  <c r="I63" i="20"/>
  <c r="H63" i="20"/>
  <c r="G63" i="20"/>
  <c r="F63" i="20"/>
  <c r="E63" i="20"/>
  <c r="D63" i="20"/>
  <c r="C63" i="20"/>
  <c r="B63" i="20"/>
  <c r="C22" i="20"/>
  <c r="D22" i="20"/>
  <c r="E22" i="20"/>
  <c r="F22" i="20"/>
  <c r="G22" i="20"/>
  <c r="H22" i="20"/>
  <c r="I22" i="20"/>
  <c r="J22" i="20"/>
  <c r="K22" i="20"/>
  <c r="L22" i="20"/>
  <c r="M22" i="20"/>
  <c r="N22" i="20"/>
  <c r="O22" i="20"/>
  <c r="P22" i="20"/>
  <c r="Q22" i="20"/>
  <c r="R22" i="20"/>
  <c r="S22" i="20"/>
  <c r="T22" i="20"/>
  <c r="U22" i="20"/>
  <c r="V22" i="20"/>
  <c r="W22" i="20"/>
  <c r="X22" i="20"/>
  <c r="B22" i="20"/>
  <c r="E64" i="20" l="1"/>
  <c r="I64" i="20"/>
  <c r="M64" i="20"/>
  <c r="Q64" i="20"/>
  <c r="U64" i="20"/>
  <c r="F64" i="20"/>
  <c r="J64" i="20"/>
  <c r="N64" i="20"/>
  <c r="N72" i="20" s="1"/>
  <c r="R64" i="20"/>
  <c r="V64" i="20"/>
  <c r="C64" i="20"/>
  <c r="G64" i="20"/>
  <c r="K64" i="20"/>
  <c r="O64" i="20"/>
  <c r="S64" i="20"/>
  <c r="W64" i="20"/>
  <c r="W70" i="20" s="1"/>
  <c r="D64" i="20"/>
  <c r="H64" i="20"/>
  <c r="L64" i="20"/>
  <c r="P64" i="20"/>
  <c r="T64" i="20"/>
  <c r="X64" i="20"/>
  <c r="V23" i="20"/>
  <c r="R23" i="20"/>
  <c r="N23" i="20"/>
  <c r="J23" i="20"/>
  <c r="F23" i="20"/>
  <c r="U23" i="20"/>
  <c r="Q23" i="20"/>
  <c r="M23" i="20"/>
  <c r="I23" i="20"/>
  <c r="E23" i="20"/>
  <c r="X23" i="20"/>
  <c r="T23" i="20"/>
  <c r="P23" i="20"/>
  <c r="L23" i="20"/>
  <c r="L29" i="20" s="1"/>
  <c r="H23" i="20"/>
  <c r="D23" i="20"/>
  <c r="W23" i="20"/>
  <c r="S23" i="20"/>
  <c r="O23" i="20"/>
  <c r="K23" i="20"/>
  <c r="G23" i="20"/>
  <c r="C23" i="20"/>
  <c r="C31" i="20" s="1"/>
  <c r="C35" i="20" s="1"/>
  <c r="X87" i="20"/>
  <c r="X24" i="20" s="1"/>
  <c r="W87" i="20"/>
  <c r="W65" i="20" s="1"/>
  <c r="V87" i="20"/>
  <c r="V24" i="20" s="1"/>
  <c r="U87" i="20"/>
  <c r="U24" i="20" s="1"/>
  <c r="T87" i="20"/>
  <c r="T24" i="20" s="1"/>
  <c r="S87" i="20"/>
  <c r="S65" i="20" s="1"/>
  <c r="R87" i="20"/>
  <c r="R24" i="20" s="1"/>
  <c r="Q87" i="20"/>
  <c r="Q24" i="20" s="1"/>
  <c r="P87" i="20"/>
  <c r="P24" i="20" s="1"/>
  <c r="O87" i="20"/>
  <c r="O65" i="20" s="1"/>
  <c r="N87" i="20"/>
  <c r="N65" i="20" s="1"/>
  <c r="M87" i="20"/>
  <c r="M24" i="20" s="1"/>
  <c r="L87" i="20"/>
  <c r="L24" i="20" s="1"/>
  <c r="K87" i="20"/>
  <c r="K65" i="20" s="1"/>
  <c r="J87" i="20"/>
  <c r="J65" i="20" s="1"/>
  <c r="I87" i="20"/>
  <c r="I24" i="20" s="1"/>
  <c r="H87" i="20"/>
  <c r="H24" i="20" s="1"/>
  <c r="G87" i="20"/>
  <c r="G24" i="20" s="1"/>
  <c r="F87" i="20"/>
  <c r="F24" i="20" s="1"/>
  <c r="E87" i="20"/>
  <c r="E24" i="20" s="1"/>
  <c r="D87" i="20"/>
  <c r="D24" i="20" s="1"/>
  <c r="C87" i="20"/>
  <c r="C24" i="20" s="1"/>
  <c r="B87" i="20"/>
  <c r="B65" i="20" s="1"/>
  <c r="X88" i="20"/>
  <c r="X26" i="20" s="1"/>
  <c r="W88" i="20"/>
  <c r="W67" i="20" s="1"/>
  <c r="V88" i="20"/>
  <c r="V68" i="20" s="1"/>
  <c r="U88" i="20"/>
  <c r="U26" i="20" s="1"/>
  <c r="T88" i="20"/>
  <c r="T67" i="20" s="1"/>
  <c r="S88" i="20"/>
  <c r="S67" i="20" s="1"/>
  <c r="R88" i="20"/>
  <c r="R67" i="20" s="1"/>
  <c r="Q88" i="20"/>
  <c r="Q26" i="20" s="1"/>
  <c r="P88" i="20"/>
  <c r="P26" i="20" s="1"/>
  <c r="O88" i="20"/>
  <c r="O67" i="20" s="1"/>
  <c r="N88" i="20"/>
  <c r="N26" i="20" s="1"/>
  <c r="M88" i="20"/>
  <c r="M67" i="20" s="1"/>
  <c r="L88" i="20"/>
  <c r="L26" i="20" s="1"/>
  <c r="K88" i="20"/>
  <c r="K67" i="20" s="1"/>
  <c r="J88" i="20"/>
  <c r="J67" i="20" s="1"/>
  <c r="I88" i="20"/>
  <c r="I68" i="20" s="1"/>
  <c r="H88" i="20"/>
  <c r="H26" i="20" s="1"/>
  <c r="G88" i="20"/>
  <c r="G67" i="20" s="1"/>
  <c r="F88" i="20"/>
  <c r="F67" i="20" s="1"/>
  <c r="E88" i="20"/>
  <c r="E26" i="20" s="1"/>
  <c r="D88" i="20"/>
  <c r="D68" i="20" s="1"/>
  <c r="C88" i="20"/>
  <c r="C26" i="20" s="1"/>
  <c r="B88" i="20"/>
  <c r="B68" i="20" s="1"/>
  <c r="W71" i="20"/>
  <c r="S71" i="20"/>
  <c r="S73" i="20" s="1"/>
  <c r="O71" i="20"/>
  <c r="O73" i="20" s="1"/>
  <c r="K71" i="20"/>
  <c r="K73" i="20" s="1"/>
  <c r="G71" i="20"/>
  <c r="C71" i="20"/>
  <c r="C73" i="20" s="1"/>
  <c r="U69" i="20"/>
  <c r="E69" i="20"/>
  <c r="J72" i="20"/>
  <c r="J76" i="20" s="1"/>
  <c r="B64" i="20"/>
  <c r="W69" i="20"/>
  <c r="S69" i="20"/>
  <c r="O69" i="20"/>
  <c r="K69" i="20"/>
  <c r="G69" i="20"/>
  <c r="C69" i="20"/>
  <c r="X30" i="20"/>
  <c r="X32" i="20" s="1"/>
  <c r="W30" i="20"/>
  <c r="W32" i="20" s="1"/>
  <c r="T30" i="20"/>
  <c r="T32" i="20" s="1"/>
  <c r="S30" i="20"/>
  <c r="P30" i="20"/>
  <c r="P34" i="20" s="1"/>
  <c r="O30" i="20"/>
  <c r="L30" i="20"/>
  <c r="L32" i="20" s="1"/>
  <c r="K30" i="20"/>
  <c r="H30" i="20"/>
  <c r="H32" i="20" s="1"/>
  <c r="G30" i="20"/>
  <c r="G32" i="20" s="1"/>
  <c r="D30" i="20"/>
  <c r="D32" i="20" s="1"/>
  <c r="C30" i="20"/>
  <c r="U28" i="20"/>
  <c r="M28" i="20"/>
  <c r="E28" i="20"/>
  <c r="T29" i="20"/>
  <c r="G31" i="20"/>
  <c r="X28" i="20"/>
  <c r="T28" i="20"/>
  <c r="P28" i="20"/>
  <c r="L28" i="20"/>
  <c r="J28" i="20"/>
  <c r="H28" i="20"/>
  <c r="D28" i="20"/>
  <c r="B28" i="20"/>
  <c r="T68" i="20" l="1"/>
  <c r="U65" i="20"/>
  <c r="X66" i="20"/>
  <c r="L68" i="20"/>
  <c r="H66" i="20"/>
  <c r="E65" i="20"/>
  <c r="P66" i="20"/>
  <c r="D67" i="20"/>
  <c r="M65" i="20"/>
  <c r="W24" i="20"/>
  <c r="O24" i="20"/>
  <c r="V26" i="20"/>
  <c r="S68" i="20"/>
  <c r="K68" i="20"/>
  <c r="C68" i="20"/>
  <c r="R68" i="20"/>
  <c r="J68" i="20"/>
  <c r="T66" i="20"/>
  <c r="L66" i="20"/>
  <c r="D66" i="20"/>
  <c r="X68" i="20"/>
  <c r="P67" i="20"/>
  <c r="H67" i="20"/>
  <c r="W68" i="20"/>
  <c r="O68" i="20"/>
  <c r="G68" i="20"/>
  <c r="V67" i="20"/>
  <c r="N67" i="20"/>
  <c r="F68" i="20"/>
  <c r="Q65" i="20"/>
  <c r="I65" i="20"/>
  <c r="I26" i="20"/>
  <c r="Q68" i="20"/>
  <c r="M68" i="20"/>
  <c r="E68" i="20"/>
  <c r="J26" i="20"/>
  <c r="W66" i="20"/>
  <c r="S66" i="20"/>
  <c r="K66" i="20"/>
  <c r="G66" i="20"/>
  <c r="C66" i="20"/>
  <c r="V66" i="20"/>
  <c r="R66" i="20"/>
  <c r="N66" i="20"/>
  <c r="J66" i="20"/>
  <c r="F66" i="20"/>
  <c r="B66" i="20"/>
  <c r="R72" i="20"/>
  <c r="R76" i="20" s="1"/>
  <c r="S24" i="20"/>
  <c r="D26" i="20"/>
  <c r="M26" i="20"/>
  <c r="B24" i="20"/>
  <c r="J24" i="20"/>
  <c r="R26" i="20"/>
  <c r="X65" i="20"/>
  <c r="T65" i="20"/>
  <c r="P68" i="20"/>
  <c r="L65" i="20"/>
  <c r="H68" i="20"/>
  <c r="G65" i="20"/>
  <c r="C65" i="20"/>
  <c r="R65" i="20"/>
  <c r="N68" i="20"/>
  <c r="F65" i="20"/>
  <c r="U67" i="20"/>
  <c r="Q67" i="20"/>
  <c r="I67" i="20"/>
  <c r="E67" i="20"/>
  <c r="N24" i="20"/>
  <c r="U68" i="20"/>
  <c r="O66" i="20"/>
  <c r="F72" i="20"/>
  <c r="F76" i="20" s="1"/>
  <c r="V72" i="20"/>
  <c r="V76" i="20" s="1"/>
  <c r="T26" i="20"/>
  <c r="F26" i="20"/>
  <c r="X67" i="20"/>
  <c r="P65" i="20"/>
  <c r="L67" i="20"/>
  <c r="H65" i="20"/>
  <c r="D65" i="20"/>
  <c r="C67" i="20"/>
  <c r="V65" i="20"/>
  <c r="U66" i="20"/>
  <c r="Q66" i="20"/>
  <c r="M66" i="20"/>
  <c r="I66" i="20"/>
  <c r="E66" i="20"/>
  <c r="K26" i="20"/>
  <c r="O27" i="20"/>
  <c r="O25" i="20"/>
  <c r="H25" i="20"/>
  <c r="H27" i="20"/>
  <c r="X25" i="20"/>
  <c r="X27" i="20"/>
  <c r="Q27" i="20"/>
  <c r="Q25" i="20"/>
  <c r="R27" i="20"/>
  <c r="R25" i="20"/>
  <c r="H29" i="20"/>
  <c r="X29" i="20"/>
  <c r="G26" i="20"/>
  <c r="K27" i="20"/>
  <c r="K25" i="20"/>
  <c r="W26" i="20"/>
  <c r="D25" i="20"/>
  <c r="D27" i="20"/>
  <c r="T25" i="20"/>
  <c r="T27" i="20"/>
  <c r="M27" i="20"/>
  <c r="M25" i="20"/>
  <c r="N27" i="20"/>
  <c r="N25" i="20"/>
  <c r="G27" i="20"/>
  <c r="G25" i="20"/>
  <c r="S26" i="20"/>
  <c r="W27" i="20"/>
  <c r="W25" i="20"/>
  <c r="P25" i="20"/>
  <c r="P27" i="20"/>
  <c r="I27" i="20"/>
  <c r="I25" i="20"/>
  <c r="J27" i="20"/>
  <c r="J25" i="20"/>
  <c r="D29" i="20"/>
  <c r="P29" i="20"/>
  <c r="C27" i="20"/>
  <c r="C25" i="20"/>
  <c r="K24" i="20"/>
  <c r="O26" i="20"/>
  <c r="S27" i="20"/>
  <c r="S25" i="20"/>
  <c r="L25" i="20"/>
  <c r="L27" i="20"/>
  <c r="E27" i="20"/>
  <c r="E25" i="20"/>
  <c r="U27" i="20"/>
  <c r="U25" i="20"/>
  <c r="F27" i="20"/>
  <c r="F25" i="20"/>
  <c r="V27" i="20"/>
  <c r="V25" i="20"/>
  <c r="K75" i="20"/>
  <c r="S75" i="20"/>
  <c r="V74" i="20"/>
  <c r="J74" i="20"/>
  <c r="O75" i="20"/>
  <c r="C75" i="20"/>
  <c r="B72" i="20"/>
  <c r="H31" i="20"/>
  <c r="H35" i="20" s="1"/>
  <c r="P31" i="20"/>
  <c r="P33" i="20" s="1"/>
  <c r="X31" i="20"/>
  <c r="X33" i="20" s="1"/>
  <c r="L31" i="20"/>
  <c r="L35" i="20" s="1"/>
  <c r="P32" i="20"/>
  <c r="G29" i="20"/>
  <c r="L34" i="20"/>
  <c r="D31" i="20"/>
  <c r="D35" i="20" s="1"/>
  <c r="T31" i="20"/>
  <c r="T33" i="20" s="1"/>
  <c r="P35" i="20"/>
  <c r="N31" i="20"/>
  <c r="N29" i="20"/>
  <c r="F30" i="20"/>
  <c r="R30" i="20"/>
  <c r="V30" i="20"/>
  <c r="S31" i="20"/>
  <c r="S29" i="20"/>
  <c r="R28" i="20"/>
  <c r="C29" i="20"/>
  <c r="D71" i="20"/>
  <c r="D69" i="20"/>
  <c r="H71" i="20"/>
  <c r="H69" i="20"/>
  <c r="L71" i="20"/>
  <c r="L69" i="20"/>
  <c r="P71" i="20"/>
  <c r="P69" i="20"/>
  <c r="T70" i="20"/>
  <c r="T72" i="20"/>
  <c r="X70" i="20"/>
  <c r="X72" i="20"/>
  <c r="N76" i="20"/>
  <c r="N74" i="20"/>
  <c r="G73" i="20"/>
  <c r="G75" i="20"/>
  <c r="W73" i="20"/>
  <c r="W75" i="20"/>
  <c r="N30" i="20"/>
  <c r="O31" i="20"/>
  <c r="O29" i="20"/>
  <c r="K31" i="20"/>
  <c r="K29" i="20"/>
  <c r="F28" i="20"/>
  <c r="G34" i="20"/>
  <c r="N70" i="20"/>
  <c r="B30" i="20"/>
  <c r="B26" i="20"/>
  <c r="J30" i="20"/>
  <c r="O32" i="20"/>
  <c r="O34" i="20"/>
  <c r="C33" i="20"/>
  <c r="W34" i="20"/>
  <c r="N28" i="20"/>
  <c r="V28" i="20"/>
  <c r="E30" i="20"/>
  <c r="I30" i="20"/>
  <c r="M30" i="20"/>
  <c r="Q30" i="20"/>
  <c r="U30" i="20"/>
  <c r="B23" i="20"/>
  <c r="G33" i="20"/>
  <c r="G35" i="20"/>
  <c r="W31" i="20"/>
  <c r="W29" i="20"/>
  <c r="I28" i="20"/>
  <c r="Q28" i="20"/>
  <c r="C32" i="20"/>
  <c r="C34" i="20"/>
  <c r="K32" i="20"/>
  <c r="K34" i="20"/>
  <c r="S32" i="20"/>
  <c r="S34" i="20"/>
  <c r="H34" i="20"/>
  <c r="X34" i="20"/>
  <c r="E71" i="20"/>
  <c r="I71" i="20"/>
  <c r="M71" i="20"/>
  <c r="Q71" i="20"/>
  <c r="U71" i="20"/>
  <c r="I69" i="20"/>
  <c r="B70" i="20"/>
  <c r="R70" i="20"/>
  <c r="C28" i="20"/>
  <c r="G28" i="20"/>
  <c r="K28" i="20"/>
  <c r="O28" i="20"/>
  <c r="S28" i="20"/>
  <c r="W28" i="20"/>
  <c r="D34" i="20"/>
  <c r="T34" i="20"/>
  <c r="M69" i="20"/>
  <c r="F70" i="20"/>
  <c r="V70" i="20"/>
  <c r="Q69" i="20"/>
  <c r="J70" i="20"/>
  <c r="B67" i="20"/>
  <c r="T69" i="20"/>
  <c r="X69" i="20"/>
  <c r="B71" i="20"/>
  <c r="F71" i="20"/>
  <c r="J71" i="20"/>
  <c r="N71" i="20"/>
  <c r="R71" i="20"/>
  <c r="V71" i="20"/>
  <c r="W72" i="20"/>
  <c r="B69" i="20"/>
  <c r="F69" i="20"/>
  <c r="J69" i="20"/>
  <c r="N69" i="20"/>
  <c r="R69" i="20"/>
  <c r="V69" i="20"/>
  <c r="T71" i="20"/>
  <c r="X71" i="20"/>
  <c r="F74" i="20" l="1"/>
  <c r="X35" i="20"/>
  <c r="R74" i="20"/>
  <c r="B25" i="20"/>
  <c r="B27" i="20"/>
  <c r="L33" i="20"/>
  <c r="B76" i="20"/>
  <c r="B74" i="20"/>
  <c r="H33" i="20"/>
  <c r="T35" i="20"/>
  <c r="D33" i="20"/>
  <c r="T75" i="20"/>
  <c r="T73" i="20"/>
  <c r="B73" i="20"/>
  <c r="B75" i="20"/>
  <c r="E75" i="20"/>
  <c r="E73" i="20"/>
  <c r="M34" i="20"/>
  <c r="M32" i="20"/>
  <c r="S35" i="20"/>
  <c r="S33" i="20"/>
  <c r="C70" i="20"/>
  <c r="C72" i="20"/>
  <c r="U72" i="20"/>
  <c r="U70" i="20"/>
  <c r="Q72" i="20"/>
  <c r="Q70" i="20"/>
  <c r="M72" i="20"/>
  <c r="M70" i="20"/>
  <c r="I72" i="20"/>
  <c r="I70" i="20"/>
  <c r="E72" i="20"/>
  <c r="E70" i="20"/>
  <c r="R31" i="20"/>
  <c r="R29" i="20"/>
  <c r="Q34" i="20"/>
  <c r="Q32" i="20"/>
  <c r="M29" i="20"/>
  <c r="M31" i="20"/>
  <c r="J31" i="20"/>
  <c r="J29" i="20"/>
  <c r="K33" i="20"/>
  <c r="K35" i="20"/>
  <c r="X74" i="20"/>
  <c r="X76" i="20"/>
  <c r="P70" i="20"/>
  <c r="P72" i="20"/>
  <c r="L75" i="20"/>
  <c r="L73" i="20"/>
  <c r="F34" i="20"/>
  <c r="F32" i="20"/>
  <c r="G70" i="20"/>
  <c r="G72" i="20"/>
  <c r="U75" i="20"/>
  <c r="U73" i="20"/>
  <c r="I75" i="20"/>
  <c r="I73" i="20"/>
  <c r="W33" i="20"/>
  <c r="W35" i="20"/>
  <c r="J34" i="20"/>
  <c r="J32" i="20"/>
  <c r="S70" i="20"/>
  <c r="S72" i="20"/>
  <c r="O70" i="20"/>
  <c r="O72" i="20"/>
  <c r="W74" i="20"/>
  <c r="W76" i="20"/>
  <c r="J73" i="20"/>
  <c r="J75" i="20"/>
  <c r="U34" i="20"/>
  <c r="U32" i="20"/>
  <c r="Q29" i="20"/>
  <c r="Q31" i="20"/>
  <c r="E34" i="20"/>
  <c r="E32" i="20"/>
  <c r="F31" i="20"/>
  <c r="F29" i="20"/>
  <c r="N32" i="20"/>
  <c r="N34" i="20"/>
  <c r="L70" i="20"/>
  <c r="L72" i="20"/>
  <c r="H75" i="20"/>
  <c r="H73" i="20"/>
  <c r="R32" i="20"/>
  <c r="R34" i="20"/>
  <c r="R73" i="20"/>
  <c r="R75" i="20"/>
  <c r="Q75" i="20"/>
  <c r="Q73" i="20"/>
  <c r="M75" i="20"/>
  <c r="M73" i="20"/>
  <c r="B31" i="20"/>
  <c r="B29" i="20"/>
  <c r="I29" i="20"/>
  <c r="I31" i="20"/>
  <c r="P75" i="20"/>
  <c r="P73" i="20"/>
  <c r="D70" i="20"/>
  <c r="D72" i="20"/>
  <c r="N73" i="20"/>
  <c r="N75" i="20"/>
  <c r="X75" i="20"/>
  <c r="X73" i="20"/>
  <c r="K70" i="20"/>
  <c r="K72" i="20"/>
  <c r="V73" i="20"/>
  <c r="V75" i="20"/>
  <c r="F73" i="20"/>
  <c r="F75" i="20"/>
  <c r="U29" i="20"/>
  <c r="U31" i="20"/>
  <c r="I34" i="20"/>
  <c r="I32" i="20"/>
  <c r="E29" i="20"/>
  <c r="E31" i="20"/>
  <c r="B32" i="20"/>
  <c r="B34" i="20"/>
  <c r="V31" i="20"/>
  <c r="V29" i="20"/>
  <c r="O35" i="20"/>
  <c r="O33" i="20"/>
  <c r="T74" i="20"/>
  <c r="T76" i="20"/>
  <c r="H70" i="20"/>
  <c r="H72" i="20"/>
  <c r="D75" i="20"/>
  <c r="D73" i="20"/>
  <c r="V34" i="20"/>
  <c r="V32" i="20"/>
  <c r="N35" i="20"/>
  <c r="N33" i="20"/>
  <c r="E33" i="20" l="1"/>
  <c r="E35" i="20"/>
  <c r="U35" i="20"/>
  <c r="U33" i="20"/>
  <c r="D74" i="20"/>
  <c r="D76" i="20"/>
  <c r="I35" i="20"/>
  <c r="I33" i="20"/>
  <c r="S74" i="20"/>
  <c r="S76" i="20"/>
  <c r="P74" i="20"/>
  <c r="P76" i="20"/>
  <c r="M33" i="20"/>
  <c r="M35" i="20"/>
  <c r="C74" i="20"/>
  <c r="C76" i="20"/>
  <c r="V35" i="20"/>
  <c r="V33" i="20"/>
  <c r="R35" i="20"/>
  <c r="R33" i="20"/>
  <c r="I76" i="20"/>
  <c r="I74" i="20"/>
  <c r="Q76" i="20"/>
  <c r="Q74" i="20"/>
  <c r="H74" i="20"/>
  <c r="H76" i="20"/>
  <c r="K74" i="20"/>
  <c r="K76" i="20"/>
  <c r="L74" i="20"/>
  <c r="L76" i="20"/>
  <c r="Q33" i="20"/>
  <c r="Q35" i="20"/>
  <c r="O74" i="20"/>
  <c r="O76" i="20"/>
  <c r="G74" i="20"/>
  <c r="G76" i="20"/>
  <c r="B35" i="20"/>
  <c r="B33" i="20"/>
  <c r="F35" i="20"/>
  <c r="F33" i="20"/>
  <c r="J35" i="20"/>
  <c r="J33" i="20"/>
  <c r="E76" i="20"/>
  <c r="E74" i="20"/>
  <c r="M76" i="20"/>
  <c r="M74" i="20"/>
  <c r="U76" i="20"/>
  <c r="U74" i="20"/>
  <c r="F42" i="19" l="1"/>
  <c r="F46" i="19" s="1"/>
  <c r="E42" i="19"/>
  <c r="E46" i="19" s="1"/>
  <c r="D42" i="19"/>
  <c r="D46" i="19" s="1"/>
  <c r="C42" i="19"/>
  <c r="C46" i="19" s="1"/>
  <c r="B42" i="19"/>
  <c r="B46" i="19" s="1"/>
  <c r="G33" i="19"/>
  <c r="G42" i="19" s="1"/>
  <c r="G65" i="19"/>
  <c r="F65" i="19"/>
  <c r="E65" i="19"/>
  <c r="D65" i="19"/>
  <c r="C65" i="19"/>
  <c r="B65" i="19"/>
  <c r="F64" i="19"/>
  <c r="E64" i="19"/>
  <c r="D64" i="19"/>
  <c r="C64" i="19"/>
  <c r="B64" i="19"/>
  <c r="G18" i="19"/>
  <c r="G21" i="19" s="1"/>
  <c r="F18" i="19"/>
  <c r="F21" i="19" s="1"/>
  <c r="E18" i="19"/>
  <c r="E21" i="19" s="1"/>
  <c r="D18" i="19"/>
  <c r="D22" i="19" s="1"/>
  <c r="C18" i="19"/>
  <c r="C22" i="19" s="1"/>
  <c r="B18" i="19"/>
  <c r="B20" i="19" s="1"/>
  <c r="G9" i="19"/>
  <c r="E48" i="19" l="1"/>
  <c r="E47" i="19"/>
  <c r="B48" i="19"/>
  <c r="B47" i="19"/>
  <c r="F48" i="19"/>
  <c r="F47" i="19"/>
  <c r="C48" i="19"/>
  <c r="C47" i="19"/>
  <c r="D48" i="19"/>
  <c r="D47" i="19"/>
  <c r="G44" i="19"/>
  <c r="G43" i="19"/>
  <c r="G45" i="19"/>
  <c r="E45" i="19"/>
  <c r="E44" i="19"/>
  <c r="E43" i="19"/>
  <c r="B43" i="19"/>
  <c r="B45" i="19"/>
  <c r="B44" i="19"/>
  <c r="F45" i="19"/>
  <c r="F44" i="19"/>
  <c r="F43" i="19"/>
  <c r="C44" i="19"/>
  <c r="C43" i="19"/>
  <c r="C45" i="19"/>
  <c r="D43" i="19"/>
  <c r="D45" i="19"/>
  <c r="D44" i="19"/>
  <c r="E22" i="19"/>
  <c r="E23" i="19" s="1"/>
  <c r="D23" i="19"/>
  <c r="D24" i="19"/>
  <c r="C23" i="19"/>
  <c r="C24" i="19"/>
  <c r="F20" i="19"/>
  <c r="B21" i="19"/>
  <c r="C19" i="19"/>
  <c r="G19" i="19"/>
  <c r="C20" i="19"/>
  <c r="G20" i="19"/>
  <c r="C21" i="19"/>
  <c r="B22" i="19"/>
  <c r="F22" i="19"/>
  <c r="F19" i="19"/>
  <c r="D19" i="19"/>
  <c r="D20" i="19"/>
  <c r="D21" i="19"/>
  <c r="B19" i="19"/>
  <c r="E19" i="19"/>
  <c r="E20" i="19"/>
  <c r="E24" i="19" l="1"/>
  <c r="F24" i="19"/>
  <c r="F23" i="19"/>
  <c r="B24" i="19"/>
  <c r="B23" i="19"/>
  <c r="G52" i="18" l="1"/>
  <c r="F52" i="18"/>
  <c r="E52" i="18"/>
  <c r="D52" i="18"/>
  <c r="C52" i="18"/>
  <c r="B52" i="18"/>
  <c r="F51" i="18"/>
  <c r="E51" i="18"/>
  <c r="D51" i="18"/>
  <c r="C51" i="18"/>
  <c r="B51" i="18"/>
  <c r="G50" i="18"/>
  <c r="F50" i="18"/>
  <c r="E50" i="18"/>
  <c r="D50" i="18"/>
  <c r="C50" i="18"/>
  <c r="B50" i="18"/>
  <c r="G48" i="18"/>
  <c r="F48" i="18"/>
  <c r="E48" i="18"/>
  <c r="D48" i="18"/>
  <c r="C48" i="18"/>
  <c r="B48" i="18"/>
  <c r="G47" i="18"/>
  <c r="F47" i="18"/>
  <c r="E47" i="18"/>
  <c r="D47" i="18"/>
  <c r="C47" i="18"/>
  <c r="B47" i="18"/>
  <c r="G46" i="18"/>
  <c r="F46" i="18"/>
  <c r="E46" i="18"/>
  <c r="D46" i="18"/>
  <c r="C46" i="18"/>
  <c r="B46" i="18"/>
  <c r="G45" i="18"/>
  <c r="F45" i="18"/>
  <c r="E45" i="18"/>
  <c r="D45" i="18"/>
  <c r="C45" i="18"/>
  <c r="B45" i="18"/>
  <c r="G43" i="18"/>
  <c r="F43" i="18"/>
  <c r="E43" i="18"/>
  <c r="D43" i="18"/>
  <c r="C43" i="18"/>
  <c r="B43" i="18"/>
  <c r="F38" i="18"/>
  <c r="F39" i="18" s="1"/>
  <c r="E38" i="18"/>
  <c r="E39" i="18" s="1"/>
  <c r="D38" i="18"/>
  <c r="D39" i="18" s="1"/>
  <c r="C38" i="18"/>
  <c r="C39" i="18" s="1"/>
  <c r="B38" i="18"/>
  <c r="B39" i="18" s="1"/>
  <c r="G37" i="18"/>
  <c r="F37" i="18"/>
  <c r="E37" i="18"/>
  <c r="D37" i="18"/>
  <c r="C37" i="18"/>
  <c r="B37" i="18"/>
  <c r="G67" i="18"/>
  <c r="F67" i="18"/>
  <c r="E67" i="18"/>
  <c r="D67" i="18"/>
  <c r="C67" i="18"/>
  <c r="B67" i="18"/>
  <c r="G66" i="18"/>
  <c r="F66" i="18"/>
  <c r="E66" i="18"/>
  <c r="D66" i="18"/>
  <c r="B66" i="18"/>
  <c r="G65" i="18"/>
  <c r="F65" i="18"/>
  <c r="E65" i="18"/>
  <c r="D65" i="18"/>
  <c r="C65" i="18"/>
  <c r="B65" i="18"/>
  <c r="G22" i="18"/>
  <c r="F22" i="18"/>
  <c r="E22" i="18"/>
  <c r="D22" i="18"/>
  <c r="C22" i="18"/>
  <c r="B22" i="18"/>
  <c r="F21" i="18"/>
  <c r="E21" i="18"/>
  <c r="D21" i="18"/>
  <c r="C21" i="18"/>
  <c r="B21" i="18"/>
  <c r="G20" i="18"/>
  <c r="F20" i="18"/>
  <c r="E20" i="18"/>
  <c r="D20" i="18"/>
  <c r="C20" i="18"/>
  <c r="B20" i="18"/>
  <c r="G18" i="18"/>
  <c r="F18" i="18"/>
  <c r="E18" i="18"/>
  <c r="D18" i="18"/>
  <c r="C18" i="18"/>
  <c r="B18" i="18"/>
  <c r="G17" i="18"/>
  <c r="F17" i="18"/>
  <c r="E17" i="18"/>
  <c r="D17" i="18"/>
  <c r="C17" i="18"/>
  <c r="B17" i="18"/>
  <c r="G16" i="18"/>
  <c r="F16" i="18"/>
  <c r="E16" i="18"/>
  <c r="D16" i="18"/>
  <c r="C16" i="18"/>
  <c r="B16" i="18"/>
  <c r="G15" i="18"/>
  <c r="F15" i="18"/>
  <c r="E15" i="18"/>
  <c r="D15" i="18"/>
  <c r="C15" i="18"/>
  <c r="B15" i="18"/>
  <c r="G13" i="18"/>
  <c r="F13" i="18"/>
  <c r="E13" i="18"/>
  <c r="D13" i="18"/>
  <c r="C13" i="18"/>
  <c r="B13" i="18"/>
  <c r="G9" i="18"/>
  <c r="F8" i="18"/>
  <c r="E8" i="18"/>
  <c r="E9" i="18" s="1"/>
  <c r="D8" i="18"/>
  <c r="D9" i="18" s="1"/>
  <c r="C8" i="18"/>
  <c r="C9" i="18" s="1"/>
  <c r="B8" i="18"/>
  <c r="B9" i="18" s="1"/>
  <c r="G7" i="18"/>
  <c r="F7" i="18"/>
  <c r="E7" i="18"/>
  <c r="D7" i="18"/>
  <c r="C7" i="18"/>
  <c r="B7" i="18"/>
  <c r="D40" i="18" l="1"/>
  <c r="D53" i="18" s="1"/>
  <c r="E40" i="18"/>
  <c r="E53" i="18" s="1"/>
  <c r="B40" i="18"/>
  <c r="B53" i="18" s="1"/>
  <c r="F40" i="18"/>
  <c r="F53" i="18" s="1"/>
  <c r="C40" i="18"/>
  <c r="C53" i="18" s="1"/>
  <c r="G39" i="18"/>
  <c r="G40" i="18" s="1"/>
  <c r="G53" i="18" s="1"/>
  <c r="G10" i="18"/>
  <c r="G23" i="18" s="1"/>
  <c r="D10" i="18"/>
  <c r="D23" i="18" s="1"/>
  <c r="E10" i="18"/>
  <c r="E23" i="18" s="1"/>
  <c r="B10" i="18"/>
  <c r="B23" i="18" s="1"/>
  <c r="C10" i="18"/>
  <c r="C23" i="18" s="1"/>
  <c r="F9" i="18"/>
  <c r="F10" i="18" s="1"/>
  <c r="F23" i="18" s="1"/>
  <c r="G37" i="17"/>
  <c r="G38" i="17" s="1"/>
  <c r="F37" i="17"/>
  <c r="F38" i="17" s="1"/>
  <c r="E37" i="17"/>
  <c r="E38" i="17" s="1"/>
  <c r="D37" i="17"/>
  <c r="D38" i="17" s="1"/>
  <c r="D48" i="17" s="1"/>
  <c r="C37" i="17"/>
  <c r="C38" i="17" s="1"/>
  <c r="B37" i="17"/>
  <c r="B38" i="17" s="1"/>
  <c r="G67" i="17"/>
  <c r="F67" i="17"/>
  <c r="E67" i="17"/>
  <c r="D67" i="17"/>
  <c r="C67" i="17"/>
  <c r="B67" i="17"/>
  <c r="G66" i="17"/>
  <c r="F66" i="17"/>
  <c r="E66" i="17"/>
  <c r="D66" i="17"/>
  <c r="C66" i="17"/>
  <c r="B66" i="17"/>
  <c r="G65" i="17"/>
  <c r="F65" i="17"/>
  <c r="E65" i="17"/>
  <c r="D65" i="17"/>
  <c r="C65" i="17"/>
  <c r="B65" i="17"/>
  <c r="G64" i="17"/>
  <c r="F64" i="17"/>
  <c r="E64" i="17"/>
  <c r="D64" i="17"/>
  <c r="C64" i="17"/>
  <c r="B64" i="17"/>
  <c r="G10" i="17"/>
  <c r="G11" i="17" s="1"/>
  <c r="F10" i="17"/>
  <c r="F11" i="17" s="1"/>
  <c r="E10" i="17"/>
  <c r="E11" i="17" s="1"/>
  <c r="D10" i="17"/>
  <c r="D11" i="17" s="1"/>
  <c r="C10" i="17"/>
  <c r="C11" i="17" s="1"/>
  <c r="B10" i="17"/>
  <c r="B11" i="17" s="1"/>
  <c r="F55" i="18" l="1"/>
  <c r="F57" i="18"/>
  <c r="F54" i="18"/>
  <c r="F56" i="18"/>
  <c r="B57" i="18"/>
  <c r="B56" i="18"/>
  <c r="B55" i="18"/>
  <c r="B54" i="18"/>
  <c r="G57" i="18"/>
  <c r="G54" i="18"/>
  <c r="G56" i="18"/>
  <c r="G55" i="18"/>
  <c r="E56" i="18"/>
  <c r="E55" i="18"/>
  <c r="E57" i="18"/>
  <c r="E54" i="18"/>
  <c r="C57" i="18"/>
  <c r="C54" i="18"/>
  <c r="C56" i="18"/>
  <c r="C55" i="18"/>
  <c r="D56" i="18"/>
  <c r="D55" i="18"/>
  <c r="D57" i="18"/>
  <c r="D54" i="18"/>
  <c r="B25" i="18"/>
  <c r="B24" i="18"/>
  <c r="B26" i="18"/>
  <c r="E24" i="18"/>
  <c r="E26" i="18"/>
  <c r="E25" i="18"/>
  <c r="F26" i="18"/>
  <c r="F25" i="18"/>
  <c r="F24" i="18"/>
  <c r="D25" i="18"/>
  <c r="D24" i="18"/>
  <c r="D26" i="18"/>
  <c r="C26" i="18"/>
  <c r="C25" i="18"/>
  <c r="C24" i="18"/>
  <c r="G26" i="18"/>
  <c r="G25" i="18"/>
  <c r="G24" i="18"/>
  <c r="D51" i="17"/>
  <c r="D50" i="17"/>
  <c r="D52" i="17"/>
  <c r="D49" i="17"/>
  <c r="E27" i="18"/>
  <c r="D27" i="18"/>
  <c r="F27" i="18"/>
  <c r="C27" i="18"/>
  <c r="B27" i="18"/>
  <c r="B28" i="18" s="1"/>
  <c r="G27" i="18"/>
  <c r="B48" i="17"/>
  <c r="F48" i="17"/>
  <c r="G48" i="17"/>
  <c r="C48" i="17"/>
  <c r="E48" i="17"/>
  <c r="D21" i="17"/>
  <c r="E21" i="17"/>
  <c r="C21" i="17"/>
  <c r="B21" i="17"/>
  <c r="F21" i="17"/>
  <c r="G21" i="17"/>
  <c r="C59" i="18" l="1"/>
  <c r="C58" i="18"/>
  <c r="G59" i="18"/>
  <c r="G58" i="18"/>
  <c r="B59" i="18"/>
  <c r="B58" i="18"/>
  <c r="D58" i="18"/>
  <c r="D59" i="18"/>
  <c r="E59" i="18"/>
  <c r="E58" i="18"/>
  <c r="F59" i="18"/>
  <c r="F58" i="18"/>
  <c r="E29" i="18"/>
  <c r="E28" i="18"/>
  <c r="C29" i="18"/>
  <c r="C28" i="18"/>
  <c r="F29" i="18"/>
  <c r="F28" i="18"/>
  <c r="G29" i="18"/>
  <c r="G28" i="18"/>
  <c r="D28" i="18"/>
  <c r="D29" i="18"/>
  <c r="C52" i="17"/>
  <c r="C49" i="17"/>
  <c r="C51" i="17"/>
  <c r="C50" i="17"/>
  <c r="G52" i="17"/>
  <c r="G49" i="17"/>
  <c r="G51" i="17"/>
  <c r="G50" i="17"/>
  <c r="F50" i="17"/>
  <c r="F52" i="17"/>
  <c r="F49" i="17"/>
  <c r="F51" i="17"/>
  <c r="D53" i="17"/>
  <c r="D54" i="17"/>
  <c r="E51" i="17"/>
  <c r="E50" i="17"/>
  <c r="E52" i="17"/>
  <c r="E49" i="17"/>
  <c r="B52" i="17"/>
  <c r="B51" i="17"/>
  <c r="B50" i="17"/>
  <c r="B49" i="17"/>
  <c r="B29" i="18"/>
  <c r="E25" i="17"/>
  <c r="E24" i="17"/>
  <c r="E23" i="17"/>
  <c r="E22" i="17"/>
  <c r="G25" i="17"/>
  <c r="G24" i="17"/>
  <c r="G23" i="17"/>
  <c r="G22" i="17"/>
  <c r="B25" i="17"/>
  <c r="B24" i="17"/>
  <c r="B23" i="17"/>
  <c r="B22" i="17"/>
  <c r="F25" i="17"/>
  <c r="F24" i="17"/>
  <c r="F23" i="17"/>
  <c r="F22" i="17"/>
  <c r="C25" i="17"/>
  <c r="C24" i="17"/>
  <c r="C23" i="17"/>
  <c r="C22" i="17"/>
  <c r="D25" i="17"/>
  <c r="D24" i="17"/>
  <c r="D23" i="17"/>
  <c r="D22" i="17"/>
  <c r="E54" i="17" l="1"/>
  <c r="E53" i="17"/>
  <c r="G54" i="17"/>
  <c r="G53" i="17"/>
  <c r="C54" i="17"/>
  <c r="C53" i="17"/>
  <c r="B54" i="17"/>
  <c r="B53" i="17"/>
  <c r="F54" i="17"/>
  <c r="F53" i="17"/>
  <c r="C27" i="17"/>
  <c r="C26" i="17"/>
  <c r="D27" i="17"/>
  <c r="D26" i="17"/>
  <c r="F27" i="17"/>
  <c r="F26" i="17"/>
  <c r="B27" i="17"/>
  <c r="B26" i="17"/>
  <c r="G27" i="17"/>
  <c r="G26" i="17"/>
  <c r="E27" i="17"/>
  <c r="E26" i="17"/>
  <c r="G40" i="16" l="1"/>
  <c r="F40" i="16"/>
  <c r="E40" i="16"/>
  <c r="D40" i="16"/>
  <c r="C40" i="16"/>
  <c r="B40" i="16"/>
  <c r="G21" i="16"/>
  <c r="E21" i="16"/>
  <c r="D21" i="16"/>
  <c r="C21" i="16"/>
  <c r="B21" i="16"/>
  <c r="C44" i="16" l="1"/>
  <c r="C41" i="16"/>
  <c r="C43" i="16"/>
  <c r="C42" i="16"/>
  <c r="G44" i="16"/>
  <c r="G41" i="16"/>
  <c r="G43" i="16"/>
  <c r="G42" i="16"/>
  <c r="D44" i="16"/>
  <c r="D43" i="16"/>
  <c r="D42" i="16"/>
  <c r="D41" i="16"/>
  <c r="E44" i="16"/>
  <c r="E43" i="16"/>
  <c r="E42" i="16"/>
  <c r="E41" i="16"/>
  <c r="B43" i="16"/>
  <c r="B42" i="16"/>
  <c r="B41" i="16"/>
  <c r="B44" i="16"/>
  <c r="F44" i="16"/>
  <c r="F42" i="16"/>
  <c r="F41" i="16"/>
  <c r="F43" i="16"/>
  <c r="E22" i="16"/>
  <c r="E23" i="16"/>
  <c r="G23" i="16"/>
  <c r="G22" i="16"/>
  <c r="C23" i="16"/>
  <c r="C22" i="16"/>
  <c r="B22" i="16"/>
  <c r="B23" i="16"/>
  <c r="D23" i="16"/>
  <c r="D22" i="16"/>
  <c r="F21" i="16"/>
  <c r="F46" i="16" l="1"/>
  <c r="F45" i="16"/>
  <c r="E46" i="16"/>
  <c r="E45" i="16"/>
  <c r="D45" i="16"/>
  <c r="D46" i="16"/>
  <c r="G46" i="16"/>
  <c r="G45" i="16"/>
  <c r="C46" i="16"/>
  <c r="C45" i="16"/>
  <c r="B46" i="16"/>
  <c r="B45" i="16"/>
  <c r="F22" i="16"/>
  <c r="F23" i="16"/>
  <c r="G48" i="15"/>
  <c r="G52" i="15" s="1"/>
  <c r="G53" i="15" s="1"/>
  <c r="F48" i="15"/>
  <c r="F52" i="15" s="1"/>
  <c r="E48" i="15"/>
  <c r="E52" i="15" s="1"/>
  <c r="D48" i="15"/>
  <c r="D52" i="15" s="1"/>
  <c r="C48" i="15"/>
  <c r="C52" i="15" s="1"/>
  <c r="B48" i="15"/>
  <c r="B52" i="15" s="1"/>
  <c r="G21" i="15"/>
  <c r="F21" i="15"/>
  <c r="E21" i="15"/>
  <c r="D21" i="15"/>
  <c r="C21" i="15"/>
  <c r="B21" i="15"/>
  <c r="C53" i="15" l="1"/>
  <c r="C54" i="15"/>
  <c r="D54" i="15"/>
  <c r="D53" i="15"/>
  <c r="E54" i="15"/>
  <c r="E53" i="15"/>
  <c r="B54" i="15"/>
  <c r="B53" i="15"/>
  <c r="F54" i="15"/>
  <c r="F53" i="15"/>
  <c r="C51" i="15"/>
  <c r="C50" i="15"/>
  <c r="C49" i="15"/>
  <c r="G51" i="15"/>
  <c r="G50" i="15"/>
  <c r="G49" i="15"/>
  <c r="D50" i="15"/>
  <c r="D49" i="15"/>
  <c r="D51" i="15"/>
  <c r="E49" i="15"/>
  <c r="E51" i="15"/>
  <c r="E50" i="15"/>
  <c r="B50" i="15"/>
  <c r="B49" i="15"/>
  <c r="B51" i="15"/>
  <c r="F51" i="15"/>
  <c r="F50" i="15"/>
  <c r="F49" i="15"/>
  <c r="C25" i="15"/>
  <c r="C26" i="15" s="1"/>
  <c r="C24" i="15"/>
  <c r="C23" i="15"/>
  <c r="C22" i="15"/>
  <c r="G25" i="15"/>
  <c r="G26" i="15" s="1"/>
  <c r="G24" i="15"/>
  <c r="G23" i="15"/>
  <c r="G22" i="15"/>
  <c r="F25" i="15"/>
  <c r="F26" i="15" s="1"/>
  <c r="F24" i="15"/>
  <c r="F23" i="15"/>
  <c r="F22" i="15"/>
  <c r="D24" i="15"/>
  <c r="D23" i="15"/>
  <c r="D22" i="15"/>
  <c r="D25" i="15"/>
  <c r="D26" i="15" s="1"/>
  <c r="B24" i="15"/>
  <c r="B23" i="15"/>
  <c r="B25" i="15"/>
  <c r="B26" i="15" s="1"/>
  <c r="B22" i="15"/>
  <c r="E24" i="15"/>
  <c r="E23" i="15"/>
  <c r="E22" i="15"/>
  <c r="E25" i="15"/>
  <c r="E26" i="15" s="1"/>
  <c r="G60" i="14"/>
  <c r="F60" i="14"/>
  <c r="E60" i="14"/>
  <c r="D60" i="14"/>
  <c r="C60" i="14"/>
  <c r="E27" i="15" l="1"/>
  <c r="D27" i="15"/>
  <c r="B27" i="15"/>
  <c r="F27" i="15"/>
  <c r="C27" i="15"/>
  <c r="F41" i="14" l="1"/>
  <c r="F43" i="14"/>
  <c r="F44" i="14" s="1"/>
  <c r="F42" i="14"/>
  <c r="F40" i="14"/>
  <c r="D40" i="14"/>
  <c r="D41" i="14"/>
  <c r="D43" i="14"/>
  <c r="D44" i="14" s="1"/>
  <c r="D42" i="14"/>
  <c r="G40" i="14"/>
  <c r="G41" i="14"/>
  <c r="G43" i="14"/>
  <c r="G44" i="14" s="1"/>
  <c r="G42" i="14"/>
  <c r="E43" i="14"/>
  <c r="E44" i="14" s="1"/>
  <c r="E42" i="14"/>
  <c r="E40" i="14"/>
  <c r="E41" i="14"/>
  <c r="C40" i="14"/>
  <c r="C41" i="14"/>
  <c r="C43" i="14"/>
  <c r="C44" i="14" s="1"/>
  <c r="C42" i="14"/>
  <c r="B41" i="14"/>
  <c r="B40" i="14"/>
  <c r="B43" i="14"/>
  <c r="B44" i="14" s="1"/>
  <c r="B42" i="14"/>
  <c r="G21" i="14"/>
  <c r="G22" i="14" s="1"/>
  <c r="G19" i="14"/>
  <c r="G20" i="14"/>
  <c r="G18" i="14"/>
  <c r="C21" i="14"/>
  <c r="C22" i="14" s="1"/>
  <c r="C19" i="14"/>
  <c r="C20" i="14"/>
  <c r="C18" i="14"/>
  <c r="E20" i="14"/>
  <c r="E18" i="14"/>
  <c r="E21" i="14"/>
  <c r="E22" i="14" s="1"/>
  <c r="E19" i="14"/>
  <c r="D20" i="14"/>
  <c r="D18" i="14"/>
  <c r="D21" i="14"/>
  <c r="D22" i="14" s="1"/>
  <c r="D19" i="14"/>
  <c r="F21" i="14"/>
  <c r="F22" i="14" s="1"/>
  <c r="F19" i="14"/>
  <c r="F20" i="14"/>
  <c r="F18" i="14"/>
  <c r="B18" i="14"/>
  <c r="B21" i="14"/>
  <c r="B22" i="14" s="1"/>
  <c r="B19" i="14"/>
  <c r="B20" i="14"/>
  <c r="AB44" i="12" l="1"/>
  <c r="AA44" i="12"/>
  <c r="Z44" i="12"/>
  <c r="Y44" i="12"/>
  <c r="X44" i="12"/>
  <c r="W44" i="12"/>
  <c r="V44" i="12"/>
  <c r="U44" i="12"/>
  <c r="T44" i="12"/>
  <c r="S44" i="12"/>
  <c r="R44" i="12"/>
  <c r="Q44" i="12"/>
  <c r="AB40" i="12"/>
  <c r="AA40" i="12"/>
  <c r="Z40" i="12"/>
  <c r="Y40" i="12"/>
  <c r="X40" i="12"/>
  <c r="W40" i="12"/>
  <c r="V40" i="12"/>
  <c r="U40" i="12"/>
  <c r="T40" i="12"/>
  <c r="S40" i="12"/>
  <c r="R40" i="12"/>
  <c r="Q40" i="12"/>
  <c r="P40" i="12"/>
  <c r="O40" i="12"/>
  <c r="N40" i="12"/>
  <c r="M40" i="12"/>
  <c r="L40" i="12"/>
  <c r="AB36" i="12"/>
  <c r="AA36" i="12"/>
  <c r="Z36" i="12"/>
  <c r="Y36" i="12"/>
  <c r="X36" i="12"/>
  <c r="W36" i="12"/>
  <c r="V36" i="12"/>
  <c r="U36" i="12"/>
  <c r="T36" i="12"/>
  <c r="S36" i="12"/>
  <c r="R36" i="12"/>
  <c r="Q36" i="12"/>
  <c r="P36" i="12"/>
  <c r="O36" i="12"/>
  <c r="N36" i="12"/>
  <c r="M36" i="12"/>
  <c r="L36" i="12"/>
  <c r="K36" i="12"/>
  <c r="J36" i="12"/>
  <c r="I36" i="12"/>
  <c r="H36" i="12"/>
  <c r="G36" i="12"/>
  <c r="F36" i="12"/>
  <c r="E36" i="12"/>
  <c r="D36" i="12"/>
  <c r="C36" i="12"/>
  <c r="B36" i="12"/>
  <c r="AB32" i="12"/>
  <c r="AA32" i="12"/>
  <c r="Z32" i="12"/>
  <c r="Y32" i="12"/>
  <c r="X32" i="12"/>
  <c r="W32" i="12"/>
  <c r="V32" i="12"/>
  <c r="U32" i="12"/>
  <c r="T32" i="12"/>
  <c r="S32" i="12"/>
  <c r="R32" i="12"/>
  <c r="Q32" i="12"/>
  <c r="P32" i="12"/>
  <c r="O32" i="12"/>
  <c r="N32" i="12"/>
  <c r="M32" i="12"/>
  <c r="L32" i="12"/>
  <c r="K32" i="12"/>
  <c r="J32" i="12"/>
  <c r="I32" i="12"/>
  <c r="H32" i="12"/>
  <c r="G32" i="12"/>
  <c r="F32" i="12"/>
  <c r="E32" i="12"/>
  <c r="D32" i="12"/>
  <c r="C32" i="12"/>
  <c r="B32" i="12"/>
  <c r="U30" i="12"/>
  <c r="T30" i="12" s="1"/>
  <c r="S30" i="12" s="1"/>
  <c r="R30" i="12" s="1"/>
  <c r="Q30" i="12" s="1"/>
  <c r="P30" i="12" s="1"/>
  <c r="O30" i="12" s="1"/>
  <c r="N30" i="12" s="1"/>
  <c r="M30" i="12" s="1"/>
  <c r="L30" i="12" s="1"/>
  <c r="K30" i="12" s="1"/>
  <c r="J30" i="12" s="1"/>
  <c r="I30" i="12" s="1"/>
  <c r="H30" i="12" s="1"/>
  <c r="G30" i="12" s="1"/>
  <c r="F30" i="12" s="1"/>
  <c r="E30" i="12" s="1"/>
  <c r="D30" i="12" s="1"/>
  <c r="C30" i="12" s="1"/>
  <c r="B30" i="12" s="1"/>
  <c r="AB18" i="12"/>
  <c r="AA18" i="12"/>
  <c r="Z18" i="12"/>
  <c r="Y18" i="12"/>
  <c r="X18" i="12"/>
  <c r="W18" i="12"/>
  <c r="V18" i="12"/>
  <c r="U18" i="12"/>
  <c r="T18" i="12"/>
  <c r="S18" i="12"/>
  <c r="R18" i="12"/>
  <c r="Q18" i="12"/>
  <c r="AB14" i="12"/>
  <c r="AA14" i="12"/>
  <c r="Z14" i="12"/>
  <c r="Y14" i="12"/>
  <c r="X14" i="12"/>
  <c r="W14" i="12"/>
  <c r="V14" i="12"/>
  <c r="U14" i="12"/>
  <c r="T14" i="12"/>
  <c r="S14" i="12"/>
  <c r="R14" i="12"/>
  <c r="Q14" i="12"/>
  <c r="P14" i="12"/>
  <c r="O14" i="12"/>
  <c r="N14" i="12"/>
  <c r="M14" i="12"/>
  <c r="L14" i="12"/>
  <c r="AB10" i="12"/>
  <c r="AA10" i="12"/>
  <c r="Z10" i="12"/>
  <c r="Y10" i="12"/>
  <c r="X10" i="12"/>
  <c r="W10" i="12"/>
  <c r="V10" i="12"/>
  <c r="U10" i="12"/>
  <c r="T10" i="12"/>
  <c r="S10" i="12"/>
  <c r="R10" i="12"/>
  <c r="Q10" i="12"/>
  <c r="P10" i="12"/>
  <c r="O10" i="12"/>
  <c r="N10" i="12"/>
  <c r="M10" i="12"/>
  <c r="L10" i="12"/>
  <c r="K10" i="12"/>
  <c r="J10" i="12"/>
  <c r="I10" i="12"/>
  <c r="H10" i="12"/>
  <c r="G10" i="12"/>
  <c r="F10" i="12"/>
  <c r="E10" i="12"/>
  <c r="D10" i="12"/>
  <c r="C10" i="12"/>
  <c r="B10" i="12"/>
  <c r="AB6" i="12"/>
  <c r="AA6" i="12"/>
  <c r="Z6" i="12"/>
  <c r="Y6" i="12"/>
  <c r="X6" i="12"/>
  <c r="W6" i="12"/>
  <c r="V6" i="12"/>
  <c r="U6" i="12"/>
  <c r="T6" i="12"/>
  <c r="S6" i="12"/>
  <c r="R6" i="12"/>
  <c r="Q6" i="12"/>
  <c r="P6" i="12"/>
  <c r="O6" i="12"/>
  <c r="N6" i="12"/>
  <c r="M6" i="12"/>
  <c r="L6" i="12"/>
  <c r="K6" i="12"/>
  <c r="J6" i="12"/>
  <c r="I6" i="12"/>
  <c r="H6" i="12"/>
  <c r="G6" i="12"/>
  <c r="F6" i="12"/>
  <c r="E6" i="12"/>
  <c r="D6" i="12"/>
  <c r="C6" i="12"/>
  <c r="B6" i="12"/>
  <c r="S34" i="11"/>
  <c r="R34" i="11"/>
  <c r="Q34" i="11"/>
  <c r="P34" i="11"/>
  <c r="O34" i="11"/>
  <c r="N34" i="11"/>
  <c r="M34" i="11"/>
  <c r="L34" i="11"/>
  <c r="K34" i="11"/>
  <c r="J34" i="11"/>
  <c r="I34" i="11"/>
  <c r="H34" i="11"/>
  <c r="G34" i="11"/>
  <c r="F34" i="11"/>
  <c r="E34" i="11"/>
  <c r="D34" i="11"/>
  <c r="C34" i="11"/>
  <c r="B34" i="11"/>
  <c r="S58" i="11"/>
  <c r="S57" i="11"/>
  <c r="S56" i="11"/>
  <c r="S54" i="11"/>
  <c r="S14" i="11"/>
  <c r="S17" i="11" s="1"/>
  <c r="R14" i="11"/>
  <c r="R18" i="11" s="1"/>
  <c r="Q14" i="11"/>
  <c r="P14" i="11"/>
  <c r="P18" i="11" s="1"/>
  <c r="O14" i="11"/>
  <c r="O17" i="11" s="1"/>
  <c r="N14" i="11"/>
  <c r="N18" i="11" s="1"/>
  <c r="M14" i="11"/>
  <c r="L14" i="11"/>
  <c r="L18" i="11" s="1"/>
  <c r="K14" i="11"/>
  <c r="K17" i="11" s="1"/>
  <c r="J14" i="11"/>
  <c r="J18" i="11" s="1"/>
  <c r="I14" i="11"/>
  <c r="H14" i="11"/>
  <c r="H18" i="11" s="1"/>
  <c r="G14" i="11"/>
  <c r="G17" i="11" s="1"/>
  <c r="F14" i="11"/>
  <c r="F18" i="11" s="1"/>
  <c r="E14" i="11"/>
  <c r="D14" i="11"/>
  <c r="D18" i="11" s="1"/>
  <c r="C14" i="11"/>
  <c r="C17" i="11" s="1"/>
  <c r="B14" i="11"/>
  <c r="B18" i="11" s="1"/>
  <c r="O101" i="10" l="1"/>
  <c r="O99" i="10"/>
  <c r="O102" i="10"/>
  <c r="O100" i="10"/>
  <c r="K100" i="10"/>
  <c r="K101" i="10"/>
  <c r="K99" i="10"/>
  <c r="K102" i="10"/>
  <c r="G100" i="10"/>
  <c r="G101" i="10"/>
  <c r="G99" i="10"/>
  <c r="G102" i="10"/>
  <c r="C100" i="10"/>
  <c r="C101" i="10"/>
  <c r="C99" i="10"/>
  <c r="C102" i="10"/>
  <c r="N100" i="10"/>
  <c r="N101" i="10"/>
  <c r="N99" i="10"/>
  <c r="N102" i="10"/>
  <c r="J100" i="10"/>
  <c r="J101" i="10"/>
  <c r="J99" i="10"/>
  <c r="J102" i="10"/>
  <c r="F100" i="10"/>
  <c r="F101" i="10"/>
  <c r="F99" i="10"/>
  <c r="F102" i="10"/>
  <c r="B100" i="10"/>
  <c r="B99" i="10"/>
  <c r="B101" i="10"/>
  <c r="B102" i="10"/>
  <c r="M99" i="10"/>
  <c r="M102" i="10"/>
  <c r="M100" i="10"/>
  <c r="M101" i="10"/>
  <c r="I99" i="10"/>
  <c r="I102" i="10"/>
  <c r="I100" i="10"/>
  <c r="I101" i="10"/>
  <c r="E99" i="10"/>
  <c r="E102" i="10"/>
  <c r="E100" i="10"/>
  <c r="E101" i="10"/>
  <c r="P101" i="10"/>
  <c r="P99" i="10"/>
  <c r="P102" i="10"/>
  <c r="P100" i="10"/>
  <c r="L101" i="10"/>
  <c r="L99" i="10"/>
  <c r="L102" i="10"/>
  <c r="L100" i="10"/>
  <c r="H101" i="10"/>
  <c r="H99" i="10"/>
  <c r="H102" i="10"/>
  <c r="H100" i="10"/>
  <c r="D101" i="10"/>
  <c r="D99" i="10"/>
  <c r="D102" i="10"/>
  <c r="D100" i="10"/>
  <c r="D38" i="11"/>
  <c r="D37" i="11"/>
  <c r="D36" i="11"/>
  <c r="D35" i="11"/>
  <c r="H38" i="11"/>
  <c r="H37" i="11"/>
  <c r="H36" i="11"/>
  <c r="H35" i="11"/>
  <c r="L38" i="11"/>
  <c r="L37" i="11"/>
  <c r="L36" i="11"/>
  <c r="L35" i="11"/>
  <c r="P38" i="11"/>
  <c r="P37" i="11"/>
  <c r="P36" i="11"/>
  <c r="P35" i="11"/>
  <c r="E37" i="11"/>
  <c r="E36" i="11"/>
  <c r="E35" i="11"/>
  <c r="E38" i="11"/>
  <c r="I37" i="11"/>
  <c r="I36" i="11"/>
  <c r="I35" i="11"/>
  <c r="I38" i="11"/>
  <c r="M37" i="11"/>
  <c r="M36" i="11"/>
  <c r="M35" i="11"/>
  <c r="M38" i="11"/>
  <c r="Q37" i="11"/>
  <c r="Q36" i="11"/>
  <c r="Q35" i="11"/>
  <c r="Q38" i="11"/>
  <c r="F36" i="11"/>
  <c r="F35" i="11"/>
  <c r="F38" i="11"/>
  <c r="F37" i="11"/>
  <c r="J36" i="11"/>
  <c r="J35" i="11"/>
  <c r="J38" i="11"/>
  <c r="J37" i="11"/>
  <c r="N36" i="11"/>
  <c r="N35" i="11"/>
  <c r="N38" i="11"/>
  <c r="N37" i="11"/>
  <c r="R36" i="11"/>
  <c r="R35" i="11"/>
  <c r="R38" i="11"/>
  <c r="R37" i="11"/>
  <c r="C35" i="11"/>
  <c r="C38" i="11"/>
  <c r="C37" i="11"/>
  <c r="C36" i="11"/>
  <c r="G35" i="11"/>
  <c r="G38" i="11"/>
  <c r="G37" i="11"/>
  <c r="G36" i="11"/>
  <c r="K35" i="11"/>
  <c r="K38" i="11"/>
  <c r="K37" i="11"/>
  <c r="K36" i="11"/>
  <c r="O35" i="11"/>
  <c r="O38" i="11"/>
  <c r="O37" i="11"/>
  <c r="O36" i="11"/>
  <c r="S35" i="11"/>
  <c r="S38" i="11"/>
  <c r="S37" i="11"/>
  <c r="S36" i="11"/>
  <c r="B38" i="11"/>
  <c r="B37" i="11"/>
  <c r="B36" i="11"/>
  <c r="B35" i="11"/>
  <c r="N46" i="12"/>
  <c r="C46" i="12"/>
  <c r="G46" i="12"/>
  <c r="E46" i="12"/>
  <c r="I46" i="12"/>
  <c r="M46" i="12"/>
  <c r="Q46" i="12"/>
  <c r="U46" i="12"/>
  <c r="Y46" i="12"/>
  <c r="C20" i="12"/>
  <c r="O20" i="12"/>
  <c r="W20" i="12"/>
  <c r="R46" i="12"/>
  <c r="H20" i="12"/>
  <c r="G20" i="12"/>
  <c r="D20" i="12"/>
  <c r="S46" i="12"/>
  <c r="J46" i="12"/>
  <c r="V46" i="12"/>
  <c r="K46" i="12"/>
  <c r="O46" i="12"/>
  <c r="AA46" i="12"/>
  <c r="B46" i="12"/>
  <c r="W46" i="12"/>
  <c r="F46" i="12"/>
  <c r="Z46" i="12"/>
  <c r="D46" i="12"/>
  <c r="H46" i="12"/>
  <c r="L46" i="12"/>
  <c r="P46" i="12"/>
  <c r="T46" i="12"/>
  <c r="X46" i="12"/>
  <c r="AB46" i="12"/>
  <c r="J20" i="12"/>
  <c r="Z20" i="12"/>
  <c r="L20" i="12"/>
  <c r="P20" i="12"/>
  <c r="T20" i="12"/>
  <c r="X20" i="12"/>
  <c r="AB20" i="12"/>
  <c r="F20" i="12"/>
  <c r="K20" i="12"/>
  <c r="S20" i="12"/>
  <c r="AA20" i="12"/>
  <c r="R20" i="12"/>
  <c r="E20" i="12"/>
  <c r="I20" i="12"/>
  <c r="M20" i="12"/>
  <c r="Q20" i="12"/>
  <c r="U20" i="12"/>
  <c r="Y20" i="12"/>
  <c r="B20" i="12"/>
  <c r="N20" i="12"/>
  <c r="V20" i="12"/>
  <c r="F20" i="11"/>
  <c r="F19" i="11"/>
  <c r="J20" i="11"/>
  <c r="J19" i="11"/>
  <c r="R20" i="11"/>
  <c r="R19" i="11"/>
  <c r="B20" i="11"/>
  <c r="B19" i="11"/>
  <c r="N20" i="11"/>
  <c r="N19" i="11"/>
  <c r="D20" i="11"/>
  <c r="D19" i="11"/>
  <c r="H20" i="11"/>
  <c r="H19" i="11"/>
  <c r="L20" i="11"/>
  <c r="L19" i="11"/>
  <c r="P20" i="11"/>
  <c r="P19" i="11"/>
  <c r="B15" i="11"/>
  <c r="J15" i="11"/>
  <c r="B16" i="11"/>
  <c r="J16" i="11"/>
  <c r="B17" i="11"/>
  <c r="N17" i="11"/>
  <c r="D15" i="11"/>
  <c r="H15" i="11"/>
  <c r="L15" i="11"/>
  <c r="P15" i="11"/>
  <c r="D16" i="11"/>
  <c r="H16" i="11"/>
  <c r="L16" i="11"/>
  <c r="P16" i="11"/>
  <c r="D17" i="11"/>
  <c r="H17" i="11"/>
  <c r="L17" i="11"/>
  <c r="P17" i="11"/>
  <c r="C18" i="11"/>
  <c r="G18" i="11"/>
  <c r="K18" i="11"/>
  <c r="O18" i="11"/>
  <c r="S18" i="11"/>
  <c r="N15" i="11"/>
  <c r="N16" i="11"/>
  <c r="J17" i="11"/>
  <c r="R17" i="11"/>
  <c r="E15" i="11"/>
  <c r="I15" i="11"/>
  <c r="M15" i="11"/>
  <c r="Q15" i="11"/>
  <c r="E16" i="11"/>
  <c r="I16" i="11"/>
  <c r="M16" i="11"/>
  <c r="Q16" i="11"/>
  <c r="E17" i="11"/>
  <c r="I17" i="11"/>
  <c r="M17" i="11"/>
  <c r="Q17" i="11"/>
  <c r="E18" i="11"/>
  <c r="I18" i="11"/>
  <c r="M18" i="11"/>
  <c r="Q18" i="11"/>
  <c r="F15" i="11"/>
  <c r="R15" i="11"/>
  <c r="F16" i="11"/>
  <c r="R16" i="11"/>
  <c r="F17" i="11"/>
  <c r="C15" i="11"/>
  <c r="G15" i="11"/>
  <c r="K15" i="11"/>
  <c r="O15" i="11"/>
  <c r="S15" i="11"/>
  <c r="C16" i="11"/>
  <c r="G16" i="11"/>
  <c r="K16" i="11"/>
  <c r="O16" i="11"/>
  <c r="S16" i="11"/>
  <c r="B22" i="12" l="1"/>
  <c r="B23" i="12"/>
  <c r="B21" i="12"/>
  <c r="M23" i="12"/>
  <c r="M21" i="12"/>
  <c r="M22" i="12"/>
  <c r="AA22" i="12"/>
  <c r="AA21" i="12"/>
  <c r="AA23" i="12"/>
  <c r="AB22" i="12"/>
  <c r="AB23" i="12"/>
  <c r="AB21" i="12"/>
  <c r="L22" i="12"/>
  <c r="L23" i="12"/>
  <c r="L21" i="12"/>
  <c r="X48" i="12"/>
  <c r="X47" i="12"/>
  <c r="X50" i="12"/>
  <c r="X49" i="12"/>
  <c r="H48" i="12"/>
  <c r="H47" i="12"/>
  <c r="H50" i="12"/>
  <c r="H49" i="12"/>
  <c r="W50" i="12"/>
  <c r="W49" i="12"/>
  <c r="W47" i="12"/>
  <c r="W48" i="12"/>
  <c r="K50" i="12"/>
  <c r="K49" i="12"/>
  <c r="K47" i="12"/>
  <c r="K48" i="12"/>
  <c r="D22" i="12"/>
  <c r="D23" i="12"/>
  <c r="D21" i="12"/>
  <c r="W24" i="12"/>
  <c r="W22" i="12"/>
  <c r="W23" i="12"/>
  <c r="W21" i="12"/>
  <c r="U48" i="12"/>
  <c r="U50" i="12"/>
  <c r="U47" i="12"/>
  <c r="U49" i="12"/>
  <c r="E48" i="12"/>
  <c r="E47" i="12"/>
  <c r="E49" i="12"/>
  <c r="Y23" i="12"/>
  <c r="Y21" i="12"/>
  <c r="Y22" i="12"/>
  <c r="I23" i="12"/>
  <c r="I21" i="12"/>
  <c r="I22" i="12"/>
  <c r="S22" i="12"/>
  <c r="S21" i="12"/>
  <c r="S23" i="12"/>
  <c r="X22" i="12"/>
  <c r="X21" i="12"/>
  <c r="X23" i="12"/>
  <c r="Z23" i="12"/>
  <c r="Z21" i="12"/>
  <c r="Z22" i="12"/>
  <c r="T48" i="12"/>
  <c r="T50" i="12"/>
  <c r="T47" i="12"/>
  <c r="T49" i="12"/>
  <c r="D48" i="12"/>
  <c r="D49" i="12"/>
  <c r="D47" i="12"/>
  <c r="B49" i="12"/>
  <c r="B47" i="12"/>
  <c r="B48" i="12"/>
  <c r="V50" i="12"/>
  <c r="V49" i="12"/>
  <c r="V47" i="12"/>
  <c r="V48" i="12"/>
  <c r="G22" i="12"/>
  <c r="G23" i="12"/>
  <c r="G21" i="12"/>
  <c r="O24" i="12"/>
  <c r="O22" i="12"/>
  <c r="O23" i="12"/>
  <c r="O21" i="12"/>
  <c r="Q48" i="12"/>
  <c r="Q50" i="12"/>
  <c r="Q49" i="12"/>
  <c r="Q47" i="12"/>
  <c r="G49" i="12"/>
  <c r="G47" i="12"/>
  <c r="G50" i="12"/>
  <c r="G48" i="12"/>
  <c r="V23" i="12"/>
  <c r="V21" i="12"/>
  <c r="V22" i="12"/>
  <c r="U23" i="12"/>
  <c r="U21" i="12"/>
  <c r="U22" i="12"/>
  <c r="E23" i="12"/>
  <c r="E21" i="12"/>
  <c r="E22" i="12"/>
  <c r="K22" i="12"/>
  <c r="K21" i="12"/>
  <c r="K23" i="12"/>
  <c r="T22" i="12"/>
  <c r="T23" i="12"/>
  <c r="T21" i="12"/>
  <c r="J23" i="12"/>
  <c r="J21" i="12"/>
  <c r="J22" i="12"/>
  <c r="P48" i="12"/>
  <c r="P47" i="12"/>
  <c r="P49" i="12"/>
  <c r="P50" i="12"/>
  <c r="Z50" i="12"/>
  <c r="Z49" i="12"/>
  <c r="Z47" i="12"/>
  <c r="Z48" i="12"/>
  <c r="AA50" i="12"/>
  <c r="AA49" i="12"/>
  <c r="AA47" i="12"/>
  <c r="AA48" i="12"/>
  <c r="J50" i="12"/>
  <c r="J49" i="12"/>
  <c r="J47" i="12"/>
  <c r="J48" i="12"/>
  <c r="H22" i="12"/>
  <c r="H21" i="12"/>
  <c r="H23" i="12"/>
  <c r="C22" i="12"/>
  <c r="C21" i="12"/>
  <c r="C23" i="12"/>
  <c r="M48" i="12"/>
  <c r="M50" i="12"/>
  <c r="M47" i="12"/>
  <c r="M49" i="12"/>
  <c r="C49" i="12"/>
  <c r="C47" i="12"/>
  <c r="C48" i="12"/>
  <c r="N23" i="12"/>
  <c r="N21" i="12"/>
  <c r="N22" i="12"/>
  <c r="Q23" i="12"/>
  <c r="Q21" i="12"/>
  <c r="Q22" i="12"/>
  <c r="R23" i="12"/>
  <c r="R21" i="12"/>
  <c r="R22" i="12"/>
  <c r="F23" i="12"/>
  <c r="F21" i="12"/>
  <c r="F22" i="12"/>
  <c r="P22" i="12"/>
  <c r="P21" i="12"/>
  <c r="P23" i="12"/>
  <c r="AB48" i="12"/>
  <c r="AB47" i="12"/>
  <c r="AB49" i="12"/>
  <c r="L48" i="12"/>
  <c r="L47" i="12"/>
  <c r="L50" i="12"/>
  <c r="L49" i="12"/>
  <c r="F49" i="12"/>
  <c r="F47" i="12"/>
  <c r="F48" i="12"/>
  <c r="O50" i="12"/>
  <c r="O49" i="12"/>
  <c r="O47" i="12"/>
  <c r="O48" i="12"/>
  <c r="S50" i="12"/>
  <c r="S49" i="12"/>
  <c r="S47" i="12"/>
  <c r="S48" i="12"/>
  <c r="R50" i="12"/>
  <c r="R49" i="12"/>
  <c r="R47" i="12"/>
  <c r="R48" i="12"/>
  <c r="Y48" i="12"/>
  <c r="Y50" i="12"/>
  <c r="Y49" i="12"/>
  <c r="Y47" i="12"/>
  <c r="I48" i="12"/>
  <c r="I50" i="12"/>
  <c r="I49" i="12"/>
  <c r="I47" i="12"/>
  <c r="N50" i="12"/>
  <c r="N49" i="12"/>
  <c r="N47" i="12"/>
  <c r="N48" i="12"/>
  <c r="B103" i="10"/>
  <c r="B104" i="10"/>
  <c r="F104" i="10"/>
  <c r="F103" i="10"/>
  <c r="J104" i="10"/>
  <c r="J103" i="10"/>
  <c r="N104" i="10"/>
  <c r="N103" i="10"/>
  <c r="C104" i="10"/>
  <c r="C103" i="10"/>
  <c r="G104" i="10"/>
  <c r="G103" i="10"/>
  <c r="K104" i="10"/>
  <c r="K103" i="10"/>
  <c r="D103" i="10"/>
  <c r="D104" i="10"/>
  <c r="H103" i="10"/>
  <c r="H104" i="10"/>
  <c r="L103" i="10"/>
  <c r="L104" i="10"/>
  <c r="P103" i="10"/>
  <c r="P104" i="10"/>
  <c r="O104" i="10"/>
  <c r="O103" i="10"/>
  <c r="E103" i="10"/>
  <c r="E104" i="10"/>
  <c r="I103" i="10"/>
  <c r="I104" i="10"/>
  <c r="M103" i="10"/>
  <c r="M104" i="10"/>
  <c r="H24" i="12"/>
  <c r="Q40" i="11"/>
  <c r="Q39" i="11"/>
  <c r="M40" i="11"/>
  <c r="M39" i="11"/>
  <c r="I40" i="11"/>
  <c r="I39" i="11"/>
  <c r="E40" i="11"/>
  <c r="E39" i="11"/>
  <c r="R40" i="11"/>
  <c r="R39" i="11"/>
  <c r="N40" i="11"/>
  <c r="N39" i="11"/>
  <c r="J40" i="11"/>
  <c r="J39" i="11"/>
  <c r="F40" i="11"/>
  <c r="F39" i="11"/>
  <c r="S40" i="11"/>
  <c r="S39" i="11"/>
  <c r="O40" i="11"/>
  <c r="O39" i="11"/>
  <c r="K40" i="11"/>
  <c r="K39" i="11"/>
  <c r="G40" i="11"/>
  <c r="G39" i="11"/>
  <c r="C40" i="11"/>
  <c r="C39" i="11"/>
  <c r="B40" i="11"/>
  <c r="B39" i="11"/>
  <c r="P39" i="11"/>
  <c r="P40" i="11"/>
  <c r="L39" i="11"/>
  <c r="L40" i="11"/>
  <c r="H39" i="11"/>
  <c r="H40" i="11"/>
  <c r="D39" i="11"/>
  <c r="D40" i="11"/>
  <c r="G24" i="12"/>
  <c r="U24" i="12"/>
  <c r="X24" i="12"/>
  <c r="T24" i="12"/>
  <c r="Y24" i="12"/>
  <c r="Q24" i="12"/>
  <c r="I24" i="12"/>
  <c r="P24" i="12"/>
  <c r="N24" i="12"/>
  <c r="M24" i="12"/>
  <c r="R24" i="12"/>
  <c r="S24" i="12"/>
  <c r="Z24" i="12"/>
  <c r="K24" i="12"/>
  <c r="J24" i="12"/>
  <c r="V24" i="12"/>
  <c r="AA24" i="12"/>
  <c r="L24" i="12"/>
  <c r="M20" i="11"/>
  <c r="M19" i="11"/>
  <c r="G20" i="11"/>
  <c r="G19" i="11"/>
  <c r="S20" i="11"/>
  <c r="S19" i="11"/>
  <c r="E20" i="11"/>
  <c r="E19" i="11"/>
  <c r="O20" i="11"/>
  <c r="O19" i="11"/>
  <c r="I20" i="11"/>
  <c r="I19" i="11"/>
  <c r="C20" i="11"/>
  <c r="C19" i="11"/>
  <c r="Q20" i="11"/>
  <c r="Q19" i="11"/>
  <c r="K20" i="11"/>
  <c r="K19" i="11"/>
  <c r="V26" i="12" l="1"/>
  <c r="V25" i="12"/>
  <c r="S26" i="12"/>
  <c r="S25" i="12"/>
  <c r="P25" i="12"/>
  <c r="P26" i="12"/>
  <c r="T26" i="12"/>
  <c r="T25" i="12"/>
  <c r="H25" i="12"/>
  <c r="H26" i="12"/>
  <c r="J52" i="12"/>
  <c r="J51" i="12"/>
  <c r="AA52" i="12"/>
  <c r="AA51" i="12"/>
  <c r="Z52" i="12"/>
  <c r="Z51" i="12"/>
  <c r="G52" i="12"/>
  <c r="G51" i="12"/>
  <c r="U51" i="12"/>
  <c r="U52" i="12"/>
  <c r="K51" i="12"/>
  <c r="K52" i="12"/>
  <c r="W51" i="12"/>
  <c r="W52" i="12"/>
  <c r="J26" i="12"/>
  <c r="J25" i="12"/>
  <c r="R26" i="12"/>
  <c r="R25" i="12"/>
  <c r="I26" i="12"/>
  <c r="I25" i="12"/>
  <c r="X25" i="12"/>
  <c r="X26" i="12"/>
  <c r="I51" i="12"/>
  <c r="I52" i="12"/>
  <c r="Y51" i="12"/>
  <c r="Y52" i="12"/>
  <c r="M51" i="12"/>
  <c r="M52" i="12"/>
  <c r="P52" i="12"/>
  <c r="P51" i="12"/>
  <c r="Q51" i="12"/>
  <c r="Q52" i="12"/>
  <c r="V51" i="12"/>
  <c r="V52" i="12"/>
  <c r="W26" i="12"/>
  <c r="W25" i="12"/>
  <c r="L26" i="12"/>
  <c r="L25" i="12"/>
  <c r="K26" i="12"/>
  <c r="K25" i="12"/>
  <c r="M25" i="12"/>
  <c r="M26" i="12"/>
  <c r="Q26" i="12"/>
  <c r="Q25" i="12"/>
  <c r="U25" i="12"/>
  <c r="U26" i="12"/>
  <c r="N51" i="12"/>
  <c r="N52" i="12"/>
  <c r="R52" i="12"/>
  <c r="R51" i="12"/>
  <c r="S52" i="12"/>
  <c r="S51" i="12"/>
  <c r="O52" i="12"/>
  <c r="O51" i="12"/>
  <c r="O26" i="12"/>
  <c r="O25" i="12"/>
  <c r="T52" i="12"/>
  <c r="T51" i="12"/>
  <c r="H52" i="12"/>
  <c r="H51" i="12"/>
  <c r="X52" i="12"/>
  <c r="X51" i="12"/>
  <c r="AA26" i="12"/>
  <c r="AA25" i="12"/>
  <c r="Z26" i="12"/>
  <c r="Z25" i="12"/>
  <c r="N26" i="12"/>
  <c r="N25" i="12"/>
  <c r="Y26" i="12"/>
  <c r="Y25" i="12"/>
  <c r="G26" i="12"/>
  <c r="G25" i="12"/>
  <c r="L52" i="12"/>
  <c r="L51" i="12"/>
  <c r="C48" i="10"/>
  <c r="B48" i="10"/>
  <c r="I48" i="10"/>
  <c r="H48" i="10"/>
  <c r="D48" i="10"/>
  <c r="G48" i="10"/>
  <c r="F48" i="10"/>
  <c r="E48" i="10"/>
  <c r="L16" i="9"/>
  <c r="M16" i="9"/>
  <c r="N16" i="9"/>
  <c r="O16" i="9"/>
  <c r="P16" i="9"/>
  <c r="Q16" i="9"/>
  <c r="R16" i="9"/>
  <c r="S16" i="9"/>
  <c r="T16" i="9"/>
  <c r="U16" i="9"/>
  <c r="V16" i="9"/>
  <c r="W16" i="9"/>
  <c r="W18" i="9" s="1"/>
  <c r="X16" i="9"/>
  <c r="F16" i="9"/>
  <c r="G16" i="9"/>
  <c r="H16" i="9"/>
  <c r="I16" i="9"/>
  <c r="J16" i="9"/>
  <c r="K16" i="9"/>
  <c r="C16" i="9"/>
  <c r="D16" i="9"/>
  <c r="E16" i="9"/>
  <c r="B16" i="9"/>
  <c r="X57" i="9"/>
  <c r="W57" i="9"/>
  <c r="V57" i="9"/>
  <c r="U57" i="9"/>
  <c r="T57" i="9"/>
  <c r="S57" i="9"/>
  <c r="R57" i="9"/>
  <c r="Q57" i="9"/>
  <c r="P57" i="9"/>
  <c r="O57" i="9"/>
  <c r="N57" i="9"/>
  <c r="M57" i="9"/>
  <c r="L57" i="9"/>
  <c r="K57" i="9"/>
  <c r="J57" i="9"/>
  <c r="I57" i="9"/>
  <c r="H57" i="9"/>
  <c r="G57" i="9"/>
  <c r="F57" i="9"/>
  <c r="E57" i="9"/>
  <c r="D57" i="9"/>
  <c r="C57" i="9"/>
  <c r="B57" i="9"/>
  <c r="B51" i="8"/>
  <c r="C82" i="7"/>
  <c r="C86" i="7" s="1"/>
  <c r="D82" i="7"/>
  <c r="D86" i="7" s="1"/>
  <c r="E82" i="7"/>
  <c r="E86" i="7" s="1"/>
  <c r="F82" i="7"/>
  <c r="F86" i="7" s="1"/>
  <c r="G82" i="7"/>
  <c r="G86" i="7" s="1"/>
  <c r="H82" i="7"/>
  <c r="H86" i="7" s="1"/>
  <c r="I82" i="7"/>
  <c r="I86" i="7" s="1"/>
  <c r="J82" i="7"/>
  <c r="J86" i="7" s="1"/>
  <c r="K82" i="7"/>
  <c r="K86" i="7" s="1"/>
  <c r="L82" i="7"/>
  <c r="L86" i="7" s="1"/>
  <c r="M82" i="7"/>
  <c r="M86" i="7" s="1"/>
  <c r="N82" i="7"/>
  <c r="N86" i="7" s="1"/>
  <c r="O82" i="7"/>
  <c r="O86" i="7" s="1"/>
  <c r="P82" i="7"/>
  <c r="P86" i="7" s="1"/>
  <c r="Q82" i="7"/>
  <c r="Q86" i="7" s="1"/>
  <c r="R82" i="7"/>
  <c r="R86" i="7" s="1"/>
  <c r="S82" i="7"/>
  <c r="S86" i="7" s="1"/>
  <c r="T82" i="7"/>
  <c r="T86" i="7" s="1"/>
  <c r="U82" i="7"/>
  <c r="U86" i="7" s="1"/>
  <c r="V82" i="7"/>
  <c r="V86" i="7" s="1"/>
  <c r="W82" i="7"/>
  <c r="W86" i="7" s="1"/>
  <c r="X82" i="7"/>
  <c r="X86" i="7" s="1"/>
  <c r="Y82" i="7"/>
  <c r="Y86" i="7" s="1"/>
  <c r="Z82" i="7"/>
  <c r="Z86" i="7" s="1"/>
  <c r="AA82" i="7"/>
  <c r="AA86" i="7" s="1"/>
  <c r="B82" i="7"/>
  <c r="B86" i="7" s="1"/>
  <c r="AA38" i="7"/>
  <c r="Z38" i="7"/>
  <c r="Z39" i="7" s="1"/>
  <c r="Y38" i="7"/>
  <c r="X38" i="7"/>
  <c r="W38" i="7"/>
  <c r="V38" i="7"/>
  <c r="V40" i="7" s="1"/>
  <c r="U38" i="7"/>
  <c r="T38" i="7"/>
  <c r="S38" i="7"/>
  <c r="Q38" i="7"/>
  <c r="P38" i="7"/>
  <c r="O38" i="7"/>
  <c r="N38" i="7"/>
  <c r="M38" i="7"/>
  <c r="L38" i="7"/>
  <c r="K38" i="7"/>
  <c r="J38" i="7"/>
  <c r="I38" i="7"/>
  <c r="H38" i="7"/>
  <c r="G38" i="7"/>
  <c r="F38" i="7"/>
  <c r="E38" i="7"/>
  <c r="D38" i="7"/>
  <c r="C38" i="7"/>
  <c r="B38" i="7"/>
  <c r="U38" i="6"/>
  <c r="U42" i="6" s="1"/>
  <c r="T38" i="6"/>
  <c r="T42" i="6" s="1"/>
  <c r="S38" i="6"/>
  <c r="S42" i="6" s="1"/>
  <c r="R38" i="6"/>
  <c r="R42" i="6" s="1"/>
  <c r="Q38" i="6"/>
  <c r="Q42" i="6" s="1"/>
  <c r="P38" i="6"/>
  <c r="P42" i="6" s="1"/>
  <c r="O38" i="6"/>
  <c r="O42" i="6" s="1"/>
  <c r="N38" i="6"/>
  <c r="N42" i="6" s="1"/>
  <c r="M38" i="6"/>
  <c r="M42" i="6" s="1"/>
  <c r="L38" i="6"/>
  <c r="L42" i="6" s="1"/>
  <c r="K38" i="6"/>
  <c r="K42" i="6" s="1"/>
  <c r="J38" i="6"/>
  <c r="J42" i="6" s="1"/>
  <c r="I38" i="6"/>
  <c r="I42" i="6" s="1"/>
  <c r="H38" i="6"/>
  <c r="H42" i="6" s="1"/>
  <c r="G38" i="6"/>
  <c r="G42" i="6" s="1"/>
  <c r="F38" i="6"/>
  <c r="F42" i="6" s="1"/>
  <c r="E38" i="6"/>
  <c r="E42" i="6" s="1"/>
  <c r="D38" i="6"/>
  <c r="D42" i="6" s="1"/>
  <c r="C38" i="6"/>
  <c r="C42" i="6" s="1"/>
  <c r="B38" i="6"/>
  <c r="O26" i="6"/>
  <c r="N26" i="6" s="1"/>
  <c r="M26" i="6" s="1"/>
  <c r="L26" i="6" s="1"/>
  <c r="K26" i="6" s="1"/>
  <c r="J26" i="6" s="1"/>
  <c r="I26" i="6" s="1"/>
  <c r="H26" i="6" s="1"/>
  <c r="G26" i="6" s="1"/>
  <c r="F26" i="6" s="1"/>
  <c r="E26" i="6" s="1"/>
  <c r="D26" i="6" s="1"/>
  <c r="C26" i="6" s="1"/>
  <c r="B26" i="6" s="1"/>
  <c r="V21" i="6"/>
  <c r="R21" i="6"/>
  <c r="N21" i="6"/>
  <c r="J21" i="6"/>
  <c r="F21" i="6"/>
  <c r="B21" i="6"/>
  <c r="W22" i="6"/>
  <c r="V22" i="6"/>
  <c r="U21" i="6"/>
  <c r="T21" i="6"/>
  <c r="S22" i="6"/>
  <c r="R22" i="6"/>
  <c r="Q21" i="6"/>
  <c r="P21" i="6"/>
  <c r="O22" i="6"/>
  <c r="N22" i="6"/>
  <c r="M21" i="6"/>
  <c r="L22" i="6"/>
  <c r="K22" i="6"/>
  <c r="J22" i="6"/>
  <c r="I21" i="6"/>
  <c r="H21" i="6"/>
  <c r="G22" i="6"/>
  <c r="F22" i="6"/>
  <c r="E21" i="6"/>
  <c r="D21" i="6"/>
  <c r="C22" i="6"/>
  <c r="B22" i="6"/>
  <c r="V17" i="6"/>
  <c r="N19" i="6"/>
  <c r="F18" i="6"/>
  <c r="R17" i="6"/>
  <c r="J19" i="6"/>
  <c r="W17" i="6"/>
  <c r="U17" i="6"/>
  <c r="T17" i="6"/>
  <c r="S17" i="6"/>
  <c r="Q17" i="6"/>
  <c r="P17" i="6"/>
  <c r="O17" i="6"/>
  <c r="M17" i="6"/>
  <c r="L17" i="6"/>
  <c r="K17" i="6"/>
  <c r="I17" i="6"/>
  <c r="H17" i="6"/>
  <c r="G17" i="6"/>
  <c r="E17" i="6"/>
  <c r="D17" i="6"/>
  <c r="C17" i="6"/>
  <c r="V4" i="6"/>
  <c r="W4" i="6" s="1"/>
  <c r="O4" i="6"/>
  <c r="N4" i="6" s="1"/>
  <c r="M4" i="6" s="1"/>
  <c r="L4" i="6" s="1"/>
  <c r="K4" i="6" s="1"/>
  <c r="J4" i="6" s="1"/>
  <c r="I4" i="6" s="1"/>
  <c r="H4" i="6" s="1"/>
  <c r="G4" i="6" s="1"/>
  <c r="F4" i="6" s="1"/>
  <c r="E4" i="6" s="1"/>
  <c r="D4" i="6" s="1"/>
  <c r="C4" i="6" s="1"/>
  <c r="B4" i="6" s="1"/>
  <c r="O36" i="4"/>
  <c r="O40" i="4" s="1"/>
  <c r="P36" i="4"/>
  <c r="P40" i="4" s="1"/>
  <c r="Q36" i="4"/>
  <c r="Q40" i="4" s="1"/>
  <c r="L36" i="4"/>
  <c r="L40" i="4" s="1"/>
  <c r="M36" i="4"/>
  <c r="M40" i="4" s="1"/>
  <c r="N36" i="4"/>
  <c r="N40" i="4" s="1"/>
  <c r="B36" i="4"/>
  <c r="B40" i="4" s="1"/>
  <c r="C36" i="4"/>
  <c r="C40" i="4" s="1"/>
  <c r="D36" i="4"/>
  <c r="D40" i="4" s="1"/>
  <c r="E36" i="4"/>
  <c r="E40" i="4" s="1"/>
  <c r="F36" i="4"/>
  <c r="F40" i="4" s="1"/>
  <c r="G36" i="4"/>
  <c r="G40" i="4" s="1"/>
  <c r="H36" i="4"/>
  <c r="H40" i="4" s="1"/>
  <c r="I36" i="4"/>
  <c r="I40" i="4" s="1"/>
  <c r="J36" i="4"/>
  <c r="J40" i="4" s="1"/>
  <c r="K36" i="4"/>
  <c r="K40" i="4" s="1"/>
  <c r="N15" i="4"/>
  <c r="J15" i="4"/>
  <c r="P15" i="4"/>
  <c r="L15" i="4"/>
  <c r="H15" i="4"/>
  <c r="F15" i="4"/>
  <c r="D15" i="4"/>
  <c r="Q15" i="4"/>
  <c r="O15" i="4"/>
  <c r="M15" i="4"/>
  <c r="K15" i="4"/>
  <c r="I15" i="4"/>
  <c r="G15" i="4"/>
  <c r="E15" i="4"/>
  <c r="C15" i="4"/>
  <c r="B15" i="4"/>
  <c r="H42" i="9" l="1"/>
  <c r="H44" i="9" s="1"/>
  <c r="H43" i="9"/>
  <c r="L42" i="9"/>
  <c r="L44" i="9" s="1"/>
  <c r="L43" i="9"/>
  <c r="T42" i="9"/>
  <c r="T44" i="9" s="1"/>
  <c r="T43" i="9"/>
  <c r="E42" i="9"/>
  <c r="E44" i="9" s="1"/>
  <c r="E43" i="9"/>
  <c r="M42" i="9"/>
  <c r="M44" i="9" s="1"/>
  <c r="M43" i="9"/>
  <c r="U42" i="9"/>
  <c r="U44" i="9" s="1"/>
  <c r="U43" i="9"/>
  <c r="B42" i="9"/>
  <c r="B44" i="9" s="1"/>
  <c r="B43" i="9"/>
  <c r="F42" i="9"/>
  <c r="F44" i="9" s="1"/>
  <c r="F43" i="9"/>
  <c r="J42" i="9"/>
  <c r="J44" i="9" s="1"/>
  <c r="J43" i="9"/>
  <c r="N42" i="9"/>
  <c r="N44" i="9" s="1"/>
  <c r="N43" i="9"/>
  <c r="R42" i="9"/>
  <c r="R44" i="9" s="1"/>
  <c r="R43" i="9"/>
  <c r="V42" i="9"/>
  <c r="V44" i="9" s="1"/>
  <c r="V43" i="9"/>
  <c r="D42" i="9"/>
  <c r="D44" i="9" s="1"/>
  <c r="D43" i="9"/>
  <c r="P42" i="9"/>
  <c r="P44" i="9" s="1"/>
  <c r="P43" i="9"/>
  <c r="X42" i="9"/>
  <c r="X44" i="9" s="1"/>
  <c r="X43" i="9"/>
  <c r="I42" i="9"/>
  <c r="I44" i="9" s="1"/>
  <c r="I43" i="9"/>
  <c r="Q42" i="9"/>
  <c r="Q44" i="9" s="1"/>
  <c r="Q43" i="9"/>
  <c r="C42" i="9"/>
  <c r="C44" i="9" s="1"/>
  <c r="C43" i="9"/>
  <c r="G42" i="9"/>
  <c r="G44" i="9" s="1"/>
  <c r="G43" i="9"/>
  <c r="K42" i="9"/>
  <c r="K44" i="9" s="1"/>
  <c r="K43" i="9"/>
  <c r="O42" i="9"/>
  <c r="O44" i="9" s="1"/>
  <c r="O43" i="9"/>
  <c r="S42" i="9"/>
  <c r="S44" i="9" s="1"/>
  <c r="S43" i="9"/>
  <c r="W42" i="9"/>
  <c r="W44" i="9" s="1"/>
  <c r="W43" i="9"/>
  <c r="G40" i="9"/>
  <c r="G39" i="9"/>
  <c r="G41" i="9"/>
  <c r="K40" i="9"/>
  <c r="K39" i="9"/>
  <c r="K41" i="9"/>
  <c r="S40" i="9"/>
  <c r="S39" i="9"/>
  <c r="S41" i="9"/>
  <c r="D39" i="9"/>
  <c r="D41" i="9"/>
  <c r="L40" i="9"/>
  <c r="L39" i="9"/>
  <c r="L41" i="9"/>
  <c r="T40" i="9"/>
  <c r="T39" i="9"/>
  <c r="T41" i="9"/>
  <c r="E41" i="9"/>
  <c r="E40" i="9"/>
  <c r="E39" i="9"/>
  <c r="I41" i="9"/>
  <c r="I40" i="9"/>
  <c r="I39" i="9"/>
  <c r="M41" i="9"/>
  <c r="M40" i="9"/>
  <c r="M39" i="9"/>
  <c r="Q41" i="9"/>
  <c r="Q40" i="9"/>
  <c r="Q39" i="9"/>
  <c r="U41" i="9"/>
  <c r="U40" i="9"/>
  <c r="U39" i="9"/>
  <c r="C39" i="9"/>
  <c r="C41" i="9"/>
  <c r="O40" i="9"/>
  <c r="O39" i="9"/>
  <c r="O41" i="9"/>
  <c r="W40" i="9"/>
  <c r="W39" i="9"/>
  <c r="W41" i="9"/>
  <c r="H40" i="9"/>
  <c r="H39" i="9"/>
  <c r="H41" i="9"/>
  <c r="P40" i="9"/>
  <c r="P39" i="9"/>
  <c r="P41" i="9"/>
  <c r="X40" i="9"/>
  <c r="X39" i="9"/>
  <c r="X41" i="9"/>
  <c r="B39" i="9"/>
  <c r="B41" i="9"/>
  <c r="F40" i="9"/>
  <c r="F39" i="9"/>
  <c r="F41" i="9"/>
  <c r="J40" i="9"/>
  <c r="J39" i="9"/>
  <c r="J41" i="9"/>
  <c r="N40" i="9"/>
  <c r="N39" i="9"/>
  <c r="N41" i="9"/>
  <c r="R40" i="9"/>
  <c r="R39" i="9"/>
  <c r="R41" i="9"/>
  <c r="V40" i="9"/>
  <c r="V39" i="9"/>
  <c r="V41" i="9"/>
  <c r="Z87" i="7"/>
  <c r="Z88" i="7"/>
  <c r="V87" i="7"/>
  <c r="V88" i="7"/>
  <c r="R87" i="7"/>
  <c r="R88" i="7"/>
  <c r="N87" i="7"/>
  <c r="N88" i="7"/>
  <c r="J87" i="7"/>
  <c r="J88" i="7"/>
  <c r="F87" i="7"/>
  <c r="F88" i="7"/>
  <c r="Y88" i="7"/>
  <c r="Y87" i="7"/>
  <c r="U88" i="7"/>
  <c r="U87" i="7"/>
  <c r="Q88" i="7"/>
  <c r="Q87" i="7"/>
  <c r="M88" i="7"/>
  <c r="M87" i="7"/>
  <c r="I88" i="7"/>
  <c r="I87" i="7"/>
  <c r="E88" i="7"/>
  <c r="E87" i="7"/>
  <c r="B88" i="7"/>
  <c r="B87" i="7"/>
  <c r="X88" i="7"/>
  <c r="X87" i="7"/>
  <c r="T88" i="7"/>
  <c r="T87" i="7"/>
  <c r="P88" i="7"/>
  <c r="P87" i="7"/>
  <c r="L88" i="7"/>
  <c r="L87" i="7"/>
  <c r="H88" i="7"/>
  <c r="H87" i="7"/>
  <c r="D88" i="7"/>
  <c r="D87" i="7"/>
  <c r="AA88" i="7"/>
  <c r="AA87" i="7"/>
  <c r="W88" i="7"/>
  <c r="W87" i="7"/>
  <c r="S88" i="7"/>
  <c r="S87" i="7"/>
  <c r="O88" i="7"/>
  <c r="O87" i="7"/>
  <c r="K88" i="7"/>
  <c r="K87" i="7"/>
  <c r="G88" i="7"/>
  <c r="G87" i="7"/>
  <c r="C88" i="7"/>
  <c r="C87" i="7"/>
  <c r="B85" i="7"/>
  <c r="B84" i="7"/>
  <c r="B83" i="7"/>
  <c r="X85" i="7"/>
  <c r="X84" i="7"/>
  <c r="X83" i="7"/>
  <c r="T85" i="7"/>
  <c r="T84" i="7"/>
  <c r="T83" i="7"/>
  <c r="P85" i="7"/>
  <c r="P84" i="7"/>
  <c r="P83" i="7"/>
  <c r="L85" i="7"/>
  <c r="L84" i="7"/>
  <c r="L83" i="7"/>
  <c r="H85" i="7"/>
  <c r="H84" i="7"/>
  <c r="H83" i="7"/>
  <c r="D85" i="7"/>
  <c r="D84" i="7"/>
  <c r="D83" i="7"/>
  <c r="AA83" i="7"/>
  <c r="AA85" i="7"/>
  <c r="AA84" i="7"/>
  <c r="W83" i="7"/>
  <c r="W85" i="7"/>
  <c r="W84" i="7"/>
  <c r="S83" i="7"/>
  <c r="S85" i="7"/>
  <c r="S84" i="7"/>
  <c r="O83" i="7"/>
  <c r="O85" i="7"/>
  <c r="O84" i="7"/>
  <c r="K83" i="7"/>
  <c r="K85" i="7"/>
  <c r="K84" i="7"/>
  <c r="G83" i="7"/>
  <c r="G85" i="7"/>
  <c r="G84" i="7"/>
  <c r="C83" i="7"/>
  <c r="C85" i="7"/>
  <c r="C84" i="7"/>
  <c r="Z84" i="7"/>
  <c r="Z83" i="7"/>
  <c r="Z85" i="7"/>
  <c r="V84" i="7"/>
  <c r="V83" i="7"/>
  <c r="V85" i="7"/>
  <c r="R84" i="7"/>
  <c r="R83" i="7"/>
  <c r="R85" i="7"/>
  <c r="N84" i="7"/>
  <c r="N83" i="7"/>
  <c r="N85" i="7"/>
  <c r="J84" i="7"/>
  <c r="J83" i="7"/>
  <c r="J85" i="7"/>
  <c r="F84" i="7"/>
  <c r="F83" i="7"/>
  <c r="F85" i="7"/>
  <c r="Y85" i="7"/>
  <c r="Y84" i="7"/>
  <c r="Y83" i="7"/>
  <c r="U85" i="7"/>
  <c r="U84" i="7"/>
  <c r="U83" i="7"/>
  <c r="Q85" i="7"/>
  <c r="Q84" i="7"/>
  <c r="Q83" i="7"/>
  <c r="M85" i="7"/>
  <c r="M84" i="7"/>
  <c r="M83" i="7"/>
  <c r="I85" i="7"/>
  <c r="I84" i="7"/>
  <c r="I83" i="7"/>
  <c r="E85" i="7"/>
  <c r="E84" i="7"/>
  <c r="E83" i="7"/>
  <c r="C43" i="6"/>
  <c r="C44" i="6"/>
  <c r="O43" i="6"/>
  <c r="O44" i="6"/>
  <c r="H43" i="6"/>
  <c r="H44" i="6"/>
  <c r="Q43" i="6"/>
  <c r="Q44" i="6"/>
  <c r="G43" i="6"/>
  <c r="G44" i="6"/>
  <c r="K43" i="6"/>
  <c r="K44" i="6"/>
  <c r="S43" i="6"/>
  <c r="S44" i="6"/>
  <c r="D44" i="6"/>
  <c r="D43" i="6"/>
  <c r="L43" i="6"/>
  <c r="L44" i="6"/>
  <c r="P43" i="6"/>
  <c r="P44" i="6"/>
  <c r="T43" i="6"/>
  <c r="T44" i="6"/>
  <c r="E44" i="6"/>
  <c r="E43" i="6"/>
  <c r="I43" i="6"/>
  <c r="I44" i="6"/>
  <c r="M43" i="6"/>
  <c r="M44" i="6"/>
  <c r="U43" i="6"/>
  <c r="U44" i="6"/>
  <c r="B42" i="6"/>
  <c r="F44" i="6"/>
  <c r="F43" i="6"/>
  <c r="J44" i="6"/>
  <c r="J43" i="6"/>
  <c r="N44" i="6"/>
  <c r="N43" i="6"/>
  <c r="R44" i="6"/>
  <c r="R43" i="6"/>
  <c r="B19" i="6"/>
  <c r="B40" i="6"/>
  <c r="B39" i="6"/>
  <c r="B41" i="6"/>
  <c r="J40" i="6"/>
  <c r="J41" i="6"/>
  <c r="J39" i="6"/>
  <c r="N40" i="6"/>
  <c r="N41" i="6"/>
  <c r="N39" i="6"/>
  <c r="G41" i="6"/>
  <c r="G39" i="6"/>
  <c r="G40" i="6"/>
  <c r="S41" i="6"/>
  <c r="S39" i="6"/>
  <c r="S40" i="6"/>
  <c r="E39" i="6"/>
  <c r="E40" i="6"/>
  <c r="E41" i="6"/>
  <c r="I39" i="6"/>
  <c r="I40" i="6"/>
  <c r="I41" i="6"/>
  <c r="M39" i="6"/>
  <c r="M40" i="6"/>
  <c r="M41" i="6"/>
  <c r="Q39" i="6"/>
  <c r="Q40" i="6"/>
  <c r="Q41" i="6"/>
  <c r="U39" i="6"/>
  <c r="U40" i="6"/>
  <c r="U41" i="6"/>
  <c r="F40" i="6"/>
  <c r="F41" i="6"/>
  <c r="F39" i="6"/>
  <c r="R40" i="6"/>
  <c r="R41" i="6"/>
  <c r="R39" i="6"/>
  <c r="C41" i="6"/>
  <c r="C39" i="6"/>
  <c r="C40" i="6"/>
  <c r="K41" i="6"/>
  <c r="K39" i="6"/>
  <c r="K40" i="6"/>
  <c r="O41" i="6"/>
  <c r="O39" i="6"/>
  <c r="O40" i="6"/>
  <c r="D39" i="6"/>
  <c r="D40" i="6"/>
  <c r="D41" i="6"/>
  <c r="H39" i="6"/>
  <c r="H40" i="6"/>
  <c r="H41" i="6"/>
  <c r="L39" i="6"/>
  <c r="L40" i="6"/>
  <c r="L41" i="6"/>
  <c r="P39" i="6"/>
  <c r="P40" i="6"/>
  <c r="P41" i="6"/>
  <c r="T39" i="6"/>
  <c r="T40" i="6"/>
  <c r="T41" i="6"/>
  <c r="J41" i="4"/>
  <c r="J42" i="4"/>
  <c r="F41" i="4"/>
  <c r="F42" i="4"/>
  <c r="B42" i="4"/>
  <c r="B41" i="4"/>
  <c r="Q42" i="4"/>
  <c r="Q41" i="4"/>
  <c r="I42" i="4"/>
  <c r="I41" i="4"/>
  <c r="E42" i="4"/>
  <c r="E41" i="4"/>
  <c r="N41" i="4"/>
  <c r="N42" i="4"/>
  <c r="P41" i="4"/>
  <c r="P42" i="4"/>
  <c r="H41" i="4"/>
  <c r="H42" i="4"/>
  <c r="D41" i="4"/>
  <c r="D42" i="4"/>
  <c r="M42" i="4"/>
  <c r="M41" i="4"/>
  <c r="O41" i="4"/>
  <c r="O42" i="4"/>
  <c r="K41" i="4"/>
  <c r="K42" i="4"/>
  <c r="G41" i="4"/>
  <c r="G42" i="4"/>
  <c r="C41" i="4"/>
  <c r="C42" i="4"/>
  <c r="L41" i="4"/>
  <c r="L42" i="4"/>
  <c r="E38" i="4"/>
  <c r="E39" i="4"/>
  <c r="E37" i="4"/>
  <c r="N39" i="4"/>
  <c r="N37" i="4"/>
  <c r="N38" i="4"/>
  <c r="P37" i="4"/>
  <c r="P38" i="4"/>
  <c r="P39" i="4"/>
  <c r="B37" i="4"/>
  <c r="B39" i="4"/>
  <c r="B38" i="4"/>
  <c r="I38" i="4"/>
  <c r="I39" i="4"/>
  <c r="I37" i="4"/>
  <c r="H37" i="4"/>
  <c r="H38" i="4"/>
  <c r="H39" i="4"/>
  <c r="D37" i="4"/>
  <c r="D38" i="4"/>
  <c r="D39" i="4"/>
  <c r="M38" i="4"/>
  <c r="M39" i="4"/>
  <c r="M37" i="4"/>
  <c r="O37" i="4"/>
  <c r="O38" i="4"/>
  <c r="O39" i="4"/>
  <c r="J39" i="4"/>
  <c r="J37" i="4"/>
  <c r="J38" i="4"/>
  <c r="F39" i="4"/>
  <c r="F37" i="4"/>
  <c r="F38" i="4"/>
  <c r="Q38" i="4"/>
  <c r="Q39" i="4"/>
  <c r="Q37" i="4"/>
  <c r="K37" i="4"/>
  <c r="K38" i="4"/>
  <c r="K39" i="4"/>
  <c r="G37" i="4"/>
  <c r="G38" i="4"/>
  <c r="G39" i="4"/>
  <c r="C37" i="4"/>
  <c r="C38" i="4"/>
  <c r="C39" i="4"/>
  <c r="L37" i="4"/>
  <c r="L38" i="4"/>
  <c r="L39" i="4"/>
  <c r="E25" i="8"/>
  <c r="E24" i="8"/>
  <c r="E23" i="8"/>
  <c r="I25" i="8"/>
  <c r="I23" i="8"/>
  <c r="I24" i="8"/>
  <c r="M25" i="8"/>
  <c r="M24" i="8"/>
  <c r="M23" i="8"/>
  <c r="Q25" i="8"/>
  <c r="Q23" i="8"/>
  <c r="Q24" i="8"/>
  <c r="D52" i="8"/>
  <c r="D55" i="8"/>
  <c r="D54" i="8"/>
  <c r="D53" i="8"/>
  <c r="H52" i="8"/>
  <c r="H55" i="8"/>
  <c r="H54" i="8"/>
  <c r="H53" i="8"/>
  <c r="L52" i="8"/>
  <c r="L55" i="8"/>
  <c r="L54" i="8"/>
  <c r="L53" i="8"/>
  <c r="P52" i="8"/>
  <c r="P55" i="8"/>
  <c r="P53" i="8"/>
  <c r="P54" i="8"/>
  <c r="B24" i="8"/>
  <c r="B23" i="8"/>
  <c r="B25" i="8"/>
  <c r="F23" i="8"/>
  <c r="F25" i="8"/>
  <c r="F24" i="8"/>
  <c r="J23" i="8"/>
  <c r="J24" i="8"/>
  <c r="J25" i="8"/>
  <c r="N23" i="8"/>
  <c r="N25" i="8"/>
  <c r="N24" i="8"/>
  <c r="R23" i="8"/>
  <c r="R24" i="8"/>
  <c r="R25" i="8"/>
  <c r="E53" i="8"/>
  <c r="E52" i="8"/>
  <c r="E55" i="8"/>
  <c r="E54" i="8"/>
  <c r="I53" i="8"/>
  <c r="I52" i="8"/>
  <c r="I55" i="8"/>
  <c r="I54" i="8"/>
  <c r="M53" i="8"/>
  <c r="M52" i="8"/>
  <c r="M55" i="8"/>
  <c r="M54" i="8"/>
  <c r="Q53" i="8"/>
  <c r="Q52" i="8"/>
  <c r="Q55" i="8"/>
  <c r="Q54" i="8"/>
  <c r="C24" i="8"/>
  <c r="C23" i="8"/>
  <c r="C25" i="8"/>
  <c r="G24" i="8"/>
  <c r="G23" i="8"/>
  <c r="G25" i="8"/>
  <c r="K24" i="8"/>
  <c r="K23" i="8"/>
  <c r="K25" i="8"/>
  <c r="O24" i="8"/>
  <c r="O23" i="8"/>
  <c r="O25" i="8"/>
  <c r="B55" i="8"/>
  <c r="B58" i="8" s="1"/>
  <c r="B54" i="8"/>
  <c r="B53" i="8"/>
  <c r="B52" i="8"/>
  <c r="F54" i="8"/>
  <c r="F53" i="8"/>
  <c r="F55" i="8"/>
  <c r="F52" i="8"/>
  <c r="J54" i="8"/>
  <c r="J53" i="8"/>
  <c r="J55" i="8"/>
  <c r="J52" i="8"/>
  <c r="N54" i="8"/>
  <c r="N53" i="8"/>
  <c r="N55" i="8"/>
  <c r="N52" i="8"/>
  <c r="R54" i="8"/>
  <c r="R53" i="8"/>
  <c r="R52" i="8"/>
  <c r="R55" i="8"/>
  <c r="D25" i="8"/>
  <c r="D24" i="8"/>
  <c r="D23" i="8"/>
  <c r="H25" i="8"/>
  <c r="H24" i="8"/>
  <c r="H23" i="8"/>
  <c r="L25" i="8"/>
  <c r="L24" i="8"/>
  <c r="L23" i="8"/>
  <c r="P25" i="8"/>
  <c r="P24" i="8"/>
  <c r="P23" i="8"/>
  <c r="C55" i="8"/>
  <c r="C54" i="8"/>
  <c r="C53" i="8"/>
  <c r="C52" i="8"/>
  <c r="G55" i="8"/>
  <c r="G54" i="8"/>
  <c r="G52" i="8"/>
  <c r="G53" i="8"/>
  <c r="K55" i="8"/>
  <c r="K54" i="8"/>
  <c r="K53" i="8"/>
  <c r="K52" i="8"/>
  <c r="O55" i="8"/>
  <c r="O54" i="8"/>
  <c r="O52" i="8"/>
  <c r="O53" i="8"/>
  <c r="C26" i="8"/>
  <c r="G26" i="8"/>
  <c r="K26" i="8"/>
  <c r="O26" i="8"/>
  <c r="H26" i="8"/>
  <c r="L26" i="8"/>
  <c r="B26" i="8"/>
  <c r="F26" i="8"/>
  <c r="J26" i="8"/>
  <c r="N26" i="8"/>
  <c r="R26" i="8"/>
  <c r="K50" i="10"/>
  <c r="K48" i="10"/>
  <c r="K49" i="10"/>
  <c r="K47" i="10"/>
  <c r="O50" i="10"/>
  <c r="O48" i="10"/>
  <c r="O49" i="10"/>
  <c r="O47" i="10"/>
  <c r="E49" i="10"/>
  <c r="E47" i="10"/>
  <c r="E50" i="10"/>
  <c r="D50" i="10"/>
  <c r="D49" i="10"/>
  <c r="D47" i="10"/>
  <c r="H50" i="10"/>
  <c r="H49" i="10"/>
  <c r="H47" i="10"/>
  <c r="L50" i="10"/>
  <c r="L48" i="10"/>
  <c r="L49" i="10"/>
  <c r="L47" i="10"/>
  <c r="P50" i="10"/>
  <c r="P48" i="10"/>
  <c r="P49" i="10"/>
  <c r="P47" i="10"/>
  <c r="F49" i="10"/>
  <c r="F47" i="10"/>
  <c r="F50" i="10"/>
  <c r="I49" i="10"/>
  <c r="I47" i="10"/>
  <c r="I50" i="10"/>
  <c r="M49" i="10"/>
  <c r="M47" i="10"/>
  <c r="M50" i="10"/>
  <c r="M48" i="10"/>
  <c r="B49" i="10"/>
  <c r="B50" i="10"/>
  <c r="G50" i="10"/>
  <c r="G49" i="10"/>
  <c r="G47" i="10"/>
  <c r="J49" i="10"/>
  <c r="J47" i="10"/>
  <c r="J50" i="10"/>
  <c r="J48" i="10"/>
  <c r="N49" i="10"/>
  <c r="N47" i="10"/>
  <c r="N50" i="10"/>
  <c r="N48" i="10"/>
  <c r="C50" i="10"/>
  <c r="C49" i="10"/>
  <c r="C47" i="10"/>
  <c r="N17" i="6"/>
  <c r="F19" i="6"/>
  <c r="P26" i="8"/>
  <c r="E26" i="8"/>
  <c r="I26" i="8"/>
  <c r="M26" i="8"/>
  <c r="Q26" i="8"/>
  <c r="D26" i="8"/>
  <c r="R38" i="7"/>
  <c r="R40" i="7" s="1"/>
  <c r="D42" i="7"/>
  <c r="D41" i="7"/>
  <c r="D40" i="7"/>
  <c r="D39" i="7"/>
  <c r="L42" i="7"/>
  <c r="L41" i="7"/>
  <c r="L40" i="7"/>
  <c r="L39" i="7"/>
  <c r="P42" i="7"/>
  <c r="P41" i="7"/>
  <c r="P40" i="7"/>
  <c r="P39" i="7"/>
  <c r="T42" i="7"/>
  <c r="T41" i="7"/>
  <c r="T40" i="7"/>
  <c r="T39" i="7"/>
  <c r="E42" i="7"/>
  <c r="E41" i="7"/>
  <c r="E40" i="7"/>
  <c r="E39" i="7"/>
  <c r="I42" i="7"/>
  <c r="I41" i="7"/>
  <c r="I40" i="7"/>
  <c r="I39" i="7"/>
  <c r="M42" i="7"/>
  <c r="M41" i="7"/>
  <c r="M40" i="7"/>
  <c r="M39" i="7"/>
  <c r="Q42" i="7"/>
  <c r="Q41" i="7"/>
  <c r="Q40" i="7"/>
  <c r="Q39" i="7"/>
  <c r="U42" i="7"/>
  <c r="U41" i="7"/>
  <c r="U40" i="7"/>
  <c r="U39" i="7"/>
  <c r="H42" i="7"/>
  <c r="H41" i="7"/>
  <c r="H40" i="7"/>
  <c r="H39" i="7"/>
  <c r="B40" i="7"/>
  <c r="B39" i="7"/>
  <c r="B42" i="7"/>
  <c r="B41" i="7"/>
  <c r="F39" i="7"/>
  <c r="F42" i="7"/>
  <c r="F41" i="7"/>
  <c r="F40" i="7"/>
  <c r="J42" i="7"/>
  <c r="J41" i="7"/>
  <c r="J40" i="7"/>
  <c r="J39" i="7"/>
  <c r="N41" i="7"/>
  <c r="N40" i="7"/>
  <c r="N39" i="7"/>
  <c r="N42" i="7"/>
  <c r="C42" i="7"/>
  <c r="C41" i="7"/>
  <c r="C40" i="7"/>
  <c r="C39" i="7"/>
  <c r="G42" i="7"/>
  <c r="G41" i="7"/>
  <c r="G40" i="7"/>
  <c r="G39" i="7"/>
  <c r="K42" i="7"/>
  <c r="K41" i="7"/>
  <c r="K40" i="7"/>
  <c r="K39" i="7"/>
  <c r="O42" i="7"/>
  <c r="O41" i="7"/>
  <c r="O40" i="7"/>
  <c r="O39" i="7"/>
  <c r="S42" i="7"/>
  <c r="S41" i="7"/>
  <c r="S40" i="7"/>
  <c r="S39" i="7"/>
  <c r="Y42" i="7"/>
  <c r="Y41" i="7"/>
  <c r="Y40" i="7"/>
  <c r="Y39" i="7"/>
  <c r="Z40" i="7"/>
  <c r="V41" i="7"/>
  <c r="W42" i="7"/>
  <c r="W41" i="7"/>
  <c r="W40" i="7"/>
  <c r="W39" i="7"/>
  <c r="AA42" i="7"/>
  <c r="AA41" i="7"/>
  <c r="AA40" i="7"/>
  <c r="AA39" i="7"/>
  <c r="Z41" i="7"/>
  <c r="V42" i="7"/>
  <c r="X42" i="7"/>
  <c r="X41" i="7"/>
  <c r="X40" i="7"/>
  <c r="X39" i="7"/>
  <c r="V39" i="7"/>
  <c r="Z42" i="7"/>
  <c r="C19" i="6"/>
  <c r="N18" i="6"/>
  <c r="J17" i="6"/>
  <c r="J18" i="6"/>
  <c r="F17" i="6"/>
  <c r="V19" i="6"/>
  <c r="V18" i="6"/>
  <c r="R19" i="6"/>
  <c r="R18" i="6"/>
  <c r="B17" i="6"/>
  <c r="C18" i="6"/>
  <c r="U19" i="6"/>
  <c r="Q19" i="6"/>
  <c r="M19" i="6"/>
  <c r="I19" i="6"/>
  <c r="E19" i="6"/>
  <c r="U18" i="6"/>
  <c r="Q18" i="6"/>
  <c r="M18" i="6"/>
  <c r="I18" i="6"/>
  <c r="E18" i="6"/>
  <c r="B18" i="6"/>
  <c r="T19" i="6"/>
  <c r="P19" i="6"/>
  <c r="L19" i="6"/>
  <c r="H19" i="6"/>
  <c r="D19" i="6"/>
  <c r="T18" i="6"/>
  <c r="P18" i="6"/>
  <c r="L18" i="6"/>
  <c r="H18" i="6"/>
  <c r="D18" i="6"/>
  <c r="W19" i="6"/>
  <c r="S19" i="6"/>
  <c r="O19" i="6"/>
  <c r="K19" i="6"/>
  <c r="G19" i="6"/>
  <c r="W18" i="6"/>
  <c r="S18" i="6"/>
  <c r="O18" i="6"/>
  <c r="K18" i="6"/>
  <c r="G18" i="6"/>
  <c r="D22" i="6"/>
  <c r="H22" i="6"/>
  <c r="P22" i="6"/>
  <c r="T22" i="6"/>
  <c r="C21" i="6"/>
  <c r="G21" i="6"/>
  <c r="K21" i="6"/>
  <c r="O21" i="6"/>
  <c r="S21" i="6"/>
  <c r="W21" i="6"/>
  <c r="E22" i="6"/>
  <c r="I22" i="6"/>
  <c r="M22" i="6"/>
  <c r="Q22" i="6"/>
  <c r="U22" i="6"/>
  <c r="L21" i="6"/>
  <c r="B19" i="4"/>
  <c r="B18" i="4"/>
  <c r="B17" i="4"/>
  <c r="B16" i="4"/>
  <c r="F19" i="4"/>
  <c r="F18" i="4"/>
  <c r="F17" i="4"/>
  <c r="F16" i="4"/>
  <c r="E19" i="4"/>
  <c r="E18" i="4"/>
  <c r="E17" i="4"/>
  <c r="E16" i="4"/>
  <c r="M19" i="4"/>
  <c r="M18" i="4"/>
  <c r="M17" i="4"/>
  <c r="M16" i="4"/>
  <c r="D19" i="4"/>
  <c r="D18" i="4"/>
  <c r="D17" i="4"/>
  <c r="D16" i="4"/>
  <c r="L19" i="4"/>
  <c r="L18" i="4"/>
  <c r="L17" i="4"/>
  <c r="L16" i="4"/>
  <c r="P19" i="4"/>
  <c r="P18" i="4"/>
  <c r="P17" i="4"/>
  <c r="P16" i="4"/>
  <c r="N19" i="4"/>
  <c r="N18" i="4"/>
  <c r="N16" i="4"/>
  <c r="N17" i="4"/>
  <c r="G19" i="4"/>
  <c r="G18" i="4"/>
  <c r="G17" i="4"/>
  <c r="G16" i="4"/>
  <c r="K19" i="4"/>
  <c r="K18" i="4"/>
  <c r="K17" i="4"/>
  <c r="K16" i="4"/>
  <c r="O19" i="4"/>
  <c r="O18" i="4"/>
  <c r="O17" i="4"/>
  <c r="O16" i="4"/>
  <c r="I19" i="4"/>
  <c r="I18" i="4"/>
  <c r="I17" i="4"/>
  <c r="I16" i="4"/>
  <c r="Q19" i="4"/>
  <c r="Q18" i="4"/>
  <c r="Q17" i="4"/>
  <c r="Q16" i="4"/>
  <c r="H19" i="4"/>
  <c r="H18" i="4"/>
  <c r="H17" i="4"/>
  <c r="H16" i="4"/>
  <c r="J19" i="4"/>
  <c r="J18" i="4"/>
  <c r="J16" i="4"/>
  <c r="J17" i="4"/>
  <c r="C19" i="4"/>
  <c r="C18" i="4"/>
  <c r="C17" i="4"/>
  <c r="C16" i="4"/>
  <c r="Z44" i="7" l="1"/>
  <c r="Z43" i="7"/>
  <c r="X43" i="7"/>
  <c r="X44" i="7"/>
  <c r="Y44" i="7"/>
  <c r="Y43" i="7"/>
  <c r="V44" i="7"/>
  <c r="V43" i="7"/>
  <c r="AA43" i="7"/>
  <c r="AA44" i="7"/>
  <c r="W43" i="7"/>
  <c r="W44" i="7"/>
  <c r="R41" i="7"/>
  <c r="B44" i="6"/>
  <c r="B43" i="6"/>
  <c r="O58" i="8"/>
  <c r="O57" i="8"/>
  <c r="O56" i="8"/>
  <c r="K58" i="8"/>
  <c r="K57" i="8"/>
  <c r="K56" i="8"/>
  <c r="G58" i="8"/>
  <c r="G57" i="8"/>
  <c r="G56" i="8"/>
  <c r="C58" i="8"/>
  <c r="C57" i="8"/>
  <c r="C56" i="8"/>
  <c r="B57" i="8"/>
  <c r="B56" i="8"/>
  <c r="R56" i="8"/>
  <c r="R58" i="8"/>
  <c r="R57" i="8"/>
  <c r="N56" i="8"/>
  <c r="N58" i="8"/>
  <c r="N57" i="8"/>
  <c r="J56" i="8"/>
  <c r="J58" i="8"/>
  <c r="J57" i="8"/>
  <c r="F56" i="8"/>
  <c r="F58" i="8"/>
  <c r="F57" i="8"/>
  <c r="Q58" i="8"/>
  <c r="Q57" i="8"/>
  <c r="Q56" i="8"/>
  <c r="M58" i="8"/>
  <c r="M57" i="8"/>
  <c r="M56" i="8"/>
  <c r="I58" i="8"/>
  <c r="I57" i="8"/>
  <c r="I56" i="8"/>
  <c r="E58" i="8"/>
  <c r="E57" i="8"/>
  <c r="E56" i="8"/>
  <c r="P58" i="8"/>
  <c r="P57" i="8"/>
  <c r="P56" i="8"/>
  <c r="L56" i="8"/>
  <c r="L58" i="8"/>
  <c r="L57" i="8"/>
  <c r="H57" i="8"/>
  <c r="H56" i="8"/>
  <c r="H58" i="8"/>
  <c r="D58" i="8"/>
  <c r="D56" i="8"/>
  <c r="D57" i="8"/>
  <c r="M28" i="8"/>
  <c r="M29" i="8"/>
  <c r="J27" i="8"/>
  <c r="J28" i="8"/>
  <c r="J29" i="8"/>
  <c r="H29" i="8"/>
  <c r="H28" i="8"/>
  <c r="C29" i="8"/>
  <c r="C28" i="8"/>
  <c r="I29" i="8"/>
  <c r="I28" i="8"/>
  <c r="F28" i="8"/>
  <c r="F29" i="8"/>
  <c r="O27" i="8"/>
  <c r="O29" i="8"/>
  <c r="O28" i="8"/>
  <c r="D29" i="8"/>
  <c r="D28" i="8"/>
  <c r="E28" i="8"/>
  <c r="E29" i="8"/>
  <c r="R27" i="8"/>
  <c r="R28" i="8"/>
  <c r="R29" i="8"/>
  <c r="B29" i="8"/>
  <c r="B28" i="8"/>
  <c r="B27" i="8"/>
  <c r="K29" i="8"/>
  <c r="K28" i="8"/>
  <c r="Q29" i="8"/>
  <c r="Q28" i="8"/>
  <c r="P29" i="8"/>
  <c r="P28" i="8"/>
  <c r="N27" i="8"/>
  <c r="N28" i="8"/>
  <c r="N29" i="8"/>
  <c r="L29" i="8"/>
  <c r="L28" i="8"/>
  <c r="G29" i="8"/>
  <c r="G28" i="8"/>
  <c r="G27" i="8"/>
  <c r="H27" i="8"/>
  <c r="K27" i="8"/>
  <c r="L27" i="8"/>
  <c r="C27" i="8"/>
  <c r="F27" i="8"/>
  <c r="B52" i="10"/>
  <c r="B51" i="10"/>
  <c r="I51" i="10"/>
  <c r="I52" i="10"/>
  <c r="P51" i="10"/>
  <c r="P52" i="10"/>
  <c r="F52" i="10"/>
  <c r="F51" i="10"/>
  <c r="L51" i="10"/>
  <c r="L52" i="10"/>
  <c r="H51" i="10"/>
  <c r="H52" i="10"/>
  <c r="D51" i="10"/>
  <c r="D52" i="10"/>
  <c r="G52" i="10"/>
  <c r="G51" i="10"/>
  <c r="E51" i="10"/>
  <c r="E52" i="10"/>
  <c r="O52" i="10"/>
  <c r="O51" i="10"/>
  <c r="C52" i="10"/>
  <c r="C51" i="10"/>
  <c r="J52" i="10"/>
  <c r="J51" i="10"/>
  <c r="M51" i="10"/>
  <c r="M52" i="10"/>
  <c r="N52" i="10"/>
  <c r="N51" i="10"/>
  <c r="K52" i="10"/>
  <c r="K51" i="10"/>
  <c r="L19" i="9"/>
  <c r="L20" i="9"/>
  <c r="L17" i="9"/>
  <c r="L18" i="9"/>
  <c r="D19" i="9"/>
  <c r="D20" i="9"/>
  <c r="D17" i="9"/>
  <c r="J20" i="9"/>
  <c r="J17" i="9"/>
  <c r="J18" i="9"/>
  <c r="J19" i="9"/>
  <c r="Q20" i="9"/>
  <c r="Q17" i="9"/>
  <c r="Q18" i="9"/>
  <c r="Q19" i="9"/>
  <c r="I20" i="9"/>
  <c r="I17" i="9"/>
  <c r="I18" i="9"/>
  <c r="I19" i="9"/>
  <c r="K18" i="9"/>
  <c r="K19" i="9"/>
  <c r="K17" i="9"/>
  <c r="K20" i="9"/>
  <c r="X19" i="9"/>
  <c r="X20" i="9"/>
  <c r="X17" i="9"/>
  <c r="X18" i="9"/>
  <c r="T19" i="9"/>
  <c r="T20" i="9"/>
  <c r="T17" i="9"/>
  <c r="T18" i="9"/>
  <c r="H19" i="9"/>
  <c r="H20" i="9"/>
  <c r="H17" i="9"/>
  <c r="H18" i="9"/>
  <c r="V20" i="9"/>
  <c r="V17" i="9"/>
  <c r="V18" i="9"/>
  <c r="V19" i="9"/>
  <c r="N20" i="9"/>
  <c r="N17" i="9"/>
  <c r="N18" i="9"/>
  <c r="N19" i="9"/>
  <c r="F20" i="9"/>
  <c r="F17" i="9"/>
  <c r="F18" i="9"/>
  <c r="F19" i="9"/>
  <c r="U20" i="9"/>
  <c r="U17" i="9"/>
  <c r="U18" i="9"/>
  <c r="U19" i="9"/>
  <c r="M20" i="9"/>
  <c r="M17" i="9"/>
  <c r="M18" i="9"/>
  <c r="M19" i="9"/>
  <c r="E20" i="9"/>
  <c r="E17" i="9"/>
  <c r="E18" i="9"/>
  <c r="E19" i="9"/>
  <c r="P19" i="9"/>
  <c r="P20" i="9"/>
  <c r="P17" i="9"/>
  <c r="P18" i="9"/>
  <c r="R20" i="9"/>
  <c r="R17" i="9"/>
  <c r="R18" i="9"/>
  <c r="R19" i="9"/>
  <c r="B20" i="9"/>
  <c r="B17" i="9"/>
  <c r="B19" i="9"/>
  <c r="G18" i="9"/>
  <c r="G19" i="9"/>
  <c r="G20" i="9"/>
  <c r="G17" i="9"/>
  <c r="W19" i="9"/>
  <c r="W20" i="9"/>
  <c r="W17" i="9"/>
  <c r="S18" i="9"/>
  <c r="S19" i="9"/>
  <c r="S20" i="9"/>
  <c r="S17" i="9"/>
  <c r="O18" i="9"/>
  <c r="O19" i="9"/>
  <c r="O17" i="9"/>
  <c r="O20" i="9"/>
  <c r="C19" i="9"/>
  <c r="C20" i="9"/>
  <c r="C17" i="9"/>
  <c r="Q27" i="8"/>
  <c r="P27" i="8"/>
  <c r="E27" i="8"/>
  <c r="D27" i="8"/>
  <c r="M27" i="8"/>
  <c r="I27" i="8"/>
  <c r="R42" i="7"/>
  <c r="R44" i="7" s="1"/>
  <c r="R39" i="7"/>
  <c r="N44" i="7"/>
  <c r="N43" i="7"/>
  <c r="B44" i="7"/>
  <c r="B43" i="7"/>
  <c r="O44" i="7"/>
  <c r="O43" i="7"/>
  <c r="G44" i="7"/>
  <c r="G43" i="7"/>
  <c r="H44" i="7"/>
  <c r="H43" i="7"/>
  <c r="Q44" i="7"/>
  <c r="Q43" i="7"/>
  <c r="I44" i="7"/>
  <c r="I43" i="7"/>
  <c r="T44" i="7"/>
  <c r="T43" i="7"/>
  <c r="L44" i="7"/>
  <c r="L43" i="7"/>
  <c r="F43" i="7"/>
  <c r="F44" i="7"/>
  <c r="S44" i="7"/>
  <c r="S43" i="7"/>
  <c r="K44" i="7"/>
  <c r="K43" i="7"/>
  <c r="C44" i="7"/>
  <c r="C43" i="7"/>
  <c r="J44" i="7"/>
  <c r="J43" i="7"/>
  <c r="U44" i="7"/>
  <c r="U43" i="7"/>
  <c r="M44" i="7"/>
  <c r="M43" i="7"/>
  <c r="E44" i="7"/>
  <c r="E43" i="7"/>
  <c r="P44" i="7"/>
  <c r="P43" i="7"/>
  <c r="D44" i="7"/>
  <c r="D43" i="7"/>
  <c r="C21" i="4"/>
  <c r="C20" i="4"/>
  <c r="N21" i="4"/>
  <c r="N20" i="4"/>
  <c r="J21" i="4"/>
  <c r="J20" i="4"/>
  <c r="H21" i="4"/>
  <c r="H20" i="4"/>
  <c r="Q21" i="4"/>
  <c r="Q20" i="4"/>
  <c r="I21" i="4"/>
  <c r="I20" i="4"/>
  <c r="O21" i="4"/>
  <c r="O20" i="4"/>
  <c r="K21" i="4"/>
  <c r="K20" i="4"/>
  <c r="G21" i="4"/>
  <c r="G20" i="4"/>
  <c r="P21" i="4"/>
  <c r="P20" i="4"/>
  <c r="L21" i="4"/>
  <c r="L20" i="4"/>
  <c r="D21" i="4"/>
  <c r="D20" i="4"/>
  <c r="M21" i="4"/>
  <c r="M20" i="4"/>
  <c r="E21" i="4"/>
  <c r="E20" i="4"/>
  <c r="F21" i="4"/>
  <c r="F20" i="4"/>
  <c r="B21" i="4"/>
  <c r="B20" i="4"/>
  <c r="R43" i="7" l="1"/>
  <c r="E21" i="9"/>
  <c r="E22" i="9"/>
  <c r="X21" i="9"/>
  <c r="X22" i="9"/>
  <c r="F22" i="9"/>
  <c r="F21" i="9"/>
  <c r="N22" i="9"/>
  <c r="N21" i="9"/>
  <c r="V22" i="9"/>
  <c r="V21" i="9"/>
  <c r="U21" i="9"/>
  <c r="U22" i="9"/>
  <c r="T21" i="9"/>
  <c r="T22" i="9"/>
  <c r="O22" i="9"/>
  <c r="O21" i="9"/>
  <c r="S22" i="9"/>
  <c r="S21" i="9"/>
  <c r="W22" i="9"/>
  <c r="W21" i="9"/>
  <c r="G22" i="9"/>
  <c r="G21" i="9"/>
  <c r="P21" i="9"/>
  <c r="P22" i="9"/>
  <c r="K22" i="9"/>
  <c r="K21" i="9"/>
  <c r="D21" i="9"/>
  <c r="D22" i="9"/>
  <c r="L21" i="9"/>
  <c r="L22" i="9"/>
  <c r="C22" i="9"/>
  <c r="C21" i="9"/>
  <c r="M21" i="9"/>
  <c r="M22" i="9"/>
  <c r="H21" i="9"/>
  <c r="H22" i="9"/>
  <c r="J22" i="9"/>
  <c r="J21" i="9"/>
  <c r="B22" i="9"/>
  <c r="B21" i="9"/>
  <c r="R22" i="9"/>
  <c r="R21" i="9"/>
  <c r="I21" i="9"/>
  <c r="I22" i="9"/>
  <c r="Q21" i="9"/>
  <c r="Q2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author>
  </authors>
  <commentList>
    <comment ref="B7" authorId="0" shapeId="0" xr:uid="{157A2B34-B120-4836-B42C-98C4E32C0280}">
      <text>
        <r>
          <rPr>
            <sz val="9"/>
            <color indexed="81"/>
            <rFont val="Tahoma"/>
            <family val="2"/>
          </rPr>
          <t xml:space="preserve">Ajustado por pensiones vejez 1996
</t>
        </r>
      </text>
    </comment>
    <comment ref="C7" authorId="0" shapeId="0" xr:uid="{D153FD15-C805-43C8-B5D0-A412D05BFAD6}">
      <text>
        <r>
          <rPr>
            <sz val="9"/>
            <color indexed="81"/>
            <rFont val="Tahoma"/>
            <family val="2"/>
          </rPr>
          <t xml:space="preserve">Ajustado por pensiones vejez 1996
</t>
        </r>
      </text>
    </comment>
    <comment ref="D7" authorId="0" shapeId="0" xr:uid="{DAE0EC05-6AD5-4E0E-81B6-502B96C0FAC5}">
      <text>
        <r>
          <rPr>
            <sz val="9"/>
            <color indexed="81"/>
            <rFont val="Tahoma"/>
            <family val="2"/>
          </rPr>
          <t>Ajustado por pensiones vejez 1996</t>
        </r>
      </text>
    </comment>
    <comment ref="E7" authorId="0" shapeId="0" xr:uid="{A9DB0433-90C4-4701-9BC5-7515E17B93F1}">
      <text>
        <r>
          <rPr>
            <sz val="9"/>
            <color indexed="81"/>
            <rFont val="Tahoma"/>
            <family val="2"/>
          </rPr>
          <t>Ajustado por proporción pensiones a la vejez en narrativo cuenta de inversión</t>
        </r>
      </text>
    </comment>
    <comment ref="F7" authorId="0" shapeId="0" xr:uid="{4CB13F7C-4487-4E6D-88BD-6A5D9EA9B658}">
      <text>
        <r>
          <rPr>
            <sz val="9"/>
            <color indexed="81"/>
            <rFont val="Tahoma"/>
            <family val="2"/>
          </rPr>
          <t xml:space="preserve">Incluye atención médica
</t>
        </r>
      </text>
    </comment>
    <comment ref="G7" authorId="0" shapeId="0" xr:uid="{7C7D6C73-078C-4F97-89D2-60C40D1B68BF}">
      <text>
        <r>
          <rPr>
            <sz val="9"/>
            <color indexed="81"/>
            <rFont val="Tahoma"/>
            <family val="2"/>
          </rPr>
          <t>Incluye también atención medica. Ajuste por proporción pensiones vejez 1997</t>
        </r>
      </text>
    </comment>
    <comment ref="H7" authorId="0" shapeId="0" xr:uid="{632E6C17-619E-4F99-BEE5-07222F38858B}">
      <text>
        <r>
          <rPr>
            <sz val="9"/>
            <color indexed="81"/>
            <rFont val="Tahoma"/>
            <family val="2"/>
          </rPr>
          <t>Incluye también atención médica</t>
        </r>
      </text>
    </comment>
    <comment ref="I7" authorId="0" shapeId="0" xr:uid="{F9AFCBC4-13AA-4309-9D99-BA4F00971BB7}">
      <text>
        <r>
          <rPr>
            <sz val="9"/>
            <color indexed="81"/>
            <rFont val="Tahoma"/>
            <family val="2"/>
          </rPr>
          <t>Estimado por cantidad pensiones a la vejez 1999.
Incluye también atención médica.</t>
        </r>
      </text>
    </comment>
    <comment ref="J7" authorId="0" shapeId="0" xr:uid="{815817B8-42A2-41CE-BBFE-8EF4E04690B9}">
      <text>
        <r>
          <rPr>
            <sz val="9"/>
            <color indexed="81"/>
            <rFont val="Tahoma"/>
            <family val="2"/>
          </rPr>
          <t>Incluye también atención médica.</t>
        </r>
      </text>
    </comment>
    <comment ref="B42" authorId="0" shapeId="0" xr:uid="{C27F1247-2D12-4D5B-92A9-2EB122747DBB}">
      <text>
        <r>
          <rPr>
            <b/>
            <sz val="9"/>
            <color indexed="81"/>
            <rFont val="Tahoma"/>
            <family val="2"/>
          </rPr>
          <t>Daniela:</t>
        </r>
        <r>
          <rPr>
            <sz val="9"/>
            <color indexed="81"/>
            <rFont val="Tahoma"/>
            <family val="2"/>
          </rPr>
          <t xml:space="preserve">
Ajustado por pensiones vejez 1996
</t>
        </r>
      </text>
    </comment>
    <comment ref="C42" authorId="0" shapeId="0" xr:uid="{AEB5FE03-2F15-4E7A-9AE1-F64B7C925E47}">
      <text>
        <r>
          <rPr>
            <b/>
            <sz val="9"/>
            <color indexed="81"/>
            <rFont val="Tahoma"/>
            <family val="2"/>
          </rPr>
          <t>Daniela:</t>
        </r>
        <r>
          <rPr>
            <sz val="9"/>
            <color indexed="81"/>
            <rFont val="Tahoma"/>
            <family val="2"/>
          </rPr>
          <t xml:space="preserve">
Ajustado por pensiones vejez 1996
</t>
        </r>
      </text>
    </comment>
    <comment ref="D42" authorId="0" shapeId="0" xr:uid="{104549C2-271D-4E9C-87E7-38CCD98D2499}">
      <text>
        <r>
          <rPr>
            <b/>
            <sz val="9"/>
            <color indexed="81"/>
            <rFont val="Tahoma"/>
            <family val="2"/>
          </rPr>
          <t>Daniela:</t>
        </r>
        <r>
          <rPr>
            <sz val="9"/>
            <color indexed="81"/>
            <rFont val="Tahoma"/>
            <family val="2"/>
          </rPr>
          <t xml:space="preserve">
Ajustado por pensiones vejez 1996
</t>
        </r>
      </text>
    </comment>
    <comment ref="E42" authorId="0" shapeId="0" xr:uid="{019C3C31-C3FC-46F6-8F7F-C81484853BCD}">
      <text>
        <r>
          <rPr>
            <b/>
            <sz val="9"/>
            <color indexed="81"/>
            <rFont val="Tahoma"/>
            <family val="2"/>
          </rPr>
          <t>Daniela:</t>
        </r>
        <r>
          <rPr>
            <sz val="9"/>
            <color indexed="81"/>
            <rFont val="Tahoma"/>
            <family val="2"/>
          </rPr>
          <t xml:space="preserve">
Ajustado por proporcion pensiones a la vejez en narrativo cuenta de inversion
</t>
        </r>
      </text>
    </comment>
    <comment ref="F42" authorId="0" shapeId="0" xr:uid="{C66777BC-5373-4C2C-A94E-1FEDB5A893AF}">
      <text>
        <r>
          <rPr>
            <b/>
            <sz val="9"/>
            <color indexed="81"/>
            <rFont val="Tahoma"/>
            <family val="2"/>
          </rPr>
          <t>Daniela:</t>
        </r>
        <r>
          <rPr>
            <sz val="9"/>
            <color indexed="81"/>
            <rFont val="Tahoma"/>
            <family val="2"/>
          </rPr>
          <t xml:space="preserve">
Incluye atencion medica
</t>
        </r>
      </text>
    </comment>
    <comment ref="G42" authorId="0" shapeId="0" xr:uid="{6147B66C-047B-4287-B087-E1A1B4E06E15}">
      <text>
        <r>
          <rPr>
            <b/>
            <sz val="9"/>
            <color indexed="81"/>
            <rFont val="Tahoma"/>
            <family val="2"/>
          </rPr>
          <t>Daniela:</t>
        </r>
        <r>
          <rPr>
            <sz val="9"/>
            <color indexed="81"/>
            <rFont val="Tahoma"/>
            <family val="2"/>
          </rPr>
          <t xml:space="preserve">
incluye tambien atencion medica. Ajuste por proporcion pensiones vejez 1997
</t>
        </r>
      </text>
    </comment>
    <comment ref="H42" authorId="0" shapeId="0" xr:uid="{5CD0E3EF-110A-4015-A387-E99DF76E3329}">
      <text>
        <r>
          <rPr>
            <b/>
            <sz val="9"/>
            <color indexed="81"/>
            <rFont val="Tahoma"/>
            <family val="2"/>
          </rPr>
          <t>Daniela:</t>
        </r>
        <r>
          <rPr>
            <sz val="9"/>
            <color indexed="81"/>
            <rFont val="Tahoma"/>
            <family val="2"/>
          </rPr>
          <t xml:space="preserve">
incluye tambien atencion medica
</t>
        </r>
      </text>
    </comment>
    <comment ref="I42" authorId="0" shapeId="0" xr:uid="{4435B1E4-02AF-449B-BFE7-AC532A61D886}">
      <text>
        <r>
          <rPr>
            <b/>
            <sz val="9"/>
            <color indexed="81"/>
            <rFont val="Tahoma"/>
            <family val="2"/>
          </rPr>
          <t xml:space="preserve">Daniela:
</t>
        </r>
        <r>
          <rPr>
            <sz val="9"/>
            <color indexed="81"/>
            <rFont val="Tahoma"/>
            <family val="2"/>
          </rPr>
          <t>Estimado por cantidad pensiones a la vejez 1999
Incluye tambien atencion medica.</t>
        </r>
      </text>
    </comment>
    <comment ref="J42" authorId="0" shapeId="0" xr:uid="{2C41A003-0A38-4BB4-A5EF-EA700169E060}">
      <text>
        <r>
          <rPr>
            <b/>
            <sz val="9"/>
            <color indexed="81"/>
            <rFont val="Tahoma"/>
            <family val="2"/>
          </rPr>
          <t>Daniela:</t>
        </r>
        <r>
          <rPr>
            <sz val="9"/>
            <color indexed="81"/>
            <rFont val="Tahoma"/>
            <family val="2"/>
          </rPr>
          <t xml:space="preserve">
Incluye tambien atencion medica.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Marcelo Perera</author>
  </authors>
  <commentList>
    <comment ref="A64" authorId="0" shapeId="0" xr:uid="{00000000-0006-0000-0F00-000001000000}">
      <text>
        <r>
          <rPr>
            <sz val="10"/>
            <color indexed="81"/>
            <rFont val="Tahoma"/>
            <family val="2"/>
          </rPr>
          <t>There is a problem with the series of informal workers before 2000. This explains the jump of 8 points in the estimation of the per capita subsidy in 2001. Then the rest of the measures also show a change starting in 2001. The informality estimates must be revised before 2001.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B20" authorId="0" shapeId="0" xr:uid="{00000000-0006-0000-0900-000001000000}">
      <text>
        <r>
          <rPr>
            <b/>
            <sz val="10"/>
            <color indexed="81"/>
            <rFont val="Calibri"/>
            <family val="2"/>
          </rPr>
          <t>Usuario de Microsoft Office:</t>
        </r>
        <r>
          <rPr>
            <sz val="10"/>
            <color indexed="81"/>
            <rFont val="Calibri"/>
            <family val="2"/>
          </rPr>
          <t xml:space="preserve">
varios programas de l PRAF a población vulnerable</t>
        </r>
      </text>
    </comment>
    <comment ref="C20" authorId="0" shapeId="0" xr:uid="{00000000-0006-0000-0900-000002000000}">
      <text>
        <r>
          <rPr>
            <b/>
            <sz val="10"/>
            <color indexed="81"/>
            <rFont val="Calibri"/>
            <family val="2"/>
          </rPr>
          <t>Usuario de Microsoft Office:</t>
        </r>
        <r>
          <rPr>
            <sz val="10"/>
            <color indexed="81"/>
            <rFont val="Calibri"/>
            <family val="2"/>
          </rPr>
          <t xml:space="preserve">
Transferencias monetarias condicionadas</t>
        </r>
      </text>
    </comment>
    <comment ref="B50" authorId="0" shapeId="0" xr:uid="{00000000-0006-0000-0900-000003000000}">
      <text>
        <r>
          <rPr>
            <b/>
            <sz val="10"/>
            <color indexed="81"/>
            <rFont val="Calibri"/>
            <family val="2"/>
          </rPr>
          <t>Usuario de Microsoft Office:</t>
        </r>
        <r>
          <rPr>
            <sz val="10"/>
            <color indexed="81"/>
            <rFont val="Calibri"/>
            <family val="2"/>
          </rPr>
          <t xml:space="preserve">
varios programas de l PRAF a población vulnerable</t>
        </r>
      </text>
    </comment>
    <comment ref="C50" authorId="0" shapeId="0" xr:uid="{00000000-0006-0000-0900-000004000000}">
      <text>
        <r>
          <rPr>
            <b/>
            <sz val="10"/>
            <color indexed="81"/>
            <rFont val="Calibri"/>
            <family val="2"/>
          </rPr>
          <t>Usuario de Microsoft Office:</t>
        </r>
        <r>
          <rPr>
            <sz val="10"/>
            <color indexed="81"/>
            <rFont val="Calibri"/>
            <family val="2"/>
          </rPr>
          <t xml:space="preserve">
Transferencias monetarias condicionadas</t>
        </r>
      </text>
    </comment>
  </commentList>
</comments>
</file>

<file path=xl/sharedStrings.xml><?xml version="1.0" encoding="utf-8"?>
<sst xmlns="http://schemas.openxmlformats.org/spreadsheetml/2006/main" count="1736" uniqueCount="604">
  <si>
    <r>
      <t>Acciones de Empleo (programas de empleo transitorio)</t>
    </r>
    <r>
      <rPr>
        <vertAlign val="superscript"/>
        <sz val="11"/>
        <color theme="1"/>
        <rFont val="Calibri"/>
        <family val="2"/>
        <scheme val="minor"/>
      </rPr>
      <t xml:space="preserve"> (1)</t>
    </r>
  </si>
  <si>
    <t>Programa Jefas y Jefes de Hogar</t>
  </si>
  <si>
    <t>Trabajar</t>
  </si>
  <si>
    <t>Acciones de capacitación laboral</t>
  </si>
  <si>
    <t>Programa de Apoyo a la Product. y Empleabilidad de Jóvenes</t>
  </si>
  <si>
    <t>Seguro de Capacitación y Empleo</t>
  </si>
  <si>
    <t>Asignación Universal por Hijo</t>
  </si>
  <si>
    <t xml:space="preserve">Atención Pública de la Salud </t>
  </si>
  <si>
    <t xml:space="preserve">   Nación (2)</t>
  </si>
  <si>
    <t xml:space="preserve">   Provincias (3)</t>
  </si>
  <si>
    <r>
      <t xml:space="preserve">Pensiones no contributivas a la vejez </t>
    </r>
    <r>
      <rPr>
        <vertAlign val="superscript"/>
        <sz val="11"/>
        <color theme="1"/>
        <rFont val="Calibri"/>
        <family val="2"/>
        <scheme val="minor"/>
      </rPr>
      <t>(4)</t>
    </r>
  </si>
  <si>
    <r>
      <t xml:space="preserve">Prestaciones previsionales Ley 25.994 </t>
    </r>
    <r>
      <rPr>
        <vertAlign val="superscript"/>
        <sz val="11"/>
        <color theme="1"/>
        <rFont val="Calibri"/>
        <family val="2"/>
        <scheme val="minor"/>
      </rPr>
      <t>(5)</t>
    </r>
  </si>
  <si>
    <t>Programa Ingreso Social con Trabajo-Argentina Trabaja-</t>
  </si>
  <si>
    <t>Atención de Grupos Vulnerables - Ingreso para el Desarrollo Humano</t>
  </si>
  <si>
    <t>Plan Familias por la Inclusión Social</t>
  </si>
  <si>
    <t>Promoción del Empleo Social, Economía Social y Desarrollo Local (Manos a la obra)</t>
  </si>
  <si>
    <t>Centros de Desarrollo Infantil Comunitario</t>
  </si>
  <si>
    <t xml:space="preserve"> </t>
  </si>
  <si>
    <t>n.d.</t>
  </si>
  <si>
    <t>https://www.minsalud.gob.bo/20-pdf-archivos</t>
  </si>
  <si>
    <t>www.ine.gob.bo, www.udape.gob.bo</t>
  </si>
  <si>
    <t>www.economiayfinanzas.gob.bo</t>
  </si>
  <si>
    <t>www.ine.gob.bo</t>
  </si>
  <si>
    <t xml:space="preserve"> Pensiones Asistenciales </t>
  </si>
  <si>
    <t xml:space="preserve"> -</t>
  </si>
  <si>
    <t xml:space="preserve"> Aporte Previsional Solidario de Vejez e invalidez </t>
  </si>
  <si>
    <t xml:space="preserve"> Pensión Básica Solidaria de Vejez  </t>
  </si>
  <si>
    <t xml:space="preserve"> Pensión Básica Solidaria de Invalidez  </t>
  </si>
  <si>
    <t xml:space="preserve"> Bonificación de Salud </t>
  </si>
  <si>
    <t xml:space="preserve"> Prestaciones Valoradas </t>
  </si>
  <si>
    <t xml:space="preserve"> Programa de Prestaciones Institucionales </t>
  </si>
  <si>
    <t xml:space="preserve"> Atención Primaria  </t>
  </si>
  <si>
    <t xml:space="preserve"> Inversión en Salud </t>
  </si>
  <si>
    <t xml:space="preserve"> Salas Cuna Chile crece contigo INTEGRA </t>
  </si>
  <si>
    <t xml:space="preserve"> Salas Cuna Chile crece contigo JUNJI </t>
  </si>
  <si>
    <t xml:space="preserve"> Subsidio de Cesantía </t>
  </si>
  <si>
    <t xml:space="preserve"> Programa Yo Trabajo </t>
  </si>
  <si>
    <t xml:space="preserve">  Programa Yo Emprendo </t>
  </si>
  <si>
    <t xml:space="preserve"> Más Capaz </t>
  </si>
  <si>
    <t xml:space="preserve"> Capacitación en Oficios </t>
  </si>
  <si>
    <t xml:space="preserve"> Becas Laborales  </t>
  </si>
  <si>
    <t xml:space="preserve"> Programa de Intermediación Laboral, incluye (OMIL) </t>
  </si>
  <si>
    <t xml:space="preserve"> Bono de intermediación laboral </t>
  </si>
  <si>
    <t xml:space="preserve"> Certificación de competencias laborales </t>
  </si>
  <si>
    <t xml:space="preserve"> Programa de reinserción laboral para adultos que hayan perdido su empleo </t>
  </si>
  <si>
    <t xml:space="preserve"> Capacitación para programa directo </t>
  </si>
  <si>
    <t xml:space="preserve"> Capacitación Laboral Mujeres de escasos recursos (PMJH) </t>
  </si>
  <si>
    <t xml:space="preserve"> Programa Servicios Sociales                                                                                                                                                                                                                                </t>
  </si>
  <si>
    <t xml:space="preserve"> Programa capacitación de Jóvenes </t>
  </si>
  <si>
    <t xml:space="preserve"> Mejora a la empleabilidad para artesanos y artesanas tradicionales de zonas rurales                                                                                                                                                                        </t>
  </si>
  <si>
    <t xml:space="preserve"> Programa Inversión en la Comunidad                                                                                                                                                                                                                         </t>
  </si>
  <si>
    <t xml:space="preserve"> Programa de reconversión laboral </t>
  </si>
  <si>
    <t xml:space="preserve"> Programa de Apoyo al Empleo                                                                                                                                                                </t>
  </si>
  <si>
    <t xml:space="preserve">Pensión básica universal adulto mayor                                </t>
  </si>
  <si>
    <t>Veteranos de guerra</t>
  </si>
  <si>
    <t>Paquete agrícola</t>
  </si>
  <si>
    <t>Programa de apoyo temporal al ingreso (PATI)</t>
  </si>
  <si>
    <t>http://www.transparenciafiscal.gob.sv/ptf/es/PresupuestosPublicos/PresupuestosEjecutados/</t>
  </si>
  <si>
    <t>http://www.bcr.gob.sv/bcrsite/?cdr=12&amp;lang=es</t>
  </si>
  <si>
    <t>http://w2.salud.gob.sv/servicios/descargas/documentos/Documentaci%C3%B3n-Institucional/Memorias-de-Labores/Memoria-de-Labores-2014-2015/</t>
  </si>
  <si>
    <t>http://publica.gobiernoabierto.gob.sv/institutions/ministerio-de-salud/information_standards/memorias-de-labores</t>
  </si>
  <si>
    <t>http://www.mh.gob.sv/portal/page/portal/PMH/Institucion/Marco_Institucional/Informes/Planes/10652_HACIENDA_Marco_Fiscal_de_Mediano_Plazo_2015-2025.pdf</t>
  </si>
  <si>
    <t>http://www.digestyc.gob.sv/</t>
  </si>
  <si>
    <t>http://www.mtps.gob.sv/</t>
  </si>
  <si>
    <t>Servicios de promocion de salud y prevencion de enfermedades</t>
  </si>
  <si>
    <t>Servicios de recuperacion y rehabilitacion de la salud</t>
  </si>
  <si>
    <t>Atención integral en el primer nivel de atención</t>
  </si>
  <si>
    <t>Atención en salud hospitalaria</t>
  </si>
  <si>
    <t>Proyectos de infraestructura en salud (FISE)</t>
  </si>
  <si>
    <t xml:space="preserve">Informacion en base a Informe de Liquidacion </t>
  </si>
  <si>
    <t>Certificación a trabajadores empíricos</t>
  </si>
  <si>
    <t>Microempresarios capacitados</t>
  </si>
  <si>
    <t>Capacitación a mujeres beneficiarias del bono productivo</t>
  </si>
  <si>
    <t>Capacitación a mujeres beneficiarias del Programa Usura Cero</t>
  </si>
  <si>
    <t>Protagonistas matriculados en escuelas de oficio para fortalecer o complementar sus conocimientos en diversos oficios</t>
  </si>
  <si>
    <t>Protagonistas inscritos en escuelas de campo orientadas a fortalecer capacidades técnicas y tecnológicas en la producción a nivel nacional</t>
  </si>
  <si>
    <t>Gasto no contributivo en salud  total como proporcion del Gasto total en el MINSA para los años 2002-2008</t>
  </si>
  <si>
    <t>Construcción de viviendas nuevas bajo la modalidad de subsidios de ingresos bajos</t>
  </si>
  <si>
    <t>Mejoramiento de viviendas bajo la modalidad de subsidios de ingresos bajos</t>
  </si>
  <si>
    <t>Construcción de viviendas nuevas progresivas bajo la modalidad de subsidios, sin crédito</t>
  </si>
  <si>
    <t>Mejoramiento progresivo de viviendas bajo la modalidad de subsidios, sin crédito</t>
  </si>
  <si>
    <t xml:space="preserve">Construccion de Vivienda a familias protagonistas de ingresos bajos a nivel nacional </t>
  </si>
  <si>
    <t>Fomento de la agroindustria</t>
  </si>
  <si>
    <t>PROCAVAL (IDR)</t>
  </si>
  <si>
    <t>Fomento a la producción y comercialización agrícola de las familias y comunidades</t>
  </si>
  <si>
    <t>Servicios de agroindustria e industrialización de las MIPYMES familiares</t>
  </si>
  <si>
    <t>Fomento de la pequeña y mediana empresa familiar urbana y rural</t>
  </si>
  <si>
    <t xml:space="preserve">Servicios para la Adopcion de tecnologias y agroindustria </t>
  </si>
  <si>
    <t xml:space="preserve">Servicios desarrollo de la Costa Caribe </t>
  </si>
  <si>
    <t xml:space="preserve">Servicios para desarrollo de las capacidades tecnologicas </t>
  </si>
  <si>
    <t xml:space="preserve">Apoyo al Proceso de Comercializacion de Granos Basicos </t>
  </si>
  <si>
    <t>Proyecto de Tecnologia Agropecuaria</t>
  </si>
  <si>
    <t xml:space="preserve">Programa Libra por Libra </t>
  </si>
  <si>
    <t>Asistencia alimentaria para personas afectadas por desastres</t>
  </si>
  <si>
    <t xml:space="preserve">Mejora situacion de productores de café de la cuenca de Rio San Juan </t>
  </si>
  <si>
    <t xml:space="preserve">Apoyo a las familias rurales en zonas afectadas por sequias e inundacion </t>
  </si>
  <si>
    <t>Fondo de desarrollo agropecuario (FONDEAGRO) Fase II</t>
  </si>
  <si>
    <t xml:space="preserve">Extension Agropecuaria </t>
  </si>
  <si>
    <t xml:space="preserve">Promoción y fometo de pequeños negocios </t>
  </si>
  <si>
    <t>FISSAL</t>
  </si>
  <si>
    <t>Pensiones a la Vejez e Invalidez</t>
  </si>
  <si>
    <t>Ayuda alimentaria pensiones no contributivas</t>
  </si>
  <si>
    <t>Asistencia a la vejez</t>
  </si>
  <si>
    <t>Hospital de Clínicas</t>
  </si>
  <si>
    <t>Plan Nacional Alimentación (PANES)/ Tarjeta Uruguay Social</t>
  </si>
  <si>
    <t>Ingreso Ciudadano (PANES)</t>
  </si>
  <si>
    <t>Trabajo por Uruguay (PANES)/ Uruguay Trabaja</t>
  </si>
  <si>
    <t>IMSS-Prospera (antes "IMSS-Oportunidades")</t>
  </si>
  <si>
    <t>Seguro de Salud para la Familia</t>
  </si>
  <si>
    <t>Sistema de Protección Social en Salud (Seguro Popular)</t>
  </si>
  <si>
    <t>Gasto general en salud no contributiva ejercido por los gobiernos estatales</t>
  </si>
  <si>
    <t xml:space="preserve">      Fondo de Aportaciones a los Servicios de Salud (FASSA)</t>
  </si>
  <si>
    <t xml:space="preserve">      Gastos en salud con recursos estatales más otras transferencias federales</t>
  </si>
  <si>
    <t>Seguro Médico Siglo XXI (antes "Seguro Médico para una Nueva Generación")</t>
  </si>
  <si>
    <t>Institutos Nacionales de Salud</t>
  </si>
  <si>
    <t>Programas del Fondo Nacional para la Habitación Popular (FONHAPO)</t>
  </si>
  <si>
    <t>Hábitat</t>
  </si>
  <si>
    <t>Esquema de Financiamiento y Subsidio Federal para Vivienda (CONAVI)</t>
  </si>
  <si>
    <t>Subsidios al Fondo para la Vivienda (FOVI)</t>
  </si>
  <si>
    <t>Estancias Infantiles para Apoyar a Madres Trabajadoras</t>
  </si>
  <si>
    <t>Estancias Infantiles de los Sistemas Estatales para el Desarrollo Integral de la Familia</t>
  </si>
  <si>
    <t>Seguro de Vida para Jefas de Familia</t>
  </si>
  <si>
    <t>Pensión para Adultos Mayores (Gobierno Federal)</t>
  </si>
  <si>
    <t>Pensión para Adultos Mayores (Gobiernos Estatales)</t>
  </si>
  <si>
    <t>Health Services Delivery</t>
  </si>
  <si>
    <t>Public Education Expenditure (Early Childhood, Primary and Secondary Education Expenditure) incl. Education Tax</t>
  </si>
  <si>
    <t>Notes:</t>
  </si>
  <si>
    <t>Programa Nacional del Adulto Mayor “Mis Años Dorados”</t>
  </si>
  <si>
    <t xml:space="preserve">Programa de Aporte Económico del Adulto Mayor </t>
  </si>
  <si>
    <t>Promoción de la Formalidad del Empleo</t>
  </si>
  <si>
    <t>INTECAP</t>
  </si>
  <si>
    <t>Programa Tejiendo Alimentos</t>
  </si>
  <si>
    <t>Programa de Generación de Empleo y Educación Vocacional para Jóvenes en Guatemala</t>
  </si>
  <si>
    <t xml:space="preserve">Centros Municipales de Capacitación y Formación Humana (CEMUCAF) </t>
  </si>
  <si>
    <t>Recuperación de la Salud</t>
  </si>
  <si>
    <t>Prevención de la Mortalidad Materna y Neonatal</t>
  </si>
  <si>
    <t>Transferencias Monetarias Condicionadas</t>
  </si>
  <si>
    <t>2015 (inicial)</t>
  </si>
  <si>
    <t>Servicios de atención en salud</t>
  </si>
  <si>
    <t>Acceso a medicamentos</t>
  </si>
  <si>
    <t>Servicios de maternidad</t>
  </si>
  <si>
    <t>Salud total</t>
  </si>
  <si>
    <t>Salud total ajustada (70.7% uso de servicios públicos de salud, sin seguro)</t>
  </si>
  <si>
    <t>Pensiones asistenciales adultos mayores y personas con discapacidad</t>
  </si>
  <si>
    <t>BDH</t>
  </si>
  <si>
    <t>Servicios a la primera infancia</t>
  </si>
  <si>
    <t>Servicios a la tercera edad</t>
  </si>
  <si>
    <t>Capacitación laboral</t>
  </si>
  <si>
    <t>Programas de Empleo Secretaría de Trabajo</t>
  </si>
  <si>
    <t>Administraciión Programas de Empleo</t>
  </si>
  <si>
    <t>Bono de Solidaridad Productiva</t>
  </si>
  <si>
    <t>Bonos del Programa de Asignación Familiar</t>
  </si>
  <si>
    <t>Plataforma Vida Mejor</t>
  </si>
  <si>
    <t>Subsidios Habitacionales + Vivienda Social</t>
  </si>
  <si>
    <t>Guarderías Infantiles</t>
  </si>
  <si>
    <t>Transferencias a Fundaciones de Salud</t>
  </si>
  <si>
    <t xml:space="preserve">Programas Formativos INFOP </t>
  </si>
  <si>
    <t>Total Programas de Capacitación y Empleo</t>
  </si>
  <si>
    <t>Hospitales Públicos y Atención Ambulatoria</t>
  </si>
  <si>
    <t xml:space="preserve">Bono Tercera EDAD </t>
  </si>
  <si>
    <t>Red de Protección social</t>
  </si>
  <si>
    <t>Pensiones no contributivas a la vejez</t>
  </si>
  <si>
    <r>
      <t xml:space="preserve">Acciones de Empleo (programas de empleo transitorio) </t>
    </r>
    <r>
      <rPr>
        <vertAlign val="superscript"/>
        <sz val="11"/>
        <color theme="1"/>
        <rFont val="Calibri"/>
        <family val="2"/>
        <scheme val="minor"/>
      </rPr>
      <t>(1)</t>
    </r>
  </si>
  <si>
    <t>Memorandum para cálculos:</t>
  </si>
  <si>
    <t>Programa de empleo temporal</t>
  </si>
  <si>
    <t>Ingreso social</t>
  </si>
  <si>
    <t>Ser pilo paga</t>
  </si>
  <si>
    <t>Vivienda gratuita</t>
  </si>
  <si>
    <r>
      <t xml:space="preserve">Ingreso social </t>
    </r>
    <r>
      <rPr>
        <vertAlign val="superscript"/>
        <sz val="11"/>
        <color theme="1"/>
        <rFont val="Calibri"/>
        <family val="2"/>
        <scheme val="minor"/>
      </rPr>
      <t>(3)</t>
    </r>
  </si>
  <si>
    <t>N.D.</t>
  </si>
  <si>
    <t>N.E.</t>
  </si>
  <si>
    <t>1999</t>
  </si>
  <si>
    <t>2000</t>
  </si>
  <si>
    <t>2001</t>
  </si>
  <si>
    <t>2002</t>
  </si>
  <si>
    <t>2003</t>
  </si>
  <si>
    <t>2004</t>
  </si>
  <si>
    <t>2005</t>
  </si>
  <si>
    <t>2006</t>
  </si>
  <si>
    <t>2007</t>
  </si>
  <si>
    <t>2008</t>
  </si>
  <si>
    <t>2009</t>
  </si>
  <si>
    <t>2010</t>
  </si>
  <si>
    <t>2011</t>
  </si>
  <si>
    <t>2012</t>
  </si>
  <si>
    <t>2013</t>
  </si>
  <si>
    <t>2014</t>
  </si>
  <si>
    <t>2015</t>
  </si>
  <si>
    <t>2016</t>
  </si>
  <si>
    <r>
      <t xml:space="preserve">Sistema Integral de Salud (SIS) </t>
    </r>
    <r>
      <rPr>
        <vertAlign val="superscript"/>
        <sz val="11"/>
        <color theme="1"/>
        <rFont val="Calibri"/>
        <family val="2"/>
        <scheme val="minor"/>
      </rPr>
      <t>(1)</t>
    </r>
  </si>
  <si>
    <r>
      <t xml:space="preserve">Programa de Asistencia Solidaria, Pensión 65 </t>
    </r>
    <r>
      <rPr>
        <vertAlign val="superscript"/>
        <sz val="11"/>
        <color theme="1"/>
        <rFont val="Calibri"/>
        <family val="2"/>
        <scheme val="minor"/>
      </rPr>
      <t>(2)</t>
    </r>
  </si>
  <si>
    <r>
      <t xml:space="preserve">Programa para la Generación de Empleo Social Inclusivo, Trabaja Perú </t>
    </r>
    <r>
      <rPr>
        <vertAlign val="superscript"/>
        <sz val="11"/>
        <color theme="1"/>
        <rFont val="Calibri"/>
        <family val="2"/>
        <scheme val="minor"/>
      </rPr>
      <t>(3)</t>
    </r>
  </si>
  <si>
    <r>
      <t xml:space="preserve">Mejoramiento de la Empleabilidad e Inserción Laboral, Proempleo </t>
    </r>
    <r>
      <rPr>
        <vertAlign val="superscript"/>
        <sz val="11"/>
        <color theme="1"/>
        <rFont val="Calibri"/>
        <family val="2"/>
        <scheme val="minor"/>
      </rPr>
      <t>(4)</t>
    </r>
  </si>
  <si>
    <t>1990</t>
  </si>
  <si>
    <t>1991</t>
  </si>
  <si>
    <t>1992</t>
  </si>
  <si>
    <t>1993</t>
  </si>
  <si>
    <t>1994</t>
  </si>
  <si>
    <t>1995</t>
  </si>
  <si>
    <t>1996</t>
  </si>
  <si>
    <t>1997</t>
  </si>
  <si>
    <t>1998</t>
  </si>
  <si>
    <r>
      <t xml:space="preserve">Renta Dignidad </t>
    </r>
    <r>
      <rPr>
        <vertAlign val="superscript"/>
        <sz val="11"/>
        <color theme="1"/>
        <rFont val="Calibri"/>
        <family val="2"/>
        <scheme val="minor"/>
      </rPr>
      <t>(1)</t>
    </r>
  </si>
  <si>
    <r>
      <t xml:space="preserve">Seguro de Salud para el Adulto Mayor </t>
    </r>
    <r>
      <rPr>
        <vertAlign val="superscript"/>
        <sz val="11"/>
        <color theme="1"/>
        <rFont val="Calibri"/>
        <family val="2"/>
        <scheme val="minor"/>
      </rPr>
      <t>(2)</t>
    </r>
  </si>
  <si>
    <t>2017</t>
  </si>
  <si>
    <r>
      <t xml:space="preserve">Programa Bolsa Família </t>
    </r>
    <r>
      <rPr>
        <vertAlign val="superscript"/>
        <sz val="11"/>
        <rFont val="Calibri"/>
        <family val="2"/>
        <scheme val="minor"/>
      </rPr>
      <t>(</t>
    </r>
    <r>
      <rPr>
        <vertAlign val="superscript"/>
        <sz val="11"/>
        <color theme="1"/>
        <rFont val="Calibri"/>
        <family val="2"/>
        <scheme val="minor"/>
      </rPr>
      <t>2)</t>
    </r>
  </si>
  <si>
    <r>
      <t xml:space="preserve">Benefício Prestação Continuada </t>
    </r>
    <r>
      <rPr>
        <vertAlign val="superscript"/>
        <sz val="11"/>
        <rFont val="Calibri"/>
        <family val="2"/>
        <scheme val="minor"/>
      </rPr>
      <t>(</t>
    </r>
    <r>
      <rPr>
        <vertAlign val="superscript"/>
        <sz val="11"/>
        <color theme="1"/>
        <rFont val="Calibri"/>
        <family val="2"/>
        <scheme val="minor"/>
      </rPr>
      <t>4)</t>
    </r>
  </si>
  <si>
    <r>
      <t xml:space="preserve">PRONATEC + Projovem Trabalhador </t>
    </r>
    <r>
      <rPr>
        <vertAlign val="superscript"/>
        <sz val="11"/>
        <rFont val="Calibri"/>
        <family val="2"/>
        <scheme val="minor"/>
      </rPr>
      <t>(</t>
    </r>
    <r>
      <rPr>
        <vertAlign val="superscript"/>
        <sz val="11"/>
        <color theme="1"/>
        <rFont val="Calibri"/>
        <family val="2"/>
        <scheme val="minor"/>
      </rPr>
      <t>3)</t>
    </r>
  </si>
  <si>
    <r>
      <t xml:space="preserve">Auxílio Reclusão Urbano </t>
    </r>
    <r>
      <rPr>
        <vertAlign val="superscript"/>
        <sz val="11"/>
        <rFont val="Calibri"/>
        <family val="2"/>
        <scheme val="minor"/>
      </rPr>
      <t>(</t>
    </r>
    <r>
      <rPr>
        <vertAlign val="superscript"/>
        <sz val="11"/>
        <color theme="1"/>
        <rFont val="Calibri"/>
        <family val="2"/>
        <scheme val="minor"/>
      </rPr>
      <t>4)</t>
    </r>
  </si>
  <si>
    <r>
      <t xml:space="preserve">Aposentadorias rurais (por edad, pensión por muerte, etc.) </t>
    </r>
    <r>
      <rPr>
        <vertAlign val="superscript"/>
        <sz val="11"/>
        <rFont val="Calibri"/>
        <family val="2"/>
        <scheme val="minor"/>
      </rPr>
      <t>(</t>
    </r>
    <r>
      <rPr>
        <vertAlign val="superscript"/>
        <sz val="11"/>
        <color theme="1"/>
        <rFont val="Calibri"/>
        <family val="2"/>
        <scheme val="minor"/>
      </rPr>
      <t>4)</t>
    </r>
  </si>
  <si>
    <r>
      <t xml:space="preserve">Sistema Único de Saúde (Gastos del Gobierno Federal - ajustado para trabajadores informales) </t>
    </r>
    <r>
      <rPr>
        <vertAlign val="superscript"/>
        <sz val="11"/>
        <rFont val="Calibri"/>
        <family val="2"/>
        <scheme val="minor"/>
      </rPr>
      <t>(</t>
    </r>
    <r>
      <rPr>
        <vertAlign val="superscript"/>
        <sz val="11"/>
        <color theme="1"/>
        <rFont val="Calibri"/>
        <family val="2"/>
        <scheme val="minor"/>
      </rPr>
      <t>1)</t>
    </r>
  </si>
  <si>
    <r>
      <t xml:space="preserve">Programa Nacional de Empleo (PRONAE) </t>
    </r>
    <r>
      <rPr>
        <vertAlign val="superscript"/>
        <sz val="11"/>
        <color theme="1"/>
        <rFont val="Calibri"/>
        <family val="2"/>
        <scheme val="minor"/>
      </rPr>
      <t>(1)</t>
    </r>
  </si>
  <si>
    <r>
      <t xml:space="preserve">Manos a la Obra </t>
    </r>
    <r>
      <rPr>
        <vertAlign val="superscript"/>
        <sz val="11"/>
        <color theme="1"/>
        <rFont val="Calibri"/>
        <family val="2"/>
        <scheme val="minor"/>
      </rPr>
      <t>(2)</t>
    </r>
  </si>
  <si>
    <r>
      <t xml:space="preserve">Programa EMPLEATE </t>
    </r>
    <r>
      <rPr>
        <vertAlign val="superscript"/>
        <sz val="11"/>
        <color theme="1"/>
        <rFont val="Calibri"/>
        <family val="2"/>
        <scheme val="minor"/>
      </rPr>
      <t>(1)</t>
    </r>
  </si>
  <si>
    <r>
      <t xml:space="preserve">Ideas productivas </t>
    </r>
    <r>
      <rPr>
        <vertAlign val="superscript"/>
        <sz val="11"/>
        <color theme="1"/>
        <rFont val="Calibri"/>
        <family val="2"/>
        <scheme val="minor"/>
      </rPr>
      <t>(2)</t>
    </r>
  </si>
  <si>
    <r>
      <t xml:space="preserve">Programa de capacitación del INA a trabajadores no formales </t>
    </r>
    <r>
      <rPr>
        <vertAlign val="superscript"/>
        <sz val="11"/>
        <color theme="1"/>
        <rFont val="Calibri"/>
        <family val="2"/>
        <scheme val="minor"/>
      </rPr>
      <t>(3)</t>
    </r>
  </si>
  <si>
    <r>
      <t xml:space="preserve">Programa Nacional de Apoyo a la Micro y pequeña empresa (PRONAMYPE) </t>
    </r>
    <r>
      <rPr>
        <vertAlign val="superscript"/>
        <sz val="11"/>
        <color theme="1"/>
        <rFont val="Calibri"/>
        <family val="2"/>
        <scheme val="minor"/>
      </rPr>
      <t>(4)</t>
    </r>
  </si>
  <si>
    <r>
      <t xml:space="preserve">Red de cuido (parte que beneficia a trabajadores no formales) </t>
    </r>
    <r>
      <rPr>
        <vertAlign val="superscript"/>
        <sz val="11"/>
        <color theme="1"/>
        <rFont val="Calibri"/>
        <family val="2"/>
        <scheme val="minor"/>
      </rPr>
      <t>(3) (5)</t>
    </r>
  </si>
  <si>
    <r>
      <t xml:space="preserve">Asegurados por cuenta del Estado </t>
    </r>
    <r>
      <rPr>
        <vertAlign val="superscript"/>
        <sz val="11"/>
        <color theme="1"/>
        <rFont val="Calibri"/>
        <family val="2"/>
        <scheme val="minor"/>
      </rPr>
      <t>(6)</t>
    </r>
  </si>
  <si>
    <r>
      <t xml:space="preserve">Pensiones no contributivas por monto básico </t>
    </r>
    <r>
      <rPr>
        <vertAlign val="superscript"/>
        <sz val="11"/>
        <color theme="1"/>
        <rFont val="Calibri"/>
        <family val="2"/>
        <scheme val="minor"/>
      </rPr>
      <t>(7)</t>
    </r>
  </si>
  <si>
    <r>
      <t xml:space="preserve">Hospitales nacionales </t>
    </r>
    <r>
      <rPr>
        <vertAlign val="superscript"/>
        <sz val="11"/>
        <rFont val="Calibri"/>
        <family val="2"/>
        <scheme val="minor"/>
      </rPr>
      <t>(1)</t>
    </r>
  </si>
  <si>
    <r>
      <t xml:space="preserve">Capacitación vulnerables </t>
    </r>
    <r>
      <rPr>
        <vertAlign val="superscript"/>
        <sz val="11"/>
        <rFont val="Calibri"/>
        <family val="2"/>
        <scheme val="minor"/>
      </rPr>
      <t>(2)</t>
    </r>
  </si>
  <si>
    <t>(1) Sources: Estimates of Revenue and Expenditure, Fiscal Years 2010 to 2015, Financial Statements of Revenue and Expenditure for Public Bodies, FYs 2010 to 2015.</t>
  </si>
  <si>
    <t>(2) NHF Informal Sector Discount uses the Employed Labour Force by Employment Status to determine a proxy for informality as well as the Labour Force Survey 2011, 2012, 2014, 2014 but the LFS supersedes the independent calculations. The 2015 figure is the same as the 2014 since the 2015 is not yet available.</t>
  </si>
  <si>
    <r>
      <t xml:space="preserve">Human Employment and Resource Training (HEART) Trust </t>
    </r>
    <r>
      <rPr>
        <vertAlign val="superscript"/>
        <sz val="11"/>
        <rFont val="Calibri"/>
        <family val="2"/>
        <scheme val="minor"/>
      </rPr>
      <t>(3) (4)</t>
    </r>
  </si>
  <si>
    <r>
      <t xml:space="preserve">NHF - with Informal Sector Discount </t>
    </r>
    <r>
      <rPr>
        <vertAlign val="superscript"/>
        <sz val="11"/>
        <rFont val="Calibri"/>
        <family val="2"/>
        <scheme val="minor"/>
      </rPr>
      <t>(2)</t>
    </r>
  </si>
  <si>
    <t>(3) HEART Training includes On-the-job training (OJT). OJT is for the formal sector but there is no information on the OJT costs. Given the assumption that the majority of the beneficiaries are informal, it holds that the cost could be a proxy for total costs for informality. Training/Admin costs are included in the figures.</t>
  </si>
  <si>
    <t>(4) HEART Trust figures are for current expenditure training costs for each year (audited figures) where available and the admin-associated costs are included in the training amounts.</t>
  </si>
  <si>
    <t>(5) NYS and SIP figures include admin costs - reflected in the Estimates as Object 21 for Compensation of Employees - which can be disaggregated.</t>
  </si>
  <si>
    <r>
      <t xml:space="preserve">National Youth Service/ Activity 1824 </t>
    </r>
    <r>
      <rPr>
        <vertAlign val="superscript"/>
        <sz val="11"/>
        <rFont val="Calibri"/>
        <family val="2"/>
        <scheme val="minor"/>
      </rPr>
      <t>(5)</t>
    </r>
  </si>
  <si>
    <r>
      <t xml:space="preserve">Social Intervention Programme, formerly Special Youth Employment and Training Project/ Activity 2715 </t>
    </r>
    <r>
      <rPr>
        <vertAlign val="superscript"/>
        <sz val="11"/>
        <rFont val="Calibri"/>
        <family val="2"/>
        <scheme val="minor"/>
      </rPr>
      <t>(5)</t>
    </r>
  </si>
  <si>
    <t>(6) Steps-to-Work is disaggregated from PATH. Data arrived at from the following: consultations with PATH Monitoring and Evaluation Specialist and Steps to Work Coordinator between December 2015 and January 2016.</t>
  </si>
  <si>
    <r>
      <t xml:space="preserve">Steps-to-Work (STW) </t>
    </r>
    <r>
      <rPr>
        <vertAlign val="superscript"/>
        <sz val="11"/>
        <rFont val="Calibri"/>
        <family val="2"/>
        <scheme val="minor"/>
      </rPr>
      <t>(6)</t>
    </r>
  </si>
  <si>
    <t xml:space="preserve">(7) PATH figures come from Project 9207 - Social Protection Project. Project 9416 - Integrated Social Protection and Labour Programme -  succeeded Project 9355 - Jamaica PATH Conditional Cash Transfer Programme. </t>
  </si>
  <si>
    <r>
      <t xml:space="preserve">PATH/ Project 9207 and 9355 then Project 9416 (excl STW) </t>
    </r>
    <r>
      <rPr>
        <vertAlign val="superscript"/>
        <sz val="11"/>
        <rFont val="Calibri"/>
        <family val="2"/>
        <scheme val="minor"/>
      </rPr>
      <t>(7)</t>
    </r>
  </si>
  <si>
    <t>(8) Total Public Cost uses the combined recurrent and capital budgets plus NHF and HEART total budgets. Total Public Social Expenditure uses the budgets for Education, Health and Labour and Social Security plus NHF and HEART total budgets since these are the main social spending ministries and public bodies that represent a large part for the cost of non-contributory programs.</t>
  </si>
  <si>
    <r>
      <t xml:space="preserve">Total Public Cost (TPC) </t>
    </r>
    <r>
      <rPr>
        <vertAlign val="superscript"/>
        <sz val="11"/>
        <rFont val="Calibri"/>
        <family val="2"/>
        <scheme val="minor"/>
      </rPr>
      <t>(8)</t>
    </r>
  </si>
  <si>
    <t>(9) 2015 GDP has not yet been calculated so 2014 GDP is used as a proxy for 2015. Similarly 2014 level of informality is used as a proxy for 2015, for the same reason.</t>
  </si>
  <si>
    <t xml:space="preserve">Public Social Expenditure (PSE) </t>
  </si>
  <si>
    <t>(10) Annual average exchange rates for US$ to J$ can be downloaded at http://www.boj.org.jm/foreign_exchange/fx_rates_annual.php.</t>
  </si>
  <si>
    <r>
      <t xml:space="preserve">Annual Average Exchange Rate (J$ to US$ conversion) </t>
    </r>
    <r>
      <rPr>
        <vertAlign val="superscript"/>
        <sz val="11"/>
        <rFont val="Calibri"/>
        <family val="2"/>
        <scheme val="minor"/>
      </rPr>
      <t>(10)</t>
    </r>
  </si>
  <si>
    <t>(11) Figures are as at January of each year.</t>
  </si>
  <si>
    <t>(12) The annual minimum wage is the general minimum wage of $4500 per week in 2010, 2011, 2012, 2013. It increased to $5,600 per week in 2014 and remained at the same level for 2015. Effective April 1, 2016, it wil be $6,200. Go to  http://www.mlss.gov.jm/pub/index.php?artid=48. re the National Minimum Wage changes.</t>
  </si>
  <si>
    <t>STATIN does not report on employed income though the instrument it fields to ask respondents for income information. The responses are negligible.</t>
  </si>
  <si>
    <r>
      <t xml:space="preserve">Informal Employment Population </t>
    </r>
    <r>
      <rPr>
        <vertAlign val="superscript"/>
        <sz val="11"/>
        <rFont val="Calibri"/>
        <family val="2"/>
        <scheme val="minor"/>
      </rPr>
      <t>(11)</t>
    </r>
  </si>
  <si>
    <r>
      <t xml:space="preserve">Minimum Wage (Annual) </t>
    </r>
    <r>
      <rPr>
        <vertAlign val="superscript"/>
        <sz val="11"/>
        <rFont val="Calibri"/>
        <family val="2"/>
        <scheme val="minor"/>
      </rPr>
      <t>(12)</t>
    </r>
  </si>
  <si>
    <t>Red de Protección Social</t>
  </si>
  <si>
    <t>Promoción y fometo de pequeños negocios</t>
  </si>
  <si>
    <r>
      <t xml:space="preserve">Programa Usura Cero </t>
    </r>
    <r>
      <rPr>
        <vertAlign val="superscript"/>
        <sz val="11"/>
        <rFont val="Calibri"/>
        <family val="2"/>
        <scheme val="minor"/>
      </rPr>
      <t>(2)</t>
    </r>
  </si>
  <si>
    <r>
      <t xml:space="preserve">Bono Productivo Alimentario </t>
    </r>
    <r>
      <rPr>
        <vertAlign val="superscript"/>
        <sz val="11"/>
        <rFont val="Calibri"/>
        <family val="2"/>
        <scheme val="minor"/>
      </rPr>
      <t>(2)</t>
    </r>
  </si>
  <si>
    <t>Programas de capacitación laboral (SNPP y SINAFOCAL) (ajustado por informalidad)</t>
  </si>
  <si>
    <t>Transferencia monetaria condicionada Tekoporá (ajustado por informalidad)</t>
  </si>
  <si>
    <t>Hospitales Públicos (ajustado por informalidad)</t>
  </si>
  <si>
    <r>
      <t xml:space="preserve">Empleo Temporal </t>
    </r>
    <r>
      <rPr>
        <vertAlign val="superscript"/>
        <sz val="11"/>
        <color theme="1"/>
        <rFont val="Calibri"/>
        <family val="2"/>
        <scheme val="minor"/>
      </rPr>
      <t>(1)</t>
    </r>
  </si>
  <si>
    <r>
      <t xml:space="preserve">Oficinas de Empleo </t>
    </r>
    <r>
      <rPr>
        <vertAlign val="superscript"/>
        <sz val="11"/>
        <color theme="1"/>
        <rFont val="Calibri"/>
        <family val="2"/>
        <scheme val="minor"/>
      </rPr>
      <t>(2)</t>
    </r>
  </si>
  <si>
    <r>
      <t xml:space="preserve">Hospitales Públicos (ajustado por informalidad) </t>
    </r>
    <r>
      <rPr>
        <vertAlign val="superscript"/>
        <sz val="11"/>
        <color theme="1"/>
        <rFont val="Calibri"/>
        <family val="2"/>
        <scheme val="minor"/>
      </rPr>
      <t>(3)</t>
    </r>
  </si>
  <si>
    <r>
      <t xml:space="preserve">Centros de Desarrollo Infantil Comunitario </t>
    </r>
    <r>
      <rPr>
        <vertAlign val="superscript"/>
        <sz val="11"/>
        <color theme="1"/>
        <rFont val="Calibri"/>
        <family val="2"/>
        <scheme val="minor"/>
      </rPr>
      <t>(4)</t>
    </r>
  </si>
  <si>
    <t>Estimation of the subsidy to informality in ARGENTINA</t>
  </si>
  <si>
    <t>Strict Sense (millions of Pesos)</t>
  </si>
  <si>
    <r>
      <rPr>
        <b/>
        <sz val="12"/>
        <color theme="1"/>
        <rFont val="Calibri"/>
        <family val="2"/>
        <scheme val="minor"/>
      </rPr>
      <t>Strict Sense</t>
    </r>
    <r>
      <rPr>
        <sz val="12"/>
        <color theme="1"/>
        <rFont val="Calibri"/>
        <family val="2"/>
        <scheme val="minor"/>
      </rPr>
      <t xml:space="preserve"> (millions of Pesos)</t>
    </r>
  </si>
  <si>
    <t>Programs</t>
  </si>
  <si>
    <t>PENSIONS</t>
  </si>
  <si>
    <t>HEALTH</t>
  </si>
  <si>
    <t>CONDITIONAL CASH TRANSFERS</t>
  </si>
  <si>
    <t>ACTIVE LABOR MARKET POLICIES</t>
  </si>
  <si>
    <t>SOCIAL ASSISTANCE</t>
  </si>
  <si>
    <t>Strict sense total spending (including moratoria)</t>
  </si>
  <si>
    <t>Strict sense total spending (excluding moratoria)</t>
  </si>
  <si>
    <r>
      <rPr>
        <b/>
        <sz val="12"/>
        <color theme="1"/>
        <rFont val="Calibri"/>
        <family val="2"/>
        <scheme val="minor"/>
      </rPr>
      <t>Broad Sense</t>
    </r>
    <r>
      <rPr>
        <sz val="12"/>
        <color theme="1"/>
        <rFont val="Calibri"/>
        <family val="2"/>
        <scheme val="minor"/>
      </rPr>
      <t xml:space="preserve"> (millions of Pesos)</t>
    </r>
  </si>
  <si>
    <t>Broad sense total spending (including moratoria)</t>
  </si>
  <si>
    <t>Broad sense total spending (excluding moratoria)</t>
  </si>
  <si>
    <t>Strict subsidy as % of Social Public Expenditure</t>
  </si>
  <si>
    <t>Strict subsidy as % of Total Public Expenditure (including moratoria)</t>
  </si>
  <si>
    <t>Strict subsidy as % of Total Public Expenditure (excluding moratoria)</t>
  </si>
  <si>
    <t>Strict subsidy as % of Social Public Expenditure (including moratoria)</t>
  </si>
  <si>
    <t>Strict subsidy as % of Social Public Expenditure (excluding moratoria)</t>
  </si>
  <si>
    <t>Strict per capita subsidy as % of the minimum wage (including moratoria)</t>
  </si>
  <si>
    <t>Strict per capita subsidy as % of the minimum wage (excluding moratoria)</t>
  </si>
  <si>
    <t>Strict informal per capita subsidy (excluding moratoria)</t>
  </si>
  <si>
    <t>Strict informal per capita subsidy (including moratoria)</t>
  </si>
  <si>
    <t>Strict subsidy as % of GDP (excluding moratoria)</t>
  </si>
  <si>
    <t>Strict subsidy as % of GDP (including moratoria)</t>
  </si>
  <si>
    <t>Broad subsidy as % of Total Public Expenditure (excluding moratoria)</t>
  </si>
  <si>
    <t>Broad subsidy as % of Social Public Expenditure (including moratoria)</t>
  </si>
  <si>
    <t>Broad subsidy as % of Social Public Expenditure (excluding moratoria)</t>
  </si>
  <si>
    <t>Broad subsidy as % of GDP (including moratoria)</t>
  </si>
  <si>
    <t>Broad subsidy as % of GDP (excluding moratoria)</t>
  </si>
  <si>
    <t>Broad informal per capita subsidy (including moratoria)</t>
  </si>
  <si>
    <t>Broad informal per capita subsidy (excluding moratoria)</t>
  </si>
  <si>
    <t>Broad per capita subsidy as % of the minimum wage (including moratoria)</t>
  </si>
  <si>
    <t>Broad per capita subsidy as % of the minimum wage (excluding moratoria)</t>
  </si>
  <si>
    <t>Broad subsidy as % of Total Public Expenditure (including moratoria)</t>
  </si>
  <si>
    <t>Memorandum for calculations:</t>
  </si>
  <si>
    <t>Total Public Expenditure</t>
  </si>
  <si>
    <t>Social Public Expenditure</t>
  </si>
  <si>
    <r>
      <t xml:space="preserve">Number of informal workers </t>
    </r>
    <r>
      <rPr>
        <vertAlign val="superscript"/>
        <sz val="11"/>
        <color theme="1"/>
        <rFont val="Calibri"/>
        <family val="2"/>
        <scheme val="minor"/>
      </rPr>
      <t>(8)</t>
    </r>
  </si>
  <si>
    <t>Minimum wage (annual, in pesos)</t>
  </si>
  <si>
    <r>
      <t xml:space="preserve">Average income of informal workers (annual, in pesos) </t>
    </r>
    <r>
      <rPr>
        <vertAlign val="superscript"/>
        <sz val="11"/>
        <color theme="1"/>
        <rFont val="Calibri"/>
        <family val="2"/>
        <scheme val="minor"/>
      </rPr>
      <t>(8)</t>
    </r>
  </si>
  <si>
    <t>(7) INDEC Source: Global supply and demand, revised series updated to June 2016. Base year for the GDP series is 2004, spliced backwards according to the growth rates of the 1993 base GDP series.</t>
  </si>
  <si>
    <t>Source: Prepared by the authors on the basis of Investment Accounts 1993-2015, Ministry of Finance, Argentine Republic and Indec.</t>
  </si>
  <si>
    <t>(3) Sub-function of Public Health Care of Provinces according to the series of Consolidated Public Expenditures published by the Ministry of Economy and Public Finance.</t>
  </si>
  <si>
    <t>(1) It is included only until 2001, because it then includes REPRO (for formal employees), which can not be separated at the budgetary level. Until 1997, within the Employment Policies program. Provincial employment programs are not included because they do not have disaggregated information.</t>
  </si>
  <si>
    <t>(2) National Hospitals and NACER-SUMAR programs and - since 2001 - Medical Care for Beneficiaries of Non-Contributory Pensions (Old age) (until 2001 this last program was found together with non-contributory pensions). Adjusted for use of services by the informal population according to "Surveys on Use and Expenditure in Health Services", years 2005 and 2010._x000D_</t>
  </si>
  <si>
    <t>(4) Estimated by the participation of old age pensions in total PNC spending.</t>
  </si>
  <si>
    <t>Estimation of the subsidy to informality in COLOMBIA</t>
  </si>
  <si>
    <r>
      <t>Strict Sense</t>
    </r>
    <r>
      <rPr>
        <sz val="12"/>
        <rFont val="Calibri"/>
        <family val="2"/>
        <scheme val="minor"/>
      </rPr>
      <t xml:space="preserve"> (millions of Pesos)</t>
    </r>
  </si>
  <si>
    <r>
      <t xml:space="preserve">Programs </t>
    </r>
    <r>
      <rPr>
        <vertAlign val="superscript"/>
        <sz val="12"/>
        <rFont val="Calibri"/>
        <family val="2"/>
      </rPr>
      <t>(1)</t>
    </r>
  </si>
  <si>
    <t>Strict sense total spending</t>
  </si>
  <si>
    <t>Broad sense total spending</t>
  </si>
  <si>
    <t>Strict subsidy as % of GDP</t>
  </si>
  <si>
    <t>Strict informal per capita subsidy</t>
  </si>
  <si>
    <t>Strict per capita subsidy as % of the minimum wage</t>
  </si>
  <si>
    <t>Strict subsidy as % of Total Public Expenditure</t>
  </si>
  <si>
    <r>
      <t xml:space="preserve">Strict per capita subsidy as % of the </t>
    </r>
    <r>
      <rPr>
        <i/>
        <sz val="11"/>
        <color theme="1"/>
        <rFont val="Calibri"/>
        <family val="2"/>
        <scheme val="minor"/>
      </rPr>
      <t>basic</t>
    </r>
    <r>
      <rPr>
        <sz val="11"/>
        <color theme="1"/>
        <rFont val="Calibri"/>
        <family val="2"/>
        <scheme val="minor"/>
      </rPr>
      <t xml:space="preserve"> minimum wage</t>
    </r>
  </si>
  <si>
    <r>
      <t xml:space="preserve">Strict per capita subsidy as % of the </t>
    </r>
    <r>
      <rPr>
        <i/>
        <sz val="11"/>
        <color theme="1"/>
        <rFont val="Calibri"/>
        <family val="2"/>
        <scheme val="minor"/>
      </rPr>
      <t>with benefits</t>
    </r>
    <r>
      <rPr>
        <sz val="11"/>
        <color theme="1"/>
        <rFont val="Calibri"/>
        <family val="2"/>
        <scheme val="minor"/>
      </rPr>
      <t xml:space="preserve"> minimum wage</t>
    </r>
  </si>
  <si>
    <r>
      <rPr>
        <b/>
        <sz val="12"/>
        <rFont val="Calibri"/>
        <family val="2"/>
        <scheme val="minor"/>
      </rPr>
      <t>Broad Sense</t>
    </r>
    <r>
      <rPr>
        <sz val="12"/>
        <rFont val="Calibri"/>
        <family val="2"/>
        <scheme val="minor"/>
      </rPr>
      <t xml:space="preserve"> (millions of Pesos)</t>
    </r>
  </si>
  <si>
    <t>Broad subsidy as % of Social Public Expenditure</t>
  </si>
  <si>
    <t>Broad subsidy as % of GDP</t>
  </si>
  <si>
    <t>Broad informal per capita subsidy</t>
  </si>
  <si>
    <t>Broad subsidy as % of Total Public Expenditure</t>
  </si>
  <si>
    <t>Source: Budgetary figures of non-contributory programs: Health. 2004-2011 Information from the Bimonthly Bulletin No 2 Feb 2014, financial figures from the health sector, Ministry of Health and Social Protection https://goo.gl/VTvDBk, 2012-2016 Public information available at https://goo.gl/ by1wqu; Other programs Information obtained through specific requests to the competent entities (Department of Social Prosperity, and National Planning Department). Total Public Expenditure and Social Expenditure ECLAC Economic Commission for Latin America and the Caribbean - Social Development Division Social Expenditure Database. Public information available at https://goo.gl/WVX9c6 and DANE - Annual National Accounts, Accounts of Institutional Sectors. Minimum wage: Bank of the Republic. Public information available at http://goo.gl/3qpfiW. Informal: Data provided by the IDB for the period 2006-2015 and for the rest of the year DANE - Large Integrated Household Survey. Public information available at http://goo.gl/giYNJM. Average Income of Employed, formal and informal: Data provided by the IDB for the period 2006-2015 and for the rest of the year DANE - Large Integrated Household Survey. Public information available at http://goo.gl/Lp8wLn</t>
  </si>
  <si>
    <t>Notes: All programs explicitly exclude formal workers or are self-excluding (e.g. no one can be in the subsidized and contributory health regime at the same time). For greater accuracy in the calculation and unless otherwise indicated, all figures in the table correspond to executed amounts. All figures include administrative/operating expenses together with the investment component because it is not possible to disaggregate this information.</t>
  </si>
  <si>
    <t>(1) Budget figures for the Periodic Economic Benefits (BEPs) program are not presented because the instrument is not yet in progress.</t>
  </si>
  <si>
    <t>(2) In the case of the Subsidized Health System, the figures presented for the years 2004-2016 correspond to the amounts executed. These figures for the period 2004-2011 were taken from the Bimonthly Bulletin No. 2 Feb 2014, financial figures from the health sector, Ministry of Health and Social Protection, for the period 2012-2016 were taken from the Ministry's continuity matrix.</t>
  </si>
  <si>
    <t>(3) The "Social Income" program was canceled in 2014, which is why the expenditure in 2015 equals zero.</t>
  </si>
  <si>
    <r>
      <t>Basic Minimum Wage (annual)</t>
    </r>
    <r>
      <rPr>
        <vertAlign val="superscript"/>
        <sz val="11"/>
        <color theme="1"/>
        <rFont val="Calibri"/>
        <family val="2"/>
        <scheme val="minor"/>
      </rPr>
      <t xml:space="preserve"> (7)</t>
    </r>
  </si>
  <si>
    <r>
      <t>Minimum Wage with benefits (annual)</t>
    </r>
    <r>
      <rPr>
        <vertAlign val="superscript"/>
        <sz val="11"/>
        <color theme="1"/>
        <rFont val="Calibri"/>
        <family val="2"/>
        <scheme val="minor"/>
      </rPr>
      <t xml:space="preserve"> (8)</t>
    </r>
  </si>
  <si>
    <r>
      <t xml:space="preserve">Number of informal workers </t>
    </r>
    <r>
      <rPr>
        <vertAlign val="superscript"/>
        <sz val="11"/>
        <color theme="1"/>
        <rFont val="Calibri"/>
        <family val="2"/>
        <scheme val="minor"/>
      </rPr>
      <t>(10)</t>
    </r>
  </si>
  <si>
    <t>(5) Public social spending is taken from the same source and includes spending on social protection, education, environmental protection, health, housing and public space, recreational activities and culture.</t>
  </si>
  <si>
    <t>(6) According to the official information source, the GDP for 2015 is provisional and the 2016 figure is preliminary.</t>
  </si>
  <si>
    <t>(7) The minimum wage basic income corresponds to the monthly minimum wage multiplied by 12.</t>
  </si>
  <si>
    <t>(8) The minimum wage with benefits corresponds to the monthly salary multiplied by 14 (12 months of the year plus one additional month for severance and one additional month for bonus or bonus) plus the value of the annual transportation subsidy, plus the value of the family allowance granted by the compensation funds (assuming that the average household has two dependents).</t>
  </si>
  <si>
    <t>(10) The number of informals for the period 2006-2015 comes from the data reported directly by the IDB. The rest of the series was extrapolated from the figures of proportion of informality provided by the Continuous Household Survey.</t>
  </si>
  <si>
    <t>(4) Total public expenditure was taken from ECLAC - CEPALSTAT Public expenditure according to the classification of the functions of government.</t>
  </si>
  <si>
    <t>(9) The income of the employed, formal and informal, corresponds to the average monthly income multiplied by 12. For the period 2006-2015 it corresponds to the data reported by the IDB. The income of the employed for the rest of years was estimated from the information published in the International Labor Organization, maintaining the level reported by the IDB. In the case of formal and informal income, the rest of the series was extrapolated from the ratio between the wages of the formal over the average and that of the informal versus the average.</t>
  </si>
  <si>
    <r>
      <t xml:space="preserve">Broad per capita subsidy as % of the </t>
    </r>
    <r>
      <rPr>
        <i/>
        <sz val="11"/>
        <color theme="1"/>
        <rFont val="Calibri"/>
        <family val="2"/>
        <scheme val="minor"/>
      </rPr>
      <t>basic</t>
    </r>
    <r>
      <rPr>
        <sz val="11"/>
        <color theme="1"/>
        <rFont val="Calibri"/>
        <family val="2"/>
        <scheme val="minor"/>
      </rPr>
      <t xml:space="preserve"> minimum wage</t>
    </r>
  </si>
  <si>
    <r>
      <t xml:space="preserve">Broad per capita subsidy as % of the </t>
    </r>
    <r>
      <rPr>
        <i/>
        <sz val="11"/>
        <color theme="1"/>
        <rFont val="Calibri"/>
        <family val="2"/>
        <scheme val="minor"/>
      </rPr>
      <t>with benefits</t>
    </r>
    <r>
      <rPr>
        <sz val="11"/>
        <color theme="1"/>
        <rFont val="Calibri"/>
        <family val="2"/>
        <scheme val="minor"/>
      </rPr>
      <t xml:space="preserve"> minimum wage</t>
    </r>
  </si>
  <si>
    <t>Estimation of the subsidy to informality in MEXICO</t>
  </si>
  <si>
    <t>Broad per capita subsidy as % of the minimum wage</t>
  </si>
  <si>
    <t>(1) Total public expenditure and public social expenditure: Ministry of Finance and Public Credit, and Public Finance Studies Center of the Chamber of Deputies.</t>
  </si>
  <si>
    <t>(2) GDP: National Institute of Statistics and Geography (INEGI).</t>
  </si>
  <si>
    <t>(3) Social expenditure includes the following items: environmental protection; housing and community services; Health; recreation, culture and other cultural manifestations; education; social protection; and other social issues.</t>
  </si>
  <si>
    <t>(4) Number of informal workers, minimum wage and income according to occupation: Inter-American Development Bank, based on the National Household Income and Expenditure Survey of INEGI. To estimate the information in odd years, an interpolation was applied based on data from two adjacent pairs of years. The minimum wage for 2016 is obtained from the National Commission of Minimum Wages.</t>
  </si>
  <si>
    <t>Millions of Pesos</t>
  </si>
  <si>
    <t>Notes: N.A .: the information is not available. N.E .: the program did not exist for the year in question. The total subsidy for 2016 is preliminary, since information on health spending with state resources is not yet available.</t>
  </si>
  <si>
    <t>N.A.</t>
  </si>
  <si>
    <r>
      <t xml:space="preserve">Total Public Expenditure (GPT) </t>
    </r>
    <r>
      <rPr>
        <vertAlign val="superscript"/>
        <sz val="11"/>
        <color theme="1"/>
        <rFont val="Calibri"/>
        <family val="2"/>
        <scheme val="minor"/>
      </rPr>
      <t>(1)</t>
    </r>
  </si>
  <si>
    <r>
      <t xml:space="preserve">Social Public Expenditure (GPS) </t>
    </r>
    <r>
      <rPr>
        <vertAlign val="superscript"/>
        <sz val="11"/>
        <color theme="1"/>
        <rFont val="Calibri"/>
        <family val="2"/>
        <scheme val="minor"/>
      </rPr>
      <t>(1) (3)</t>
    </r>
  </si>
  <si>
    <r>
      <t xml:space="preserve">Number of informal workers </t>
    </r>
    <r>
      <rPr>
        <vertAlign val="superscript"/>
        <sz val="11"/>
        <color theme="1"/>
        <rFont val="Calibri"/>
        <family val="2"/>
        <scheme val="minor"/>
      </rPr>
      <t>(4)</t>
    </r>
  </si>
  <si>
    <r>
      <t xml:space="preserve">Minimum wage (pesos per year) </t>
    </r>
    <r>
      <rPr>
        <vertAlign val="superscript"/>
        <sz val="11"/>
        <color theme="1"/>
        <rFont val="Calibri"/>
        <family val="2"/>
        <scheme val="minor"/>
      </rPr>
      <t>(4)</t>
    </r>
  </si>
  <si>
    <r>
      <t>Average income of the employed (pesos per year)</t>
    </r>
    <r>
      <rPr>
        <vertAlign val="superscript"/>
        <sz val="11"/>
        <color theme="1"/>
        <rFont val="Calibri"/>
        <family val="2"/>
        <scheme val="minor"/>
      </rPr>
      <t xml:space="preserve"> (4)</t>
    </r>
  </si>
  <si>
    <r>
      <t xml:space="preserve">Average income of formal workers (pesos per year) </t>
    </r>
    <r>
      <rPr>
        <vertAlign val="superscript"/>
        <sz val="11"/>
        <color theme="1"/>
        <rFont val="Calibri"/>
        <family val="2"/>
        <scheme val="minor"/>
      </rPr>
      <t>(4)</t>
    </r>
  </si>
  <si>
    <r>
      <t xml:space="preserve">Average income of informal workers (pesos per year) </t>
    </r>
    <r>
      <rPr>
        <vertAlign val="superscript"/>
        <sz val="11"/>
        <color theme="1"/>
        <rFont val="Calibri"/>
        <family val="2"/>
        <scheme val="minor"/>
      </rPr>
      <t>(4)</t>
    </r>
  </si>
  <si>
    <t>Average income of formal workers (annual)</t>
  </si>
  <si>
    <r>
      <t xml:space="preserve">Average income of the employed (annual) </t>
    </r>
    <r>
      <rPr>
        <vertAlign val="superscript"/>
        <sz val="11"/>
        <color theme="1"/>
        <rFont val="Calibri"/>
        <family val="2"/>
        <scheme val="minor"/>
      </rPr>
      <t>(9)</t>
    </r>
  </si>
  <si>
    <t>Estimation of the subsidy to informality in PERU</t>
  </si>
  <si>
    <r>
      <t>Strict Sense</t>
    </r>
    <r>
      <rPr>
        <sz val="12"/>
        <rFont val="Calibri"/>
        <family val="2"/>
        <scheme val="minor"/>
      </rPr>
      <t xml:space="preserve"> (millions of Soles)</t>
    </r>
  </si>
  <si>
    <r>
      <t>Broad Sense</t>
    </r>
    <r>
      <rPr>
        <sz val="12"/>
        <rFont val="Calibri"/>
        <family val="2"/>
        <scheme val="minor"/>
      </rPr>
      <t xml:space="preserve"> (millions of Soles)</t>
    </r>
  </si>
  <si>
    <t>(1) Program created in 2002. For the period 1999-2001, information on Maternal and Child Insurance and Free School Insurance is included.</t>
  </si>
  <si>
    <t>Source: Ministry of Economy and Finance and National Institute of Statistics and Information.</t>
  </si>
  <si>
    <t>(3) Program created in 2011. For the 2007-2011 period, information on the "Building Peru" program is included, and for the period 2002-2006, information on the "A trabajar urbano" program is included.</t>
  </si>
  <si>
    <t>(2) Program created in 2011. For the 2010 period, information on the "Gratitud" pilot is included.</t>
  </si>
  <si>
    <t>(4) Budget category that includes the "Jóvenes Productivos" programs (in force since 2015) and "Impulsa Perú" (effective as of 2015). For the previous periods, the respective predecessor programs are included (Antecedents of Jóvenes Productivos: Jóvenes a la Obra, 2011-2014, ProJoven, 1996-2011, Predecessors of Impulsa Peru: Vamos Perú, 2011-2014, and Revalora Perú, 2009-2010).</t>
  </si>
  <si>
    <t>Total Public Expenditure (GPT)</t>
  </si>
  <si>
    <t>Social Public Expenditure (GPS)</t>
  </si>
  <si>
    <t>Average income of the employed</t>
  </si>
  <si>
    <t>Average income of informal workers (annual)</t>
  </si>
  <si>
    <t>Minimum wage (annual)</t>
  </si>
  <si>
    <r>
      <t xml:space="preserve">Total Public Expenditure </t>
    </r>
    <r>
      <rPr>
        <vertAlign val="superscript"/>
        <sz val="11"/>
        <color theme="1"/>
        <rFont val="Calibri"/>
        <family val="2"/>
        <scheme val="minor"/>
      </rPr>
      <t>(4)</t>
    </r>
  </si>
  <si>
    <r>
      <t>Social Public Expenditure</t>
    </r>
    <r>
      <rPr>
        <vertAlign val="superscript"/>
        <sz val="11"/>
        <color theme="1"/>
        <rFont val="Calibri"/>
        <family val="2"/>
        <scheme val="minor"/>
      </rPr>
      <t xml:space="preserve">  (5)</t>
    </r>
  </si>
  <si>
    <t>(8) Source: INDEC, Encuesta Permanente de Hogares.</t>
  </si>
  <si>
    <t>Notes: Information is included since 1999, as it is from that year that the use of the Integrated Financial Administration System (SIAF) becomes mandatory at a national level for all State entities (Vice-Ministerial Resolution No. 029-98- EF/1).</t>
  </si>
  <si>
    <t>Estimation of the subsidy to informality in URUGUAY</t>
  </si>
  <si>
    <t>Minimum wage (thousands of pesos per year)</t>
  </si>
  <si>
    <r>
      <t xml:space="preserve">Total Public Expenditure (GPT) </t>
    </r>
    <r>
      <rPr>
        <vertAlign val="superscript"/>
        <sz val="11"/>
        <rFont val="Calibri"/>
        <family val="2"/>
        <scheme val="minor"/>
      </rPr>
      <t>(2)</t>
    </r>
  </si>
  <si>
    <t>Average income of the employed (thousands of pesos per year)</t>
  </si>
  <si>
    <t>Average income of formal workers (thousands of pesos per year)</t>
  </si>
  <si>
    <t>Average income of informal workers (thousands of pesos per year)</t>
  </si>
  <si>
    <t>Source: estimates based on various official sources.</t>
  </si>
  <si>
    <t>(1) The reported expense is not the total cost of these services because part of the users of the services are formal workers and their families. Based on the available information, the expenditure for that group was deducted from the total expense.</t>
  </si>
  <si>
    <t>(2) Central Government expenditure consolidated with BPS. From the institutional point of view, this expense includes the Central Administration, the bodies of Article 220 of the Constitution and the BPS. From a functional point of view, it covers remunerations, non-personal current expenses, investments, debt interests and transfers.</t>
  </si>
  <si>
    <t>(3) The 1990-2010 estimation of the GPS/GDP ratio was taken from the Social Observatory of the Ministry of Social Development. Estimations for 2011-2014 are our own following the same methodology. For the years 2015 and 2016, the same GPS/GDP ratio is assumed as in 2014.</t>
  </si>
  <si>
    <t>Informality rate (%)</t>
  </si>
  <si>
    <t>Number of informal workers</t>
  </si>
  <si>
    <t>Estimation of the subsidy to informality in BOLIVIA</t>
  </si>
  <si>
    <r>
      <t>Strict Sense</t>
    </r>
    <r>
      <rPr>
        <sz val="12"/>
        <rFont val="Calibri"/>
        <family val="2"/>
        <scheme val="minor"/>
      </rPr>
      <t xml:space="preserve"> (millions of Bolivianos)</t>
    </r>
  </si>
  <si>
    <r>
      <t>Broad Sense</t>
    </r>
    <r>
      <rPr>
        <sz val="12"/>
        <rFont val="Calibri"/>
        <family val="2"/>
        <scheme val="minor"/>
      </rPr>
      <t xml:space="preserve"> (millions of Bolivianos)</t>
    </r>
  </si>
  <si>
    <t>Gross Domestic Product (GDP)</t>
  </si>
  <si>
    <r>
      <t xml:space="preserve">Gross Domestic Product (GDP) </t>
    </r>
    <r>
      <rPr>
        <vertAlign val="superscript"/>
        <sz val="11"/>
        <color theme="1"/>
        <rFont val="Calibri"/>
        <family val="2"/>
        <scheme val="minor"/>
      </rPr>
      <t>(7)</t>
    </r>
  </si>
  <si>
    <r>
      <t xml:space="preserve">Gross Domestic Product (GDP) </t>
    </r>
    <r>
      <rPr>
        <vertAlign val="superscript"/>
        <sz val="11"/>
        <color theme="1"/>
        <rFont val="Calibri"/>
        <family val="2"/>
        <scheme val="minor"/>
      </rPr>
      <t>(6)</t>
    </r>
  </si>
  <si>
    <r>
      <t>Gross Domestic Product (GDP)</t>
    </r>
    <r>
      <rPr>
        <vertAlign val="superscript"/>
        <sz val="11"/>
        <color theme="1"/>
        <rFont val="Calibri"/>
        <family val="2"/>
        <scheme val="minor"/>
      </rPr>
      <t xml:space="preserve"> (2)</t>
    </r>
  </si>
  <si>
    <t>Income data: https://www.aps.gob.bo/estadisticas/Renta%20Dignidad/Estad%C3%ADsticas%20de%20la%20Renta%20Dignidad%20(Al%2031%20de%20Diciembre%20de%202015).pdf</t>
  </si>
  <si>
    <t>Funeral expenses data: https://www.aps.gob.bo/estadisticas/Renta%20Dignidad/Estad%C3%ADsticas%20de%20Gastos%20Funerales%20del%20FRUV%20(Al%2031%20de%20Diciembre%20de%202015).pdf</t>
  </si>
  <si>
    <t>Interview to statistical institutes and institutions dealing with public statistics.</t>
  </si>
  <si>
    <t>Ministry of Health (response letters and interviews) and Ministry of Economy and Finance.</t>
  </si>
  <si>
    <t>Family Allowances: Universal Prenatal Subsidy for Life.</t>
  </si>
  <si>
    <t>Sources:</t>
  </si>
  <si>
    <t>(1) In the 2008-2016 period, Renta Dignidad expenses represent the incremental proportion of expenditure given to the informal, or non-rentier, over the formal, plus the funeral expenses that are for the former (according to the Law from the end of 2007). In the previous periods, the expenses correspond only to those funerary since rentiers and non-rentiers received an equal amount, according to the previous versions of the bond (BONOSOL and BOLIVIDA). Since the detail of the funeral expenses is not available, estimations were made based on total expenses. In 2002, the bonus was not paid. In addition, it should be noted that the beneficiary population in the period 2000-2007 corresponded to persons 65 years of age or older and since 2008 it applies to persons 60 years of age or older.</t>
  </si>
  <si>
    <t xml:space="preserve">(2) The information comes from the Ministry of Health based on letter requests, the information was processed from the Health Database for the period 2000-2009, and obtained already processed by the Ministry for 2010-2015. It comes from a single source, however, during 2000-2009, many municipalities did not declare these expenditures, this correction was only made for the main ones (9 capital cities and El Alto) based on some interannual growth assumptions in the years when there was no information The total reconciliation of income and expenses of the municipalities occurs in the year 2010._x000D_
Throughout the period of analysis it should be remembered that the Insurance had three versions: i) the Free Old Age Medical Insurance (SMGV) established in 1998; ii) Health Insurance for the Elderly (SSPAM) applied since January 2003 and which replaced the SMGV; and iii) the insurance as part of the Comprehensive Health Services Benefits since 2014. </t>
  </si>
  <si>
    <t>(6) The general government includes the three levels of Government in Bolivia (Central, Departmental (Gobernaciones), Municipal and Social Security Short Term). The information comes from the Ministry of Economy and Finance.</t>
  </si>
  <si>
    <r>
      <t xml:space="preserve">Seguro Universal de Salud </t>
    </r>
    <r>
      <rPr>
        <vertAlign val="superscript"/>
        <sz val="11"/>
        <color theme="1"/>
        <rFont val="Calibri"/>
        <family val="2"/>
        <scheme val="minor"/>
      </rPr>
      <t>(2)</t>
    </r>
  </si>
  <si>
    <r>
      <t xml:space="preserve">Bono Juana Azurduy </t>
    </r>
    <r>
      <rPr>
        <vertAlign val="superscript"/>
        <sz val="11"/>
        <color theme="1"/>
        <rFont val="Calibri"/>
        <family val="2"/>
        <scheme val="minor"/>
      </rPr>
      <t>(3)</t>
    </r>
  </si>
  <si>
    <r>
      <t xml:space="preserve">Hospitales Públicos </t>
    </r>
    <r>
      <rPr>
        <vertAlign val="superscript"/>
        <sz val="11"/>
        <color theme="1"/>
        <rFont val="Calibri"/>
        <family val="2"/>
        <scheme val="minor"/>
      </rPr>
      <t>(4)</t>
    </r>
  </si>
  <si>
    <r>
      <t xml:space="preserve">Subsidio Universal Prenatal por la Vida </t>
    </r>
    <r>
      <rPr>
        <vertAlign val="superscript"/>
        <sz val="11"/>
        <color theme="1"/>
        <rFont val="Calibri"/>
        <family val="2"/>
        <scheme val="minor"/>
      </rPr>
      <t>(5)</t>
    </r>
  </si>
  <si>
    <r>
      <t xml:space="preserve">Total Public Expenditure (GPT) of the General Government </t>
    </r>
    <r>
      <rPr>
        <vertAlign val="superscript"/>
        <sz val="11"/>
        <rFont val="Calibri"/>
        <family val="2"/>
        <scheme val="minor"/>
      </rPr>
      <t>(6)</t>
    </r>
  </si>
  <si>
    <r>
      <t xml:space="preserve">Social Public Expenditure (GPS) of the General Government </t>
    </r>
    <r>
      <rPr>
        <vertAlign val="superscript"/>
        <sz val="11"/>
        <rFont val="Calibri"/>
        <family val="2"/>
        <scheme val="minor"/>
      </rPr>
      <t>(7)</t>
    </r>
  </si>
  <si>
    <r>
      <t xml:space="preserve">Number of informal workers </t>
    </r>
    <r>
      <rPr>
        <vertAlign val="superscript"/>
        <sz val="11"/>
        <rFont val="Calibri"/>
        <family val="2"/>
        <scheme val="minor"/>
      </rPr>
      <t>(8)</t>
    </r>
  </si>
  <si>
    <r>
      <t xml:space="preserve">Minimum wage (annual in Bs.) </t>
    </r>
    <r>
      <rPr>
        <vertAlign val="superscript"/>
        <sz val="11"/>
        <rFont val="Calibri"/>
        <family val="2"/>
        <scheme val="minor"/>
      </rPr>
      <t>(9)</t>
    </r>
  </si>
  <si>
    <r>
      <t>Average income of the employed (annual in Bs.)</t>
    </r>
    <r>
      <rPr>
        <vertAlign val="superscript"/>
        <sz val="11"/>
        <rFont val="Calibri"/>
        <family val="2"/>
        <scheme val="minor"/>
      </rPr>
      <t xml:space="preserve"> (8)</t>
    </r>
  </si>
  <si>
    <r>
      <t xml:space="preserve">Average income of formal workers (annual in Bs.) </t>
    </r>
    <r>
      <rPr>
        <vertAlign val="superscript"/>
        <sz val="11"/>
        <rFont val="Calibri"/>
        <family val="2"/>
        <scheme val="minor"/>
      </rPr>
      <t>(8)</t>
    </r>
  </si>
  <si>
    <r>
      <t xml:space="preserve">Average income of informal workers (annual in Bs.) </t>
    </r>
    <r>
      <rPr>
        <vertAlign val="superscript"/>
        <sz val="11"/>
        <rFont val="Calibri"/>
        <family val="2"/>
        <scheme val="minor"/>
      </rPr>
      <t>(8)</t>
    </r>
  </si>
  <si>
    <t>(3) The information of the Juana Azurduy Bonus (bond applied since 2009, was obtained from UDAPE (http://www.udape.gob.bo/portales_html/dossierweb2015/htms/doss0707.htm) for the period 2009-2015 and from the Accountability report of the Ministry of Health for 2016 (https://www.minsalud.gob.bo/images/web/rendicion/RENDICION-CUENTAS-2016.pdf)</t>
  </si>
  <si>
    <t>(4) Expenditures in public hospitals correspond only to those used by informal workers.</t>
  </si>
  <si>
    <t>(5) The information on the Universal Prenatal Subsidy for Life was obtained from the accountability reports of the Ministry of Health and Sports for 2015 and 2016 (https://www.minsalud.gob.bo/20-pdf-archivos).</t>
  </si>
  <si>
    <t>(7) Social spending has been estimated according to information provided by the Ministry of Economy and Finance and UDAPE.</t>
  </si>
  <si>
    <t>(8) The amount of informal and labor income corresponds to IDB data, where growth rates were applied between the two consecutive years for the periods without information.</t>
  </si>
  <si>
    <t>(9) The minimum wage correspondts to 12 monthly payments.</t>
  </si>
  <si>
    <t>Estimation of the subsidy to informality in BRAZIL</t>
  </si>
  <si>
    <r>
      <t>Strict Sense</t>
    </r>
    <r>
      <rPr>
        <sz val="12"/>
        <rFont val="Calibri"/>
        <family val="2"/>
        <scheme val="minor"/>
      </rPr>
      <t xml:space="preserve"> (millions of Reals)</t>
    </r>
  </si>
  <si>
    <r>
      <t>Broad Sense</t>
    </r>
    <r>
      <rPr>
        <sz val="12"/>
        <rFont val="Calibri"/>
        <family val="2"/>
        <scheme val="minor"/>
      </rPr>
      <t xml:space="preserve"> (millions of Reals)</t>
    </r>
  </si>
  <si>
    <r>
      <t>Strict Sense</t>
    </r>
    <r>
      <rPr>
        <sz val="11"/>
        <color theme="1"/>
        <rFont val="Calibri"/>
        <family val="2"/>
        <scheme val="minor"/>
      </rPr>
      <t xml:space="preserve"> (millions of Pesos)</t>
    </r>
  </si>
  <si>
    <r>
      <t xml:space="preserve">ASSE </t>
    </r>
    <r>
      <rPr>
        <vertAlign val="superscript"/>
        <sz val="11"/>
        <color theme="1"/>
        <rFont val="Calibri"/>
        <family val="2"/>
        <scheme val="minor"/>
      </rPr>
      <t>(1)</t>
    </r>
  </si>
  <si>
    <r>
      <t xml:space="preserve">Fondo Nacional de Recursos </t>
    </r>
    <r>
      <rPr>
        <vertAlign val="superscript"/>
        <sz val="11"/>
        <color theme="1"/>
        <rFont val="Calibri"/>
        <family val="2"/>
        <scheme val="minor"/>
      </rPr>
      <t>(1)</t>
    </r>
  </si>
  <si>
    <r>
      <t xml:space="preserve">Asignaciones Familiares (Leyes 17.139, 17.758, 18.227) </t>
    </r>
    <r>
      <rPr>
        <vertAlign val="superscript"/>
        <sz val="11"/>
        <color theme="1"/>
        <rFont val="Calibri"/>
        <family val="2"/>
        <scheme val="minor"/>
      </rPr>
      <t>(1)</t>
    </r>
  </si>
  <si>
    <r>
      <t>Broad Sense</t>
    </r>
    <r>
      <rPr>
        <sz val="11"/>
        <color theme="1"/>
        <rFont val="Calibri"/>
        <family val="2"/>
        <scheme val="minor"/>
      </rPr>
      <t xml:space="preserve"> (millions of Pesos)</t>
    </r>
  </si>
  <si>
    <r>
      <t xml:space="preserve">Total Public Expenditure (GPT) </t>
    </r>
    <r>
      <rPr>
        <vertAlign val="superscript"/>
        <sz val="11"/>
        <color theme="1"/>
        <rFont val="Calibri"/>
        <family val="2"/>
        <scheme val="minor"/>
      </rPr>
      <t>(2)</t>
    </r>
  </si>
  <si>
    <r>
      <t xml:space="preserve">Social Public Expenditure (GPS) </t>
    </r>
    <r>
      <rPr>
        <vertAlign val="superscript"/>
        <sz val="11"/>
        <color theme="1"/>
        <rFont val="Calibri"/>
        <family val="2"/>
        <scheme val="minor"/>
      </rPr>
      <t>(3)</t>
    </r>
  </si>
  <si>
    <r>
      <t xml:space="preserve">Total Public Expenditure (GPT) (Net expenses of the Federal Government) </t>
    </r>
    <r>
      <rPr>
        <vertAlign val="superscript"/>
        <sz val="11"/>
        <rFont val="Calibri"/>
        <family val="2"/>
        <scheme val="minor"/>
      </rPr>
      <t>(5)</t>
    </r>
  </si>
  <si>
    <r>
      <t>Social Public Expenditure (GPS) (Net expenses of the Federal Government)</t>
    </r>
    <r>
      <rPr>
        <vertAlign val="superscript"/>
        <sz val="11"/>
        <rFont val="Calibri"/>
        <family val="2"/>
        <scheme val="minor"/>
      </rPr>
      <t xml:space="preserve"> (5)</t>
    </r>
  </si>
  <si>
    <r>
      <t xml:space="preserve">Number of informal workers (thousands of people) </t>
    </r>
    <r>
      <rPr>
        <vertAlign val="superscript"/>
        <sz val="11"/>
        <rFont val="Calibri"/>
        <family val="2"/>
        <scheme val="minor"/>
      </rPr>
      <t>(7)</t>
    </r>
  </si>
  <si>
    <r>
      <t xml:space="preserve">Minimum wage (annual) (R $) </t>
    </r>
    <r>
      <rPr>
        <vertAlign val="superscript"/>
        <sz val="11"/>
        <rFont val="Calibri"/>
        <family val="2"/>
        <scheme val="minor"/>
      </rPr>
      <t>(8)</t>
    </r>
  </si>
  <si>
    <r>
      <t>Average annual income of Employed persons (current R $)</t>
    </r>
    <r>
      <rPr>
        <vertAlign val="superscript"/>
        <sz val="11"/>
        <rFont val="Calibri"/>
        <family val="2"/>
        <scheme val="minor"/>
      </rPr>
      <t xml:space="preserve"> (9)</t>
    </r>
  </si>
  <si>
    <r>
      <t xml:space="preserve">Average annual income of Formal workers (R $) </t>
    </r>
    <r>
      <rPr>
        <vertAlign val="superscript"/>
        <sz val="11"/>
        <rFont val="Calibri"/>
        <family val="2"/>
        <scheme val="minor"/>
      </rPr>
      <t>(9)</t>
    </r>
  </si>
  <si>
    <r>
      <t xml:space="preserve">Average annual income of Informals workers (R $ currencies) </t>
    </r>
    <r>
      <rPr>
        <vertAlign val="superscript"/>
        <sz val="11"/>
        <rFont val="Calibri"/>
        <family val="2"/>
        <scheme val="minor"/>
      </rPr>
      <t>(9)</t>
    </r>
  </si>
  <si>
    <t>For 2017, Annual Budget Law Bill 2017, Vol. IV, p. 341. Available at: &lt;http://www.orcamentofederal.gov.br/clientes/portalsof/portalsof/orcamentos-anuais&gt;</t>
  </si>
  <si>
    <t>Informal workers estimated to be 40.6% of the total employed (excluding employers) between 1996 and 2010. Between 2010 and 2017, the proportion of informal workers estimated to be 36% of the total employed, excluding employers).</t>
  </si>
  <si>
    <t>For 2016, Transparency Portal Brasil. Available at: &lt;http://www.portaldatransparencia.gov.br/PortalTransparenciaPesquisaAcaoUF.asp?codigoAcao=8442&amp;codigoFuncao=08&amp;NomeAcao=Transfer%IAncia+de+Renda+Diretamente+%E0s+Fam%EDlias+em+Condi%E3o+ of + Poverty + and + Extreme + Poverty +% 28Lei + n% BA + 10% 2E836% 2C + de + 2004% 29 &amp; Exercicio = 2016&gt;</t>
  </si>
  <si>
    <t>For 2017, Annual Budget Bill, Vol. I, p. 169. Available at: &lt;http://www.orcamentofederal.gov.br/clientes/portalsof/portalsof/orcamentos-anuais&gt;</t>
  </si>
  <si>
    <t>For the period 2002 to 2005 refers to the National Minimum Income Program linked to Education - School Grant; National Minimum Income Program linked to Health - Food Bag; programs: Food Bag; Gas Assistance Program and National Food Access Program - Zero Hunger.</t>
  </si>
  <si>
    <t>For Bolsa Alimentação in 2003, source: &lt;http://www.orcamentofederal.gov.br/orcamento-anuais/orcamento-2003/lei-de-directories-orcamentarias/volumes/V4.pdf&gt; p. 942.</t>
  </si>
  <si>
    <t>For Bolsa Alimentação in 2004, source: &lt;http://www.orcamentofederal.gov.br/orcamentos-anuais/orcamento-2004/lei-1/volumes/V_IV.pdf&gt; p. 697. Refers to Item 0008 - Healthy Eating</t>
  </si>
  <si>
    <t>For Bolsa Alimentação in 2005, there is no budgetary contingency</t>
  </si>
  <si>
    <t>For Bolsa Escola in 2002, source: &lt;http://www.orcamentofederal.gov.br/orcamentos-anuais/orcamento-2002/volumes/V5.pdf&gt; p. 15</t>
  </si>
  <si>
    <t>For Bolsa Escola in 2003, source: &lt;http://www.orcamentofederal.gov.br/orcamentos-anuais/orcamento-2003/volumes/V5.pdf&gt; p. 14</t>
  </si>
  <si>
    <t>For Bolsa Escola in 2004 and 2005, there is no budgetary contingency</t>
  </si>
  <si>
    <t>(1) - Refers to the Union's expenditure on health. Net expenses. Source: National Treasury Secretariat (STN). Table Union Expenditure by Function. Available at: &lt;https://www.tesouro.fazenda.gov.br/series-historicas&gt;</t>
  </si>
  <si>
    <t>(2) - Source: Ministry of Social Development and of Fight against Hunger. Datasocial. Available at: &lt;http://aplicacoes.mds.gov.br/sagi-data/METRO/metro.php?p_id=4&gt;.</t>
  </si>
  <si>
    <t>For Bolsa Alimentação in 2002, source: &lt;http://www.orcamentofederal.gov.br/orcamentos-anuais/orcamento-2002/volumes/V4.pdf&gt; p. 977.</t>
  </si>
  <si>
    <t>For the Fome Zero Program in 2003, source: &lt;http://www.orcamentofederal.gov.br/orcamento-anuais/orcamento-2003/lei-de-directories-orcamentarias/volumes/V4.pdf&gt;. P. 14</t>
  </si>
  <si>
    <t>For the Fome Zero Program in 2004 source: &lt;http://www.orcamentofederal.gov.br/orcamentos-anuais/orcamento-2004/lei-1/volumes/V_IV.pdf&gt;. P. 73. Refers to the budget allocated in line 08 - Social Assistance</t>
  </si>
  <si>
    <t>For Auxílio Gas, no contingency figures were found in the Annual Budget Laws between 2003 and 2005.</t>
  </si>
  <si>
    <t>(3) - For expenditure data on professional education for 2013. Transparency Portal. Available at: &lt;http://transparencia.gov.br/PortalSubFuncoes.asp?Exercicio=2013&amp;Pagina=4&gt;</t>
  </si>
  <si>
    <t>For expenditure data on professional education for 2014: Transparency Portal. Available at: &lt;http://transparencia.gov.br/PortalSubFuncoes.asp?Exercicio=2014&amp;Pagina=4&gt;</t>
  </si>
  <si>
    <t>For spending data on professional education for 2015: Transparency Portal. Available at: &lt;http://transparencia.gov.br/PortalSubFuncoes.asp?Exercicio=2015&amp;Pagina=4&gt;</t>
  </si>
  <si>
    <t>For expenditure data on professional education for 2016: Transparency Portal. Available at: &lt;http://www.portaldatransparencia.gov.br/PortalFuncoes_Detalhe.asp?Exercicio=2016&amp;codFuncao=12&amp;Pagina=1&gt;</t>
  </si>
  <si>
    <t>For expenditure data on professional education for 2017: Transparency Portal. Available at: &lt;http://www.portaldatransparencia.gov.br/PortalFuncoes_Detalhe.asp?Exercicio=2016&amp;codFuncao=12&amp;Pagina=1&gt;</t>
  </si>
  <si>
    <t>(4) - Source: For 1996 to 2010: Ministry of Social Security. Statistical Yearbook of Social Security 2010. Available at: &lt;http://www.previdencia.gov.br/arquivos/office/3_111202-105619-646.pdf&gt;</t>
  </si>
  <si>
    <t>For 2011: Ministry of Social Security. Statistical Yearbook of Social Security 2011. Available at: &lt;http://www.previdencia.gov.br/arquivos/office/1_121023-162858-947.pdf&gt;</t>
  </si>
  <si>
    <t>For 2012 and 2013: Ministry of Social Security. Statistical Yearbook of Social Security 2013. Available at: &lt;http://www.previdencia.gov.br/wp-content/uploads/2015/03/AEPS-2013-v.-26.02.pdf&gt;</t>
  </si>
  <si>
    <t>For 2014 and 2017: Ministry of Social Security. Statistical Bulletins of Social Security. Available at: &lt;http://www.previdencia.gov.br/dados-abertos/dados-abertos-previdencia-social/&gt;</t>
  </si>
  <si>
    <t>To Assist. Social/Beneficio Prestação Continuada, data from 2017, Ministry of Budget, Planning and Management. Draft Annual Budget Law 2017. Vol. II. P. 25. Available at: &lt;http://www.orcamentofederal.gov.br/clientes/portalsof/portalsof/orcamentos-anuais&gt;</t>
  </si>
  <si>
    <t>For the 2017 data of the Aposentadorias Rurais, the total of emitted benefits was estimated from the budget forecast of R $ 551 billion of expenses with Social Security benefits. Draft Annual Budgetary Law, Vol I, p. 169. Available at: &lt;http://www.orcamentofederal.gov.br/clientes/portalsof/portalsof/orcamentos-anuais&gt;</t>
  </si>
  <si>
    <t>For the Auxílio Reclusão, data estimated for 2017 from the nominal variation of rural social security benefits between 2016 and 2017.</t>
  </si>
  <si>
    <t>Social functions defined by Art. 6 Federal Constitution: Art. 6 The following are social rights: education, health, food, work, housing, transportation, leisure, security, social security, maternity protection and to children, the assistance to the homeless, in the form of this Constitution.</t>
  </si>
  <si>
    <t>For 2017, estimated growth of 6.29% of the nominal values ​​of expenditures given by the application of Constitutional Amendment Proposal 241/55, which foresees that public spending will have the maximum growth rate of the previous year's inflation rate (IPCA).</t>
  </si>
  <si>
    <t>(6) -For GDP: IPEADATA. Between 1996 and 2016, Reference Methodology 2010. Available at: http://www.ipeadata.gov.br/Default.aspx. For 2017, nominal growth estimate of 4.3%.</t>
  </si>
  <si>
    <t>(7) - Source: For 1996 to 2002: IPEA / DATA. From IBGE. Monthly Employment Survey. Available at: &lt;http://www.ipeadata.gov.br/Default.aspx&gt;.</t>
  </si>
  <si>
    <t>(5) - Source: National Treasury Secretariat (STN). Table of Expenditures by Function. Available at: &lt;https://www.tesouro.fazenda.gov.br/series-historicas&gt;</t>
  </si>
  <si>
    <t>Source: National Treasury Secretariat (STN). Table of Expenditures by Function. Available at: &lt;https://www.tesouro.fazenda.gov.br/series-historicas&gt;.</t>
  </si>
  <si>
    <t>For 2003 to 2009: IBGE. Monthly Employment Survey. Available at: &lt;http://www.ibge.gov.br/home/estatistica/indicadores/trabalhoerendimento/pme_nova/defaulttab_hist.shtm&gt;.</t>
  </si>
  <si>
    <t>For 1996 to 2009, the data refer to the six Metropolitan Regions of Brazil.</t>
  </si>
  <si>
    <t>For 2010, IBGE. Census 2010. Available at: &lt;http://www.sidra.ibge.gov.br/bda/tabela/protabl.asp?c=2031&amp;z=cd&amp;o=17&amp;i=P&gt;</t>
  </si>
  <si>
    <t>For 2011: IBGE. National Household Sample Survey 2011. Available at: &lt;http://www.sidra.ibge.gov.br/bda/tabela/listabl.asp?z=pnad&amp;o=3&amp;i=P&amp;c=1904&gt;</t>
  </si>
  <si>
    <t>For 2012 to 2017: IBGE. Quarterly National Continuous Household Sample Survey. Available at: &lt;https://sidra.ibge.gov.br/tabela/4097#resultado</t>
  </si>
  <si>
    <t>Informals defined as workers without a formal contract that did not contribute to Social Security + self-employed workers who did not contribute to Social Security.</t>
  </si>
  <si>
    <t>For the period 1996 to 2009, 78.3% of the stock of the own account as informal and 90.6% of the workers without a formal contract were accounted for.</t>
  </si>
  <si>
    <t>For the period 2010 to 2017, 74.2% of the stock of self-employed workers were accounted for as informal and 86.3% of workers without a formal contract.</t>
  </si>
  <si>
    <t>(9) - Source: For 1996 to 2002, IBGE - PME (Old Methodology). Available at: &lt;http://www.ipeadata.gov.br/Default.aspx&gt;</t>
  </si>
  <si>
    <t>For 2003 to 2011, IBGE - PME. Available at: &lt;https://sidra.ibge.gov.br/pesquisa/pme/quadros/total-das-areas/fe Fevereiro-2016&gt;</t>
  </si>
  <si>
    <t>For 2011 to 2017, IBGE - National Survey by Sample of Continuous Households. Available at: &lt;https://sidra.ibge.gov.br/home/pnadct/brasil?</t>
  </si>
  <si>
    <t>(8) - Source: IPEA/DATA. Available at: &lt;http://www.ipeadata.gov.br/&gt;</t>
  </si>
  <si>
    <t>Estimation of the subsidy to informality in CHILE</t>
  </si>
  <si>
    <t xml:space="preserve"> Programs</t>
  </si>
  <si>
    <r>
      <t xml:space="preserve">Minimum wage (annual) </t>
    </r>
    <r>
      <rPr>
        <vertAlign val="superscript"/>
        <sz val="11"/>
        <color theme="1"/>
        <rFont val="Calibri"/>
        <family val="2"/>
        <scheme val="minor"/>
      </rPr>
      <t>(4)</t>
    </r>
  </si>
  <si>
    <r>
      <t xml:space="preserve">Average income of formal workers (annual) </t>
    </r>
    <r>
      <rPr>
        <vertAlign val="superscript"/>
        <sz val="11"/>
        <color theme="1"/>
        <rFont val="Calibri"/>
        <family val="2"/>
        <scheme val="minor"/>
      </rPr>
      <t>(5)</t>
    </r>
  </si>
  <si>
    <r>
      <t xml:space="preserve">Average income of informal workers (annual) </t>
    </r>
    <r>
      <rPr>
        <vertAlign val="superscript"/>
        <sz val="11"/>
        <color theme="1"/>
        <rFont val="Calibri"/>
        <family val="2"/>
        <scheme val="minor"/>
      </rPr>
      <t>(6)</t>
    </r>
  </si>
  <si>
    <t>(1) GPT: considers the budget for each year, obtained from the budget law of the DIPRES.</t>
  </si>
  <si>
    <t>(4) Minimum wage: http://www.leychile.cl/Consulta/listado_n_sel?_grupo_aporte&amp;sub=807&amp;agr=2&amp;comp</t>
  </si>
  <si>
    <t>(2) GDP: Central Bank of Chile.</t>
  </si>
  <si>
    <t>(3) Informal workers: It is an estimate that considers administrative statistics of contributors to December of each year, according to data from the SAFP and employed workers in the Nov-January quarter from the INE employment survey data, series linked to ENE 1986-2009, the 2002 Census.</t>
  </si>
  <si>
    <t>(5) Income for formal wokers. Quotes system AFP. SAFP, December of each year.</t>
  </si>
  <si>
    <t>(6) Income for informal workers. Average income of those who do not contribute to the pension system, according to 1990-1992-1994-1996-1998-2000 and 2003. The salary of informal workers for the other years was calculated as the% of salary of informal workers with respect to formal wages. the result of the CASEN of previous years.</t>
  </si>
  <si>
    <t>Estimation of the subsidy to informality in COSTA RICA</t>
  </si>
  <si>
    <r>
      <t>Strict Sense</t>
    </r>
    <r>
      <rPr>
        <sz val="11"/>
        <color theme="1"/>
        <rFont val="Calibri"/>
        <family val="2"/>
        <scheme val="minor"/>
      </rPr>
      <t xml:space="preserve"> (millions of Colones)</t>
    </r>
  </si>
  <si>
    <t xml:space="preserve">Programs
</t>
  </si>
  <si>
    <r>
      <t>Broad Sense</t>
    </r>
    <r>
      <rPr>
        <sz val="11"/>
        <color theme="1"/>
        <rFont val="Calibri"/>
        <family val="2"/>
        <scheme val="minor"/>
      </rPr>
      <t xml:space="preserve"> (millions of Colones)</t>
    </r>
  </si>
  <si>
    <r>
      <t xml:space="preserve">Gross Domestic Product (GDP) </t>
    </r>
    <r>
      <rPr>
        <vertAlign val="superscript"/>
        <sz val="11"/>
        <rFont val="Calibri"/>
        <family val="2"/>
        <scheme val="minor"/>
      </rPr>
      <t>(6)</t>
    </r>
  </si>
  <si>
    <r>
      <t xml:space="preserve">Gross Domestic Product (GDP) (nominal pesos) </t>
    </r>
    <r>
      <rPr>
        <vertAlign val="superscript"/>
        <sz val="11"/>
        <color theme="1"/>
        <rFont val="Calibri"/>
        <family val="2"/>
        <scheme val="minor"/>
      </rPr>
      <t>(2)</t>
    </r>
  </si>
  <si>
    <t>(8) Public expenditure, total and social, refers to the general government and the source is the Comptroller General of the Republic (Annual Reports). For every year, it is an effective expense.</t>
  </si>
  <si>
    <t>(9) The source of the GDP is the Central Bank of Costa Rica and the last two years are preliminary and do not contemplate the new base-year updated to 2015.</t>
  </si>
  <si>
    <t>(10) The amount of informal and labor income arise from national household surveys of the National Institute of Statistics and Census.</t>
  </si>
  <si>
    <t>(11) The minimum wage is obtained from the bi-annual fixation decrees published by the Ministry of Labor and Social Security.</t>
  </si>
  <si>
    <t>(12) The income of formal and informal workers includes unpaid assistants but excludes employed recipients without reported or ignored income.</t>
  </si>
  <si>
    <r>
      <t xml:space="preserve">Total Public Expenditure (GPT) </t>
    </r>
    <r>
      <rPr>
        <vertAlign val="superscript"/>
        <sz val="11"/>
        <color theme="1"/>
        <rFont val="Calibri"/>
        <family val="2"/>
        <scheme val="minor"/>
      </rPr>
      <t>(8)</t>
    </r>
  </si>
  <si>
    <r>
      <t xml:space="preserve">Social Public Expenditure (GPS) </t>
    </r>
    <r>
      <rPr>
        <vertAlign val="superscript"/>
        <sz val="11"/>
        <color theme="1"/>
        <rFont val="Calibri"/>
        <family val="2"/>
        <scheme val="minor"/>
      </rPr>
      <t>(8)</t>
    </r>
  </si>
  <si>
    <r>
      <t xml:space="preserve">Gross Domestic Product (GDP) </t>
    </r>
    <r>
      <rPr>
        <vertAlign val="superscript"/>
        <sz val="11"/>
        <color theme="1"/>
        <rFont val="Calibri"/>
        <family val="2"/>
        <scheme val="minor"/>
      </rPr>
      <t>(9)</t>
    </r>
  </si>
  <si>
    <r>
      <t xml:space="preserve">Minimum wage (annual) (colones) </t>
    </r>
    <r>
      <rPr>
        <vertAlign val="superscript"/>
        <sz val="11"/>
        <color theme="1"/>
        <rFont val="Calibri"/>
        <family val="2"/>
        <scheme val="minor"/>
      </rPr>
      <t>(11)</t>
    </r>
  </si>
  <si>
    <r>
      <t xml:space="preserve">Average income of formal workers (annual, colones) </t>
    </r>
    <r>
      <rPr>
        <vertAlign val="superscript"/>
        <sz val="11"/>
        <color theme="1"/>
        <rFont val="Calibri"/>
        <family val="2"/>
        <scheme val="minor"/>
      </rPr>
      <t>(12)</t>
    </r>
  </si>
  <si>
    <r>
      <t xml:space="preserve">Average income of informal workers (annual, colones) </t>
    </r>
    <r>
      <rPr>
        <vertAlign val="superscript"/>
        <sz val="11"/>
        <color theme="1"/>
        <rFont val="Calibri"/>
        <family val="2"/>
        <scheme val="minor"/>
      </rPr>
      <t>(12)</t>
    </r>
  </si>
  <si>
    <t>(1) The expenses of PRONAE and Empléate correspond to the transfers made effective, including 2015. It does not include administrative expenses and the source is the quarterly reports at http://fodesaf.go.cr/</t>
  </si>
  <si>
    <t>(3) Spending on INA training programs and on the care network was adjusted according to the proportion of beneficiaries considered informal. It is assumed that this proportion is maintained throughout the period.</t>
  </si>
  <si>
    <t>(4) PRONAMYPE expenses include administrative expenses and the source is http://fodesaf.go.cr/, both the quarterly reports and the annual reports.</t>
  </si>
  <si>
    <t>(5) The cost in the care network includes the contribution of the IMAS (subsidy per child attended), the investment financed by the FODESAF for the construction of care centers by the municipalities and the child care program (CEN-CINAI) of the Ministry of Health. The last two components refer to budgetary data for 2015. In the estimation of the informality subsidy, only the proportional part of the beneficiaries considered to be informal is taken, assuming that this proportion remains in the period.</t>
  </si>
  <si>
    <t>(6) The cost of the insurance by the State is obtained from the CCSS reports on the insured households (http://fodesaf.go.cr/) and the minimum contribution income as well as the minimum contribution rate reported by the CCSS.</t>
  </si>
  <si>
    <t>(7) The non-contributory pensions are executed by the CCSS, source are the budgetary liquidations of the program by the CCSS.</t>
  </si>
  <si>
    <t>(2) Manos a la Obra e Ideas Productivas are executed by the IMAS and the source is annual budgetary settlements and annual performance reports.</t>
  </si>
  <si>
    <t>Estimation of the subsidy to informality in ECUADOR</t>
  </si>
  <si>
    <r>
      <t>Strict Sense</t>
    </r>
    <r>
      <rPr>
        <sz val="11"/>
        <color theme="1"/>
        <rFont val="Calibri"/>
        <family val="2"/>
        <scheme val="minor"/>
      </rPr>
      <t xml:space="preserve"> (millions of US dollars)</t>
    </r>
  </si>
  <si>
    <r>
      <t>Broad Sense</t>
    </r>
    <r>
      <rPr>
        <sz val="11"/>
        <color theme="1"/>
        <rFont val="Calibri"/>
        <family val="2"/>
        <scheme val="minor"/>
      </rPr>
      <t xml:space="preserve"> (millions of US dollars)</t>
    </r>
  </si>
  <si>
    <r>
      <t xml:space="preserve">Social Public Expenditure (GPS) </t>
    </r>
    <r>
      <rPr>
        <vertAlign val="superscript"/>
        <sz val="11"/>
        <color theme="1"/>
        <rFont val="Calibri"/>
        <family val="2"/>
        <scheme val="minor"/>
      </rPr>
      <t>(2)</t>
    </r>
  </si>
  <si>
    <r>
      <t xml:space="preserve">Average income of employed workers </t>
    </r>
    <r>
      <rPr>
        <vertAlign val="superscript"/>
        <sz val="11"/>
        <color theme="1"/>
        <rFont val="Calibri"/>
        <family val="2"/>
        <scheme val="minor"/>
      </rPr>
      <t>(3)</t>
    </r>
  </si>
  <si>
    <t>(1) Total public expenditure corresponds to the total expenditure of the Central Government.</t>
  </si>
  <si>
    <t>Source: Ministry of Finance.</t>
  </si>
  <si>
    <t>Note: Only as of 2013 are there differentiated budgetary data for Pensionaes Asistenciales and BDH. Between 2010 and 2012, the budget for pensions is estimated as explained in the methodological document.</t>
  </si>
  <si>
    <t>(2) Public social spending is the sum of sectoral spendings in education, health, labor and social welfare, according to the Ministry of Finance.</t>
  </si>
  <si>
    <t>(3) Income data for the employed, formal and informal were calculated based on the database of the ENEMDU. They are based on the PEA and labor (or work) income is taken. The unpaid with income = 0 are also considered.</t>
  </si>
  <si>
    <r>
      <t xml:space="preserve">Average income of formal workers (annual) </t>
    </r>
    <r>
      <rPr>
        <vertAlign val="superscript"/>
        <sz val="11"/>
        <color theme="1"/>
        <rFont val="Calibri"/>
        <family val="2"/>
        <scheme val="minor"/>
      </rPr>
      <t>(3)</t>
    </r>
  </si>
  <si>
    <r>
      <t xml:space="preserve">Average income of informal workers (annual) </t>
    </r>
    <r>
      <rPr>
        <vertAlign val="superscript"/>
        <sz val="11"/>
        <color theme="1"/>
        <rFont val="Calibri"/>
        <family val="2"/>
        <scheme val="minor"/>
      </rPr>
      <t>(3)</t>
    </r>
  </si>
  <si>
    <t>Estimation of the subsidy to informality in EL SALVADOR</t>
  </si>
  <si>
    <t>(2) Obtained through interviews in INSAFORP and direct request of data to the institution.</t>
  </si>
  <si>
    <t>(1) The expenditure of the national hospitals includes the total expenditure executed from the public hospital network; this expense is mainly financed by transfers from the Ministry of Health (MINSAL) to hospitals, but also by own revenues generated by hospital centers. It does not include centralized purchases of medicines and others that are made through MINSAL; it does include hospital administrative expenses.</t>
  </si>
  <si>
    <r>
      <t xml:space="preserve">Total Public Expenditure (GPT) </t>
    </r>
    <r>
      <rPr>
        <vertAlign val="superscript"/>
        <sz val="11"/>
        <rFont val="Calibri"/>
        <family val="2"/>
        <scheme val="minor"/>
      </rPr>
      <t>(3)</t>
    </r>
  </si>
  <si>
    <r>
      <t>Social Public Expenditure (GPS)</t>
    </r>
    <r>
      <rPr>
        <vertAlign val="superscript"/>
        <sz val="11"/>
        <rFont val="Calibri"/>
        <family val="2"/>
        <scheme val="minor"/>
      </rPr>
      <t xml:space="preserve"> (4)</t>
    </r>
  </si>
  <si>
    <r>
      <t xml:space="preserve">Minimum wage (annual) </t>
    </r>
    <r>
      <rPr>
        <vertAlign val="superscript"/>
        <sz val="11"/>
        <rFont val="Calibri"/>
        <family val="2"/>
        <scheme val="minor"/>
      </rPr>
      <t>(6)</t>
    </r>
  </si>
  <si>
    <r>
      <t xml:space="preserve">Average income of employed workers (annual) </t>
    </r>
    <r>
      <rPr>
        <vertAlign val="superscript"/>
        <sz val="11"/>
        <rFont val="Calibri"/>
        <family val="2"/>
        <scheme val="minor"/>
      </rPr>
      <t>(7)</t>
    </r>
  </si>
  <si>
    <r>
      <t xml:space="preserve">Average income of formal workers (annual) </t>
    </r>
    <r>
      <rPr>
        <vertAlign val="superscript"/>
        <sz val="11"/>
        <rFont val="Calibri"/>
        <family val="2"/>
        <scheme val="minor"/>
      </rPr>
      <t>(7)</t>
    </r>
  </si>
  <si>
    <r>
      <t xml:space="preserve">Average income of informal workers (annual) </t>
    </r>
    <r>
      <rPr>
        <vertAlign val="superscript"/>
        <sz val="11"/>
        <rFont val="Calibri"/>
        <family val="2"/>
        <scheme val="minor"/>
      </rPr>
      <t>(7)</t>
    </r>
  </si>
  <si>
    <t>(3) Total public expenditure of the non-financial public sector, according to data from the Central Reserve Bank, cash basis; includes the amount paid in pensions of the public pension system, which is the responsibility of the State.</t>
  </si>
  <si>
    <t>(4) Government social spending was estimated by adding: total public spending on health and education plus social programs: Solidarity Communities, PATI, Non-contributory pension to the elderly and veterans, Agricultural package, Women's city and Rehabilitation program for the disable. It does not include generalized subsidies for gas, electricity, transport and water. MINED spending includes social programs in the educational area.</t>
  </si>
  <si>
    <t>The total public health expenditure for 2010-2014 was taken from the MINSAL Work Reports, and includes all health expenditures generated by MINSAL, ISSS, ISBM, Military Health, and all health expenditures made by the rest of public institutions, including municipal clinics.</t>
  </si>
  <si>
    <t>The total public expenditure on education for 2010-2014 corresponds to expenditure by the Ministry of Education (MINED), which includes all social programs in the public education area. These figures are from the State Financial Management Reports, Ministry of Finance.</t>
  </si>
  <si>
    <t>The expenditure on social programs for 2010-2014 are figures taken from the Medium Term Fiscal Framework 2015-2015 of the Ministry of Finance.</t>
  </si>
  <si>
    <t>(5) The number of informal workers is all employees who do not contribute to any social protection scheme; own calculations from the databases of the Household Surveys of Multiple Purposes, several years.</t>
  </si>
  <si>
    <t>(6) Based on the highest monthly minimum wage (trade and services sector), data from the Ministry of Labor.</t>
  </si>
  <si>
    <r>
      <t xml:space="preserve">Number of informal workers (Employed persons minus those with social security) </t>
    </r>
    <r>
      <rPr>
        <vertAlign val="superscript"/>
        <sz val="11"/>
        <rFont val="Calibri"/>
        <family val="2"/>
        <scheme val="minor"/>
      </rPr>
      <t>(5)</t>
    </r>
  </si>
  <si>
    <t>Estimation of the subsidy to informality in GUATEMALA</t>
  </si>
  <si>
    <r>
      <t>Strict Sense</t>
    </r>
    <r>
      <rPr>
        <sz val="11"/>
        <color theme="1"/>
        <rFont val="Calibri"/>
        <family val="2"/>
        <scheme val="minor"/>
      </rPr>
      <t xml:space="preserve"> (millions of Quetzales)</t>
    </r>
  </si>
  <si>
    <r>
      <t>Broad Sense</t>
    </r>
    <r>
      <rPr>
        <sz val="11"/>
        <color theme="1"/>
        <rFont val="Calibri"/>
        <family val="2"/>
        <scheme val="minor"/>
      </rPr>
      <t xml:space="preserve"> (millions of Quetzales)</t>
    </r>
  </si>
  <si>
    <t>Number of informal workers (ENEI = Employed selected categories not affiliated to the IGSS)</t>
  </si>
  <si>
    <t>Number of informal workers (ENEI = Employed persons not affiliated to the IGSS)</t>
  </si>
  <si>
    <t>Number of informal workers (from administrative records of the IGSS)</t>
  </si>
  <si>
    <t>Average income of employed workers</t>
  </si>
  <si>
    <r>
      <t xml:space="preserve">Number of informal workers </t>
    </r>
    <r>
      <rPr>
        <vertAlign val="superscript"/>
        <sz val="11"/>
        <color theme="1"/>
        <rFont val="Calibri"/>
        <family val="2"/>
        <scheme val="minor"/>
      </rPr>
      <t>(3)</t>
    </r>
  </si>
  <si>
    <t>Estimation of the subsidy to informality in HONDURAS</t>
  </si>
  <si>
    <r>
      <t>Strict Sense</t>
    </r>
    <r>
      <rPr>
        <sz val="11"/>
        <color theme="1"/>
        <rFont val="Calibri"/>
        <family val="2"/>
        <scheme val="minor"/>
      </rPr>
      <t xml:space="preserve"> (millions of Lempiras)</t>
    </r>
  </si>
  <si>
    <r>
      <t>Broad Sense</t>
    </r>
    <r>
      <rPr>
        <sz val="11"/>
        <color theme="1"/>
        <rFont val="Calibri"/>
        <family val="2"/>
        <scheme val="minor"/>
      </rPr>
      <t xml:space="preserve"> (millions of Lempiras)</t>
    </r>
  </si>
  <si>
    <t>* The adjustments concern the investments in health, universal programs of Health Promotion, Etc. and to applying an adjustment of Non-Contributory Spendings by the rate of informality.</t>
  </si>
  <si>
    <r>
      <t>Strict Sense</t>
    </r>
    <r>
      <rPr>
        <sz val="11"/>
        <color theme="1"/>
        <rFont val="Calibri"/>
        <family val="2"/>
        <scheme val="minor"/>
      </rPr>
      <t xml:space="preserve"> (millions of Jamaican dollars)</t>
    </r>
  </si>
  <si>
    <r>
      <t xml:space="preserve">Programs </t>
    </r>
    <r>
      <rPr>
        <sz val="11"/>
        <rFont val="Calibri"/>
        <family val="2"/>
      </rPr>
      <t xml:space="preserve">(adjusted for informality) </t>
    </r>
    <r>
      <rPr>
        <vertAlign val="superscript"/>
        <sz val="11"/>
        <rFont val="Calibri"/>
        <family val="2"/>
      </rPr>
      <t>(1)</t>
    </r>
  </si>
  <si>
    <r>
      <t>Broad Sense</t>
    </r>
    <r>
      <rPr>
        <sz val="11"/>
        <color theme="1"/>
        <rFont val="Calibri"/>
        <family val="2"/>
        <scheme val="minor"/>
      </rPr>
      <t xml:space="preserve"> (millions of Jamaican dollars)</t>
    </r>
  </si>
  <si>
    <r>
      <t xml:space="preserve">Nominal Gross Domestic Product (GDP) </t>
    </r>
    <r>
      <rPr>
        <vertAlign val="superscript"/>
        <sz val="11"/>
        <rFont val="Calibri"/>
        <family val="2"/>
        <scheme val="minor"/>
      </rPr>
      <t>(9)</t>
    </r>
  </si>
  <si>
    <t>Estimation of the subsidy to informality in JAMAICA</t>
  </si>
  <si>
    <t>Estimation of the subsidy to informality in NICARAGUA</t>
  </si>
  <si>
    <r>
      <t>Broad Sense</t>
    </r>
    <r>
      <rPr>
        <sz val="11"/>
        <color theme="1"/>
        <rFont val="Calibri"/>
        <family val="2"/>
        <scheme val="minor"/>
      </rPr>
      <t xml:space="preserve"> (millions of Cordobas)</t>
    </r>
  </si>
  <si>
    <r>
      <t xml:space="preserve">Programs </t>
    </r>
    <r>
      <rPr>
        <b/>
        <vertAlign val="superscript"/>
        <sz val="12"/>
        <rFont val="Calibri"/>
        <family val="2"/>
        <scheme val="minor"/>
      </rPr>
      <t>(1)</t>
    </r>
  </si>
  <si>
    <r>
      <t>Strict Sense</t>
    </r>
    <r>
      <rPr>
        <sz val="11"/>
        <color theme="1"/>
        <rFont val="Calibri"/>
        <family val="2"/>
        <scheme val="minor"/>
      </rPr>
      <t xml:space="preserve"> (millions of Cordobas)</t>
    </r>
  </si>
  <si>
    <t xml:space="preserve">Notes: </t>
  </si>
  <si>
    <r>
      <t xml:space="preserve">Social Public Expenditure (GPS) </t>
    </r>
    <r>
      <rPr>
        <vertAlign val="superscript"/>
        <sz val="11"/>
        <rFont val="Calibri"/>
        <family val="2"/>
        <scheme val="minor"/>
      </rPr>
      <t>(2)</t>
    </r>
  </si>
  <si>
    <t>(3) Non-contributory expenditure as a proportion of social spending is interpreted as the percentage of non-contributory expenditure absorption by way of contrast. This proportion does not represent the social expenditure that is used in the informality subsidy.</t>
  </si>
  <si>
    <t>Source: Own calculations based on the reports of the General Budget of the Republic of Nicaragua.</t>
  </si>
  <si>
    <t>(1) The budgetary amounts of the non-contributory programs under the strict definition correspond to those presented in the medium-term budgetary frameworks published by the Ministry of Finance and Public Credit (MHCP). The data to identify the amounts of the non-contributory programs under broad definition were obtained from the Budget Liquidation Report (also published by MHCP), specifically the Detail of the Spending Strategy and Poverty Reduction.</t>
  </si>
  <si>
    <t>(2) The budgets from 2002 to 2015 correspond to executed expenses, while for 2016 it corresponds to programmed budget.</t>
  </si>
  <si>
    <t>Estimation of the subsidy to informality in PARAGUAY</t>
  </si>
  <si>
    <r>
      <t>Strict Sense</t>
    </r>
    <r>
      <rPr>
        <sz val="11"/>
        <color theme="1"/>
        <rFont val="Calibri"/>
        <family val="2"/>
        <scheme val="minor"/>
      </rPr>
      <t xml:space="preserve"> (millions of Guaranies)</t>
    </r>
  </si>
  <si>
    <r>
      <t>Broad Sense</t>
    </r>
    <r>
      <rPr>
        <sz val="11"/>
        <color theme="1"/>
        <rFont val="Calibri"/>
        <family val="2"/>
        <scheme val="minor"/>
      </rPr>
      <t xml:space="preserve"> (millions of Guaranies)</t>
    </r>
  </si>
  <si>
    <r>
      <t xml:space="preserve">Social Public Expenditure (GPS) </t>
    </r>
    <r>
      <rPr>
        <vertAlign val="superscript"/>
        <sz val="11"/>
        <rFont val="Calibri"/>
        <family val="2"/>
        <scheme val="minor"/>
      </rPr>
      <t>(5)</t>
    </r>
  </si>
  <si>
    <t>Number of employed workers</t>
  </si>
  <si>
    <t>Informality rate</t>
  </si>
  <si>
    <t>(1) Temporary employment was an initiative that constituted an important budgetary effort but due to poor results it was eliminated.</t>
  </si>
  <si>
    <t>(2) For the employment offices, the execution of the IDB loan destined for this purpose is considered.</t>
  </si>
  <si>
    <t>(3) Three types of expenses were taken according to health functions (medical care, environmental sanitation and health without discrimination).</t>
  </si>
  <si>
    <t>Source: BOOST/Ministry of Finance - EPH 2010-2014 - MTESS - Pension for old age for the years 2010 -2012 was obtained through interviews.</t>
  </si>
  <si>
    <t>(4) The community child development centers, for the years 2010-2014, took their budget from the Social Welfare Institute, the unit responsible for carrying out the CEBINFA program (Center for the Welfare of Children and the Family).</t>
  </si>
  <si>
    <t>GPT: is the National Expenditure Budget of each year for all levels of government in the country.</t>
  </si>
  <si>
    <t>(5) Public social expenditure takes the function 300 of Social Services in the Paraguayan public budget.</t>
  </si>
  <si>
    <t>(5) Expense accrued by the subprogram "Provisional Benefits Law 25.994", corresponding to the one known as "Pension Moratoria", in force between April 2005 and April 2007; and reopening in 2014.</t>
  </si>
  <si>
    <r>
      <t xml:space="preserve">   Nación </t>
    </r>
    <r>
      <rPr>
        <vertAlign val="superscript"/>
        <sz val="11"/>
        <color theme="1"/>
        <rFont val="Calibri"/>
        <family val="2"/>
        <scheme val="minor"/>
      </rPr>
      <t>(2)</t>
    </r>
  </si>
  <si>
    <r>
      <t xml:space="preserve">   Provincias</t>
    </r>
    <r>
      <rPr>
        <vertAlign val="superscript"/>
        <sz val="11"/>
        <color theme="1"/>
        <rFont val="Calibri"/>
        <family val="2"/>
        <scheme val="minor"/>
      </rPr>
      <t xml:space="preserve"> (3)</t>
    </r>
  </si>
  <si>
    <r>
      <t xml:space="preserve">Regimen subsidiado de salud </t>
    </r>
    <r>
      <rPr>
        <vertAlign val="superscript"/>
        <sz val="11"/>
        <color theme="1"/>
        <rFont val="Calibri"/>
        <family val="2"/>
        <scheme val="minor"/>
      </rPr>
      <t>(2)</t>
    </r>
  </si>
  <si>
    <t>Programa de protección social al adulto mayor PPSAM (2008-2011) y Colombia Mayor (2012-2016)</t>
  </si>
  <si>
    <t>Programa de Solidaridad Pensional (2008-2011) y  Subsidio al Aporte en Pensión -PSAP- (2012-2016)</t>
  </si>
  <si>
    <t>Programa de emprendimiento</t>
  </si>
  <si>
    <t>Familias en acción, Más Familias en Acción, Jóvenes en Acción y Empleo en Acción</t>
  </si>
  <si>
    <t>Subsidio Familiar de Vivienda para hogares informales</t>
  </si>
  <si>
    <t>Programa Nacional de Alimentacion para el Adulto Mayor PNAAM</t>
  </si>
  <si>
    <t>Regimen subsidiado de salud</t>
  </si>
  <si>
    <t>Gross Domestic Product (GDP, millions of nuevos soles)</t>
  </si>
  <si>
    <t>Plan Nacional Alimentación (PANES)/Tarjeta Uruguay Social</t>
  </si>
  <si>
    <t>Strict per capita subsidy as % of the average informal income (including moratoria)</t>
  </si>
  <si>
    <t>Strict per capita subsidy as % of the average informal income (excluding moratoria)</t>
  </si>
  <si>
    <t>Broad per capita subsidy as % of the average informal income (including moratoria)</t>
  </si>
  <si>
    <t>Broad per capita subsidy as % of the average informal income (excluding moratoria)</t>
  </si>
  <si>
    <t>Strict per capita subsidy as % of the average informal income</t>
  </si>
  <si>
    <t>Broad per capita subsidy as % of the average informal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</si>
</sst>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_(* \(#,##0\);_(* &quot;-&quot;_);_(@_)"/>
    <numFmt numFmtId="43" formatCode="_(* #,##0.00_);_(* \(#,##0.00\);_(* &quot;-&quot;??_);_(@_)"/>
    <numFmt numFmtId="164" formatCode="_-* #,##0.00_-;\-* #,##0.00_-;_-* &quot;-&quot;??_-;_-@_-"/>
    <numFmt numFmtId="165" formatCode="0.0%"/>
    <numFmt numFmtId="166" formatCode="_-* #,##0_-;\-* #,##0_-;_-* &quot;-&quot;??_-;_-@_-"/>
    <numFmt numFmtId="167" formatCode="_-* #,##0.0_-;\-* #,##0.0_-;_-* &quot;-&quot;??_-;_-@_-"/>
    <numFmt numFmtId="168" formatCode="_ * #,##0_ ;_ * \-#,##0_ ;_ * &quot;-&quot;_ ;_ @_ "/>
    <numFmt numFmtId="169" formatCode="_ * #,##0.00_ ;_ * \-#,##0.00_ ;_ * &quot;-&quot;??_ ;_ @_ "/>
    <numFmt numFmtId="170" formatCode="#,##0.0"/>
    <numFmt numFmtId="171" formatCode="_ * #,##0_ ;_ * \-#,##0_ ;_ * &quot;-&quot;??_ ;_ @_ "/>
    <numFmt numFmtId="172" formatCode="_(* #,##0_);_(* \(#,##0\);_(* &quot;-&quot;??_);_(@_)"/>
    <numFmt numFmtId="173" formatCode="_-[$C$-4C0A]* #,##0.00_-;\-[$C$-4C0A]* #,##0.00_-;_-[$C$-4C0A]* &quot;-&quot;??_-;_-@_-"/>
    <numFmt numFmtId="174" formatCode="0.0"/>
    <numFmt numFmtId="175" formatCode="#,##0.000"/>
    <numFmt numFmtId="176" formatCode="#,##0.0000"/>
    <numFmt numFmtId="177" formatCode="0.0000"/>
    <numFmt numFmtId="178" formatCode="_-* #,##0\ _€_-;\-* #,##0\ _€_-;_-* &quot;-&quot;?\ _€_-;_-@_-"/>
    <numFmt numFmtId="179" formatCode="_(* #,##0.0_);_(* \(#,##0.0\);_(* &quot;-&quot;??_);_(@_)"/>
    <numFmt numFmtId="180" formatCode="_ * #,##0.0_ ;_ * \-#,##0.0_ ;_ * &quot;-&quot;??_ ;_ @_ "/>
    <numFmt numFmtId="181" formatCode="0.000%"/>
    <numFmt numFmtId="182" formatCode="0.00000%"/>
    <numFmt numFmtId="183" formatCode="0.00000"/>
  </numFmts>
  <fonts count="8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i/>
      <sz val="11"/>
      <color theme="1"/>
      <name val="Calibri"/>
      <family val="2"/>
      <scheme val="minor"/>
    </font>
    <font>
      <sz val="10"/>
      <name val="Arial"/>
      <family val="2"/>
    </font>
    <font>
      <b/>
      <sz val="11"/>
      <name val="Calibri"/>
      <family val="2"/>
    </font>
    <font>
      <vertAlign val="superscript"/>
      <sz val="11"/>
      <color theme="1"/>
      <name val="Calibri"/>
      <family val="2"/>
      <scheme val="minor"/>
    </font>
    <font>
      <sz val="10"/>
      <color theme="1"/>
      <name val="Calibri"/>
      <family val="2"/>
      <scheme val="minor"/>
    </font>
    <font>
      <sz val="11"/>
      <name val="Calibri"/>
      <family val="2"/>
      <scheme val="minor"/>
    </font>
    <font>
      <i/>
      <sz val="11"/>
      <color theme="1"/>
      <name val="Calibri"/>
      <family val="2"/>
      <scheme val="minor"/>
    </font>
    <font>
      <sz val="9"/>
      <color theme="1"/>
      <name val="Calibri"/>
      <family val="2"/>
      <scheme val="minor"/>
    </font>
    <font>
      <sz val="9"/>
      <name val="Calibri"/>
      <family val="2"/>
      <scheme val="minor"/>
    </font>
    <font>
      <b/>
      <sz val="9"/>
      <color indexed="81"/>
      <name val="Tahoma"/>
      <family val="2"/>
    </font>
    <font>
      <sz val="9"/>
      <color indexed="81"/>
      <name val="Tahoma"/>
      <family val="2"/>
    </font>
    <font>
      <b/>
      <sz val="14"/>
      <color theme="1"/>
      <name val="Calibri"/>
      <family val="2"/>
      <scheme val="minor"/>
    </font>
    <font>
      <u/>
      <sz val="11"/>
      <color theme="10"/>
      <name val="Calibri"/>
      <family val="2"/>
      <scheme val="minor"/>
    </font>
    <font>
      <b/>
      <sz val="12"/>
      <name val="Calibri"/>
      <family val="2"/>
    </font>
    <font>
      <sz val="11"/>
      <name val="Calibri"/>
      <family val="2"/>
    </font>
    <font>
      <sz val="12"/>
      <color theme="1"/>
      <name val="Calibri"/>
      <family val="2"/>
      <scheme val="minor"/>
    </font>
    <font>
      <b/>
      <sz val="11"/>
      <name val="Calibri"/>
      <family val="2"/>
      <scheme val="minor"/>
    </font>
    <font>
      <sz val="11"/>
      <color rgb="FF000000"/>
      <name val="Calibri"/>
      <family val="2"/>
      <scheme val="minor"/>
    </font>
    <font>
      <b/>
      <sz val="12"/>
      <color theme="1"/>
      <name val="Calibri"/>
      <family val="2"/>
      <scheme val="minor"/>
    </font>
    <font>
      <sz val="12"/>
      <name val="Calibri"/>
      <family val="2"/>
      <scheme val="minor"/>
    </font>
    <font>
      <sz val="10"/>
      <color indexed="81"/>
      <name val="Tahoma"/>
      <family val="2"/>
    </font>
    <font>
      <sz val="11"/>
      <color theme="1"/>
      <name val="Times New Roman"/>
      <family val="1"/>
    </font>
    <font>
      <sz val="10"/>
      <color rgb="FF000000"/>
      <name val="Arial"/>
      <family val="2"/>
    </font>
    <font>
      <b/>
      <i/>
      <sz val="10"/>
      <name val="Arial"/>
      <family val="2"/>
    </font>
    <font>
      <b/>
      <sz val="10"/>
      <color indexed="81"/>
      <name val="Calibri"/>
      <family val="2"/>
    </font>
    <font>
      <sz val="10"/>
      <color indexed="81"/>
      <name val="Calibri"/>
      <family val="2"/>
    </font>
    <font>
      <sz val="14"/>
      <color theme="1"/>
      <name val="Calibri"/>
      <family val="2"/>
      <scheme val="minor"/>
    </font>
    <font>
      <b/>
      <sz val="12"/>
      <name val="Calibri"/>
      <family val="2"/>
      <scheme val="minor"/>
    </font>
    <font>
      <sz val="12"/>
      <name val="Calibri"/>
      <family val="2"/>
    </font>
    <font>
      <vertAlign val="superscript"/>
      <sz val="12"/>
      <name val="Calibri"/>
      <family val="2"/>
    </font>
    <font>
      <sz val="12"/>
      <color theme="0"/>
      <name val="Calibri"/>
      <family val="2"/>
    </font>
    <font>
      <vertAlign val="superscript"/>
      <sz val="11"/>
      <name val="Calibri"/>
      <family val="2"/>
      <scheme val="minor"/>
    </font>
    <font>
      <sz val="14"/>
      <name val="Calibri"/>
      <family val="2"/>
      <scheme val="minor"/>
    </font>
    <font>
      <sz val="11"/>
      <name val="Calibri"/>
      <family val="2"/>
      <scheme val="minor"/>
    </font>
    <font>
      <sz val="11"/>
      <color theme="1"/>
      <name val="Calibri"/>
      <family val="2"/>
      <scheme val="minor"/>
    </font>
    <font>
      <b/>
      <sz val="12"/>
      <name val="Calibri"/>
      <family val="2"/>
      <scheme val="minor"/>
    </font>
    <font>
      <b/>
      <sz val="11"/>
      <name val="Calibri"/>
      <family val="2"/>
    </font>
    <font>
      <sz val="11"/>
      <name val="Times New Roman"/>
      <family val="1"/>
    </font>
    <font>
      <sz val="9"/>
      <name val="Calibri"/>
      <family val="2"/>
      <scheme val="minor"/>
    </font>
    <font>
      <u/>
      <sz val="9"/>
      <name val="Calibri"/>
      <family val="2"/>
      <scheme val="minor"/>
    </font>
    <font>
      <sz val="11"/>
      <color theme="0"/>
      <name val="Calibri"/>
      <family val="2"/>
      <scheme val="minor"/>
    </font>
    <font>
      <sz val="14"/>
      <name val="Calibri"/>
      <family val="2"/>
      <scheme val="minor"/>
    </font>
    <font>
      <sz val="11"/>
      <name val="Calibri"/>
      <family val="2"/>
      <scheme val="minor"/>
    </font>
    <font>
      <sz val="11"/>
      <color theme="1"/>
      <name val="Calibri"/>
      <family val="2"/>
      <scheme val="minor"/>
    </font>
    <font>
      <b/>
      <sz val="12"/>
      <name val="Calibri"/>
      <family val="2"/>
      <scheme val="minor"/>
    </font>
    <font>
      <b/>
      <sz val="11"/>
      <name val="Calibri"/>
      <family val="2"/>
    </font>
    <font>
      <sz val="11"/>
      <name val="Calibri"/>
      <family val="2"/>
    </font>
    <font>
      <sz val="9"/>
      <color theme="1"/>
      <name val="Times New Roman"/>
      <family val="1"/>
    </font>
    <font>
      <vertAlign val="superscript"/>
      <sz val="11"/>
      <name val="Calibri"/>
      <family val="2"/>
    </font>
    <font>
      <sz val="10"/>
      <name val="Calibri"/>
      <family val="2"/>
      <scheme val="minor"/>
    </font>
    <font>
      <sz val="11"/>
      <color rgb="FF333333"/>
      <name val="Calibri"/>
      <family val="2"/>
      <scheme val="minor"/>
    </font>
    <font>
      <b/>
      <vertAlign val="superscript"/>
      <sz val="12"/>
      <name val="Calibri"/>
      <family val="2"/>
      <scheme val="minor"/>
    </font>
    <font>
      <b/>
      <sz val="14"/>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sz val="9"/>
      <name val="Calibri"/>
      <family val="2"/>
      <scheme val="minor"/>
    </font>
    <font>
      <sz val="11"/>
      <name val="Times New Roman"/>
      <family val="1"/>
    </font>
    <font>
      <sz val="10"/>
      <name val="Arial"/>
      <family val="2"/>
    </font>
    <font>
      <b/>
      <sz val="14"/>
      <color theme="1"/>
      <name val="Calibri"/>
      <family val="2"/>
      <scheme val="minor"/>
    </font>
    <font>
      <sz val="11"/>
      <color theme="1"/>
      <name val="Calibri"/>
      <family val="2"/>
      <scheme val="minor"/>
    </font>
    <font>
      <b/>
      <sz val="12"/>
      <name val="Calibri"/>
      <family val="2"/>
      <scheme val="minor"/>
    </font>
    <font>
      <sz val="12"/>
      <name val="Calibri"/>
      <family val="2"/>
    </font>
    <font>
      <sz val="11"/>
      <name val="Calibri"/>
      <family val="2"/>
      <scheme val="minor"/>
    </font>
    <font>
      <b/>
      <sz val="12"/>
      <name val="Calibri"/>
      <family val="2"/>
    </font>
    <font>
      <b/>
      <sz val="11"/>
      <name val="Calibri"/>
      <family val="2"/>
    </font>
    <font>
      <b/>
      <sz val="11"/>
      <color theme="1"/>
      <name val="Calibri"/>
      <family val="2"/>
      <scheme val="minor"/>
    </font>
    <font>
      <sz val="12"/>
      <name val="Calibri"/>
      <family val="2"/>
      <scheme val="minor"/>
    </font>
    <font>
      <sz val="9"/>
      <color theme="1"/>
      <name val="Calibri"/>
      <family val="2"/>
      <scheme val="minor"/>
    </font>
    <font>
      <sz val="9"/>
      <name val="Calibri"/>
      <family val="2"/>
      <scheme val="minor"/>
    </font>
    <font>
      <b/>
      <sz val="14"/>
      <color theme="1"/>
      <name val="Calibri"/>
      <family val="2"/>
      <scheme val="minor"/>
    </font>
    <font>
      <sz val="11"/>
      <color theme="1"/>
      <name val="Calibri"/>
      <family val="2"/>
      <scheme val="minor"/>
    </font>
    <font>
      <b/>
      <sz val="12"/>
      <name val="Calibri"/>
      <family val="2"/>
      <scheme val="minor"/>
    </font>
    <font>
      <b/>
      <sz val="12"/>
      <name val="Calibri"/>
      <family val="2"/>
    </font>
    <font>
      <b/>
      <sz val="11"/>
      <name val="Calibri"/>
      <family val="2"/>
    </font>
    <font>
      <b/>
      <sz val="11"/>
      <color theme="1"/>
      <name val="Calibri"/>
      <family val="2"/>
      <scheme val="minor"/>
    </font>
    <font>
      <sz val="1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bgColor theme="0"/>
      </patternFill>
    </fill>
  </fills>
  <borders count="20">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auto="1"/>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s>
  <cellStyleXfs count="20">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0" fontId="16" fillId="0" borderId="0" applyNumberFormat="0" applyFill="0" applyBorder="0" applyAlignment="0" applyProtection="0"/>
    <xf numFmtId="0" fontId="18" fillId="0" borderId="0"/>
    <xf numFmtId="0" fontId="1" fillId="0" borderId="0"/>
    <xf numFmtId="168" fontId="19" fillId="0" borderId="0" applyFont="0" applyFill="0" applyBorder="0" applyAlignment="0" applyProtection="0"/>
    <xf numFmtId="0" fontId="19" fillId="0" borderId="0"/>
    <xf numFmtId="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5" fillId="0" borderId="0"/>
    <xf numFmtId="169" fontId="1" fillId="0" borderId="0" applyFont="0" applyFill="0" applyBorder="0" applyAlignment="0" applyProtection="0"/>
    <xf numFmtId="169" fontId="1" fillId="0" borderId="0" applyFont="0" applyFill="0" applyBorder="0" applyAlignment="0" applyProtection="0"/>
    <xf numFmtId="0" fontId="26" fillId="0" borderId="0"/>
    <xf numFmtId="43" fontId="27" fillId="0" borderId="0" applyFont="0" applyFill="0" applyBorder="0" applyAlignment="0" applyProtection="0"/>
    <xf numFmtId="9" fontId="5" fillId="0" borderId="0" applyFont="0" applyFill="0" applyBorder="0" applyAlignment="0" applyProtection="0"/>
    <xf numFmtId="41" fontId="1" fillId="0" borderId="0" applyFont="0" applyFill="0" applyBorder="0" applyAlignment="0" applyProtection="0"/>
  </cellStyleXfs>
  <cellXfs count="823">
    <xf numFmtId="0" fontId="0" fillId="0" borderId="0" xfId="0"/>
    <xf numFmtId="0" fontId="0" fillId="2" borderId="0" xfId="0" applyFill="1"/>
    <xf numFmtId="166" fontId="0" fillId="2" borderId="0" xfId="1" applyNumberFormat="1" applyFont="1" applyFill="1" applyBorder="1" applyAlignment="1"/>
    <xf numFmtId="166" fontId="0" fillId="2" borderId="0" xfId="1" applyNumberFormat="1" applyFont="1" applyFill="1" applyBorder="1" applyAlignment="1">
      <alignment horizontal="right"/>
    </xf>
    <xf numFmtId="166" fontId="0" fillId="2" borderId="1" xfId="1" applyNumberFormat="1" applyFont="1" applyFill="1" applyBorder="1" applyAlignment="1">
      <alignment horizontal="right"/>
    </xf>
    <xf numFmtId="0" fontId="0" fillId="2" borderId="0" xfId="0" applyFill="1" applyBorder="1" applyAlignment="1"/>
    <xf numFmtId="9" fontId="12" fillId="2" borderId="0" xfId="2" applyFont="1" applyFill="1" applyAlignment="1">
      <alignment horizontal="left"/>
    </xf>
    <xf numFmtId="166" fontId="0" fillId="2" borderId="9" xfId="1" applyNumberFormat="1" applyFont="1" applyFill="1" applyBorder="1" applyAlignment="1"/>
    <xf numFmtId="43" fontId="0" fillId="2" borderId="0" xfId="0" applyNumberFormat="1" applyFill="1" applyBorder="1"/>
    <xf numFmtId="0" fontId="0" fillId="2" borderId="0" xfId="0" applyFill="1" applyBorder="1"/>
    <xf numFmtId="0" fontId="11" fillId="2" borderId="0" xfId="0" applyFont="1" applyFill="1" applyBorder="1" applyAlignment="1"/>
    <xf numFmtId="165" fontId="0" fillId="2" borderId="0" xfId="2" applyNumberFormat="1" applyFont="1" applyFill="1" applyBorder="1" applyAlignment="1">
      <alignment horizontal="right"/>
    </xf>
    <xf numFmtId="0" fontId="9" fillId="2" borderId="0" xfId="0" applyFont="1" applyFill="1" applyBorder="1"/>
    <xf numFmtId="0" fontId="1" fillId="2" borderId="0" xfId="7" applyFont="1" applyFill="1"/>
    <xf numFmtId="0" fontId="0" fillId="2" borderId="0" xfId="0" applyFont="1" applyFill="1"/>
    <xf numFmtId="43" fontId="0" fillId="2" borderId="0" xfId="0" applyNumberFormat="1" applyFill="1"/>
    <xf numFmtId="0" fontId="11" fillId="2" borderId="0" xfId="0" applyFont="1" applyFill="1" applyBorder="1" applyAlignment="1">
      <alignment vertical="center"/>
    </xf>
    <xf numFmtId="0" fontId="0" fillId="2" borderId="0" xfId="0" applyFont="1" applyFill="1" applyBorder="1"/>
    <xf numFmtId="43" fontId="0" fillId="2" borderId="0" xfId="0" applyNumberFormat="1" applyFont="1" applyFill="1" applyBorder="1"/>
    <xf numFmtId="3" fontId="0" fillId="2" borderId="0" xfId="0" applyNumberFormat="1" applyFont="1" applyFill="1" applyBorder="1" applyAlignment="1"/>
    <xf numFmtId="3" fontId="0" fillId="2" borderId="9" xfId="0" applyNumberFormat="1" applyFont="1" applyFill="1" applyBorder="1" applyAlignment="1"/>
    <xf numFmtId="3" fontId="0" fillId="2" borderId="0" xfId="0" applyNumberFormat="1" applyFont="1" applyFill="1" applyBorder="1"/>
    <xf numFmtId="0" fontId="0" fillId="2" borderId="0" xfId="0" applyFont="1" applyFill="1" applyBorder="1" applyAlignment="1"/>
    <xf numFmtId="4" fontId="11" fillId="2" borderId="0" xfId="0" applyNumberFormat="1" applyFont="1" applyFill="1" applyBorder="1" applyAlignment="1"/>
    <xf numFmtId="0" fontId="25" fillId="2" borderId="0" xfId="0" applyFont="1" applyFill="1" applyBorder="1"/>
    <xf numFmtId="43" fontId="25" fillId="2" borderId="0" xfId="0" applyNumberFormat="1" applyFont="1" applyFill="1" applyBorder="1"/>
    <xf numFmtId="0" fontId="25" fillId="2" borderId="0" xfId="0" applyFont="1" applyFill="1"/>
    <xf numFmtId="0" fontId="3" fillId="2" borderId="0" xfId="0" applyFont="1" applyFill="1" applyBorder="1" applyAlignment="1">
      <alignment horizontal="left" vertical="center" wrapText="1"/>
    </xf>
    <xf numFmtId="0" fontId="12" fillId="2" borderId="0" xfId="3" applyFont="1" applyFill="1" applyAlignment="1">
      <alignment horizontal="left"/>
    </xf>
    <xf numFmtId="0" fontId="4" fillId="2" borderId="18" xfId="0" applyFont="1" applyFill="1" applyBorder="1" applyAlignment="1">
      <alignment horizontal="left" vertical="center" wrapText="1"/>
    </xf>
    <xf numFmtId="0" fontId="6" fillId="2" borderId="5"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0" xfId="3" applyFont="1" applyFill="1" applyBorder="1" applyAlignment="1">
      <alignment horizontal="center"/>
    </xf>
    <xf numFmtId="0" fontId="6" fillId="2" borderId="1" xfId="3" applyFont="1" applyFill="1" applyBorder="1" applyAlignment="1">
      <alignment horizontal="center"/>
    </xf>
    <xf numFmtId="166" fontId="1" fillId="2" borderId="0" xfId="1" applyNumberFormat="1" applyFont="1" applyFill="1" applyBorder="1" applyAlignment="1">
      <alignment horizontal="right"/>
    </xf>
    <xf numFmtId="166" fontId="1" fillId="2" borderId="1" xfId="1" applyNumberFormat="1" applyFont="1" applyFill="1" applyBorder="1" applyAlignment="1">
      <alignment horizontal="right"/>
    </xf>
    <xf numFmtId="164" fontId="0" fillId="2" borderId="0" xfId="1" applyFont="1" applyFill="1"/>
    <xf numFmtId="0" fontId="0" fillId="2" borderId="5" xfId="0" applyFont="1" applyFill="1" applyBorder="1" applyAlignment="1"/>
    <xf numFmtId="0" fontId="0" fillId="2" borderId="5" xfId="0" applyFill="1" applyBorder="1" applyAlignment="1"/>
    <xf numFmtId="0" fontId="8" fillId="2" borderId="5" xfId="0" applyFont="1" applyFill="1" applyBorder="1" applyAlignment="1"/>
    <xf numFmtId="166" fontId="9" fillId="2" borderId="0" xfId="1" applyNumberFormat="1" applyFont="1" applyFill="1" applyBorder="1" applyAlignment="1"/>
    <xf numFmtId="166" fontId="10" fillId="2" borderId="0" xfId="1" applyNumberFormat="1" applyFont="1" applyFill="1" applyBorder="1" applyAlignment="1">
      <alignment horizontal="right"/>
    </xf>
    <xf numFmtId="166" fontId="10" fillId="2" borderId="1" xfId="1" applyNumberFormat="1" applyFont="1" applyFill="1" applyBorder="1" applyAlignment="1">
      <alignment horizontal="right"/>
    </xf>
    <xf numFmtId="166" fontId="0" fillId="2" borderId="0" xfId="1" applyNumberFormat="1" applyFont="1" applyFill="1" applyBorder="1" applyAlignment="1">
      <alignment horizontal="right" wrapText="1"/>
    </xf>
    <xf numFmtId="0" fontId="2" fillId="2" borderId="0" xfId="0" applyFont="1" applyFill="1" applyBorder="1"/>
    <xf numFmtId="3" fontId="0" fillId="2" borderId="0" xfId="0" applyNumberFormat="1" applyFont="1" applyFill="1" applyBorder="1" applyAlignment="1">
      <alignment horizontal="right"/>
    </xf>
    <xf numFmtId="3" fontId="0" fillId="2" borderId="0" xfId="1" applyNumberFormat="1" applyFont="1" applyFill="1" applyBorder="1" applyAlignment="1">
      <alignment horizontal="right"/>
    </xf>
    <xf numFmtId="166" fontId="1" fillId="2" borderId="0" xfId="1" applyNumberFormat="1" applyFont="1" applyFill="1" applyBorder="1" applyAlignment="1"/>
    <xf numFmtId="0" fontId="9" fillId="2" borderId="5" xfId="0" applyFont="1" applyFill="1" applyBorder="1" applyAlignment="1"/>
    <xf numFmtId="166" fontId="2" fillId="2" borderId="0" xfId="1" applyNumberFormat="1" applyFont="1" applyFill="1" applyBorder="1" applyAlignment="1"/>
    <xf numFmtId="166" fontId="2" fillId="2" borderId="0" xfId="1" applyNumberFormat="1" applyFont="1" applyFill="1" applyBorder="1" applyAlignment="1">
      <alignment horizontal="right"/>
    </xf>
    <xf numFmtId="166" fontId="2" fillId="2" borderId="1" xfId="1" applyNumberFormat="1" applyFont="1" applyFill="1" applyBorder="1" applyAlignment="1">
      <alignment horizontal="right"/>
    </xf>
    <xf numFmtId="0" fontId="3" fillId="2" borderId="7" xfId="0" applyFont="1" applyFill="1" applyBorder="1" applyAlignment="1"/>
    <xf numFmtId="0" fontId="3" fillId="2" borderId="8" xfId="0" applyFont="1" applyFill="1" applyBorder="1" applyAlignment="1"/>
    <xf numFmtId="0" fontId="3" fillId="2" borderId="5" xfId="0" applyFont="1" applyFill="1" applyBorder="1" applyAlignment="1"/>
    <xf numFmtId="0" fontId="15" fillId="2" borderId="0" xfId="0" applyFont="1" applyFill="1" applyBorder="1" applyAlignment="1">
      <alignment vertical="center" wrapText="1"/>
    </xf>
    <xf numFmtId="0" fontId="15" fillId="2" borderId="0" xfId="0" applyFont="1" applyFill="1" applyBorder="1" applyAlignment="1">
      <alignment horizontal="left" vertical="center" wrapText="1"/>
    </xf>
    <xf numFmtId="0" fontId="11" fillId="2" borderId="0" xfId="0" applyFont="1" applyFill="1"/>
    <xf numFmtId="4" fontId="11" fillId="2" borderId="0" xfId="0" applyNumberFormat="1" applyFont="1" applyFill="1" applyBorder="1" applyAlignment="1">
      <alignment vertical="center"/>
    </xf>
    <xf numFmtId="3" fontId="1" fillId="2" borderId="1" xfId="1" applyNumberFormat="1" applyFont="1" applyFill="1" applyBorder="1" applyAlignment="1">
      <alignment horizontal="right"/>
    </xf>
    <xf numFmtId="3" fontId="0" fillId="2" borderId="1" xfId="1" applyNumberFormat="1" applyFont="1" applyFill="1" applyBorder="1" applyAlignment="1">
      <alignment horizontal="right"/>
    </xf>
    <xf numFmtId="0" fontId="1" fillId="2" borderId="0" xfId="7" applyFont="1" applyFill="1" applyBorder="1"/>
    <xf numFmtId="0" fontId="3" fillId="2" borderId="0" xfId="7" applyFont="1" applyFill="1"/>
    <xf numFmtId="9" fontId="25" fillId="2" borderId="0" xfId="2" applyFont="1" applyFill="1" applyBorder="1"/>
    <xf numFmtId="3" fontId="25" fillId="2" borderId="0" xfId="0" applyNumberFormat="1" applyFont="1" applyFill="1" applyBorder="1"/>
    <xf numFmtId="165" fontId="25" fillId="2" borderId="0" xfId="2" applyNumberFormat="1" applyFont="1" applyFill="1" applyBorder="1"/>
    <xf numFmtId="0" fontId="30" fillId="2" borderId="0" xfId="0" applyFont="1" applyFill="1" applyBorder="1" applyAlignment="1">
      <alignment vertical="center" wrapText="1"/>
    </xf>
    <xf numFmtId="0" fontId="5" fillId="2" borderId="0" xfId="3" applyFont="1" applyFill="1"/>
    <xf numFmtId="0" fontId="5" fillId="2" borderId="0" xfId="3" applyFill="1"/>
    <xf numFmtId="0" fontId="0" fillId="2" borderId="5" xfId="0" applyFont="1" applyFill="1" applyBorder="1" applyAlignment="1">
      <alignment horizontal="left"/>
    </xf>
    <xf numFmtId="0" fontId="0" fillId="2" borderId="5" xfId="0" applyFill="1" applyBorder="1" applyAlignment="1">
      <alignment horizontal="left"/>
    </xf>
    <xf numFmtId="0" fontId="6" fillId="3" borderId="18" xfId="3" applyFont="1" applyFill="1" applyBorder="1" applyAlignment="1">
      <alignment horizontal="center" vertical="center" wrapText="1"/>
    </xf>
    <xf numFmtId="0" fontId="3" fillId="2" borderId="18" xfId="0" applyFont="1" applyFill="1" applyBorder="1" applyAlignment="1">
      <alignment horizontal="left" vertical="center" wrapText="1"/>
    </xf>
    <xf numFmtId="10" fontId="4" fillId="2" borderId="18" xfId="2" applyNumberFormat="1" applyFont="1" applyFill="1" applyBorder="1" applyAlignment="1">
      <alignment horizontal="left" vertical="center" wrapText="1"/>
    </xf>
    <xf numFmtId="3" fontId="4" fillId="2" borderId="18" xfId="0" applyNumberFormat="1" applyFont="1" applyFill="1" applyBorder="1" applyAlignment="1">
      <alignment horizontal="left" vertical="center" wrapText="1"/>
    </xf>
    <xf numFmtId="165" fontId="4" fillId="2" borderId="18" xfId="2" applyNumberFormat="1" applyFont="1" applyFill="1" applyBorder="1" applyAlignment="1">
      <alignment horizontal="left" vertical="center" wrapText="1"/>
    </xf>
    <xf numFmtId="0" fontId="17" fillId="3" borderId="17" xfId="3" applyFont="1" applyFill="1" applyBorder="1" applyAlignment="1">
      <alignment horizontal="left" vertical="center" wrapText="1"/>
    </xf>
    <xf numFmtId="9" fontId="0" fillId="2" borderId="0" xfId="0" applyNumberFormat="1" applyFill="1" applyBorder="1" applyAlignment="1"/>
    <xf numFmtId="3" fontId="0" fillId="2" borderId="0" xfId="0" applyNumberFormat="1" applyFill="1" applyBorder="1" applyAlignment="1"/>
    <xf numFmtId="3" fontId="0" fillId="2" borderId="0" xfId="1" applyNumberFormat="1" applyFont="1" applyFill="1" applyBorder="1" applyAlignment="1"/>
    <xf numFmtId="166" fontId="1" fillId="2" borderId="13" xfId="1" applyNumberFormat="1" applyFont="1" applyFill="1" applyBorder="1" applyAlignment="1">
      <alignment horizontal="right"/>
    </xf>
    <xf numFmtId="3" fontId="0" fillId="2" borderId="1" xfId="0" applyNumberFormat="1" applyFont="1" applyFill="1" applyBorder="1" applyAlignment="1">
      <alignment horizontal="right"/>
    </xf>
    <xf numFmtId="166" fontId="0" fillId="2" borderId="13" xfId="1" applyNumberFormat="1" applyFont="1" applyFill="1" applyBorder="1" applyAlignment="1">
      <alignment horizontal="right"/>
    </xf>
    <xf numFmtId="9" fontId="0" fillId="2" borderId="1" xfId="0" applyNumberFormat="1" applyFill="1" applyBorder="1" applyAlignment="1"/>
    <xf numFmtId="166" fontId="1" fillId="2" borderId="6" xfId="1" applyNumberFormat="1" applyFont="1" applyFill="1" applyBorder="1" applyAlignment="1">
      <alignment horizontal="right"/>
    </xf>
    <xf numFmtId="166" fontId="1" fillId="2" borderId="10" xfId="1" applyNumberFormat="1" applyFont="1" applyFill="1" applyBorder="1" applyAlignment="1">
      <alignment horizontal="right"/>
    </xf>
    <xf numFmtId="166" fontId="1" fillId="2" borderId="9" xfId="1" applyNumberFormat="1" applyFont="1" applyFill="1" applyBorder="1" applyAlignment="1">
      <alignment horizontal="right"/>
    </xf>
    <xf numFmtId="166" fontId="1" fillId="2" borderId="11" xfId="1" applyNumberFormat="1" applyFont="1" applyFill="1" applyBorder="1" applyAlignment="1">
      <alignment horizontal="right"/>
    </xf>
    <xf numFmtId="165" fontId="1" fillId="2" borderId="0" xfId="2" applyNumberFormat="1" applyFont="1" applyFill="1" applyBorder="1" applyAlignment="1">
      <alignment horizontal="right"/>
    </xf>
    <xf numFmtId="165" fontId="1" fillId="2" borderId="1" xfId="2" applyNumberFormat="1" applyFont="1" applyFill="1" applyBorder="1" applyAlignment="1">
      <alignment horizontal="right"/>
    </xf>
    <xf numFmtId="165" fontId="1" fillId="2" borderId="18" xfId="2" applyNumberFormat="1" applyFont="1" applyFill="1" applyBorder="1" applyAlignment="1">
      <alignment horizontal="right"/>
    </xf>
    <xf numFmtId="165" fontId="1" fillId="2" borderId="14" xfId="2" applyNumberFormat="1" applyFont="1" applyFill="1" applyBorder="1" applyAlignment="1">
      <alignment horizontal="right"/>
    </xf>
    <xf numFmtId="166" fontId="1" fillId="2" borderId="0" xfId="1" applyNumberFormat="1" applyFont="1" applyFill="1" applyBorder="1" applyAlignment="1">
      <alignment horizontal="left"/>
    </xf>
    <xf numFmtId="0" fontId="2" fillId="2" borderId="0" xfId="0" applyFont="1" applyFill="1"/>
    <xf numFmtId="10" fontId="1" fillId="2" borderId="0" xfId="2" applyNumberFormat="1" applyFont="1" applyFill="1" applyBorder="1" applyAlignment="1">
      <alignment horizontal="right"/>
    </xf>
    <xf numFmtId="3" fontId="1" fillId="2" borderId="0" xfId="1" applyNumberFormat="1" applyFont="1" applyFill="1" applyBorder="1" applyAlignment="1">
      <alignment horizontal="right"/>
    </xf>
    <xf numFmtId="0" fontId="0" fillId="2" borderId="18" xfId="0" applyFont="1" applyFill="1" applyBorder="1" applyAlignment="1"/>
    <xf numFmtId="0" fontId="0" fillId="2" borderId="8" xfId="0" applyFont="1" applyFill="1" applyBorder="1" applyAlignment="1">
      <alignment horizontal="left"/>
    </xf>
    <xf numFmtId="0" fontId="0" fillId="2" borderId="9" xfId="0" applyFill="1" applyBorder="1" applyAlignment="1"/>
    <xf numFmtId="164" fontId="0" fillId="2" borderId="9" xfId="1" applyNumberFormat="1" applyFont="1" applyFill="1" applyBorder="1" applyAlignment="1"/>
    <xf numFmtId="166" fontId="0" fillId="2" borderId="9" xfId="1" applyNumberFormat="1" applyFont="1" applyFill="1" applyBorder="1" applyAlignment="1">
      <alignment horizontal="right"/>
    </xf>
    <xf numFmtId="166" fontId="0" fillId="2" borderId="11" xfId="1" applyNumberFormat="1" applyFont="1" applyFill="1" applyBorder="1" applyAlignment="1">
      <alignment horizontal="right"/>
    </xf>
    <xf numFmtId="166" fontId="1" fillId="2" borderId="9" xfId="1" applyNumberFormat="1" applyFont="1" applyFill="1" applyBorder="1" applyAlignment="1">
      <alignment horizontal="left"/>
    </xf>
    <xf numFmtId="166" fontId="1" fillId="2" borderId="11" xfId="1" applyNumberFormat="1" applyFont="1" applyFill="1" applyBorder="1" applyAlignment="1">
      <alignment horizontal="left"/>
    </xf>
    <xf numFmtId="0" fontId="12" fillId="2" borderId="0" xfId="3" applyFont="1" applyFill="1" applyAlignment="1">
      <alignment wrapText="1"/>
    </xf>
    <xf numFmtId="0" fontId="6" fillId="3" borderId="18" xfId="3" applyFont="1" applyFill="1" applyBorder="1" applyAlignment="1">
      <alignment horizontal="center" vertical="center"/>
    </xf>
    <xf numFmtId="0" fontId="6" fillId="3" borderId="14" xfId="3" applyFont="1" applyFill="1" applyBorder="1" applyAlignment="1">
      <alignment horizontal="center" vertical="center"/>
    </xf>
    <xf numFmtId="0" fontId="6" fillId="3" borderId="15" xfId="3" applyFont="1" applyFill="1" applyBorder="1" applyAlignment="1">
      <alignment horizontal="center" vertical="center"/>
    </xf>
    <xf numFmtId="0" fontId="6" fillId="3" borderId="12" xfId="3" applyFont="1" applyFill="1" applyBorder="1" applyAlignment="1">
      <alignment horizontal="center" vertical="center"/>
    </xf>
    <xf numFmtId="0" fontId="3" fillId="5" borderId="5" xfId="0" applyFont="1" applyFill="1" applyBorder="1" applyAlignment="1">
      <alignment horizontal="left"/>
    </xf>
    <xf numFmtId="166" fontId="3" fillId="5" borderId="0" xfId="1" applyNumberFormat="1" applyFont="1" applyFill="1" applyBorder="1" applyAlignment="1"/>
    <xf numFmtId="166" fontId="3" fillId="5" borderId="0" xfId="1" applyNumberFormat="1" applyFont="1" applyFill="1" applyBorder="1" applyAlignment="1">
      <alignment horizontal="right"/>
    </xf>
    <xf numFmtId="166" fontId="3" fillId="5" borderId="1" xfId="1" applyNumberFormat="1" applyFont="1" applyFill="1" applyBorder="1" applyAlignment="1">
      <alignment horizontal="right"/>
    </xf>
    <xf numFmtId="9" fontId="1" fillId="2" borderId="0" xfId="2" applyFont="1" applyFill="1" applyBorder="1"/>
    <xf numFmtId="0" fontId="32" fillId="2" borderId="0" xfId="3" applyFont="1" applyFill="1" applyBorder="1" applyAlignment="1">
      <alignment horizontal="center" vertical="center" wrapText="1"/>
    </xf>
    <xf numFmtId="0" fontId="32" fillId="2" borderId="0" xfId="3" applyFont="1" applyFill="1" applyBorder="1" applyAlignment="1">
      <alignment horizontal="center" vertical="center"/>
    </xf>
    <xf numFmtId="171" fontId="0" fillId="2" borderId="0" xfId="12" applyNumberFormat="1" applyFont="1" applyFill="1" applyBorder="1" applyAlignment="1"/>
    <xf numFmtId="171" fontId="0" fillId="2" borderId="0" xfId="12" applyNumberFormat="1" applyFont="1" applyFill="1" applyBorder="1" applyAlignment="1">
      <alignment horizontal="right"/>
    </xf>
    <xf numFmtId="171" fontId="0" fillId="2" borderId="0" xfId="0" applyNumberFormat="1" applyFont="1" applyFill="1" applyBorder="1" applyAlignment="1">
      <alignment horizontal="right"/>
    </xf>
    <xf numFmtId="171" fontId="9" fillId="2" borderId="0" xfId="12" applyNumberFormat="1" applyFont="1" applyFill="1" applyBorder="1" applyAlignment="1">
      <alignment horizontal="right"/>
    </xf>
    <xf numFmtId="171" fontId="0" fillId="2" borderId="0" xfId="12" applyNumberFormat="1" applyFont="1" applyFill="1" applyBorder="1"/>
    <xf numFmtId="4" fontId="0" fillId="2" borderId="0" xfId="0" applyNumberFormat="1" applyFont="1" applyFill="1" applyBorder="1" applyAlignment="1">
      <alignment horizontal="right"/>
    </xf>
    <xf numFmtId="4" fontId="0" fillId="2" borderId="0" xfId="12" applyNumberFormat="1" applyFont="1" applyFill="1" applyBorder="1" applyAlignment="1">
      <alignment horizontal="right"/>
    </xf>
    <xf numFmtId="0" fontId="0" fillId="2" borderId="18" xfId="0" applyFill="1" applyBorder="1"/>
    <xf numFmtId="0" fontId="0" fillId="2" borderId="9" xfId="0" applyFont="1" applyFill="1" applyBorder="1" applyAlignment="1"/>
    <xf numFmtId="3" fontId="0" fillId="2" borderId="9" xfId="12" applyNumberFormat="1" applyFont="1" applyFill="1" applyBorder="1" applyAlignment="1">
      <alignment horizontal="right"/>
    </xf>
    <xf numFmtId="171" fontId="0" fillId="2" borderId="9" xfId="12" applyNumberFormat="1" applyFont="1" applyFill="1" applyBorder="1" applyAlignment="1">
      <alignment horizontal="right"/>
    </xf>
    <xf numFmtId="3" fontId="0" fillId="2" borderId="3" xfId="12" applyNumberFormat="1" applyFont="1" applyFill="1" applyBorder="1" applyAlignment="1">
      <alignment horizontal="right"/>
    </xf>
    <xf numFmtId="165" fontId="0" fillId="2" borderId="18" xfId="2" applyNumberFormat="1" applyFont="1" applyFill="1" applyBorder="1" applyAlignment="1">
      <alignment horizontal="right"/>
    </xf>
    <xf numFmtId="0" fontId="0" fillId="2" borderId="18" xfId="0" applyFont="1" applyFill="1" applyBorder="1" applyAlignment="1">
      <alignment vertical="center"/>
    </xf>
    <xf numFmtId="0" fontId="0" fillId="2" borderId="18" xfId="0" applyFont="1" applyFill="1" applyBorder="1"/>
    <xf numFmtId="171" fontId="0" fillId="2" borderId="13" xfId="12" applyNumberFormat="1" applyFont="1" applyFill="1" applyBorder="1" applyAlignment="1"/>
    <xf numFmtId="171" fontId="0" fillId="2" borderId="1" xfId="12" applyNumberFormat="1" applyFont="1" applyFill="1" applyBorder="1" applyAlignment="1"/>
    <xf numFmtId="171" fontId="0" fillId="2" borderId="1" xfId="0" applyNumberFormat="1" applyFont="1" applyFill="1" applyBorder="1" applyAlignment="1">
      <alignment horizontal="right"/>
    </xf>
    <xf numFmtId="171" fontId="9" fillId="2" borderId="1" xfId="12" applyNumberFormat="1" applyFont="1" applyFill="1" applyBorder="1" applyAlignment="1">
      <alignment horizontal="right"/>
    </xf>
    <xf numFmtId="171" fontId="0" fillId="2" borderId="1" xfId="12" applyNumberFormat="1" applyFont="1" applyFill="1" applyBorder="1" applyAlignment="1">
      <alignment horizontal="right"/>
    </xf>
    <xf numFmtId="171" fontId="0" fillId="2" borderId="11" xfId="12" applyNumberFormat="1" applyFont="1" applyFill="1" applyBorder="1" applyAlignment="1">
      <alignment horizontal="right"/>
    </xf>
    <xf numFmtId="3" fontId="0" fillId="2" borderId="4" xfId="12" applyNumberFormat="1" applyFont="1" applyFill="1" applyBorder="1" applyAlignment="1">
      <alignment horizontal="right"/>
    </xf>
    <xf numFmtId="165" fontId="0" fillId="2" borderId="1" xfId="2" applyNumberFormat="1" applyFont="1" applyFill="1" applyBorder="1" applyAlignment="1">
      <alignment horizontal="right"/>
    </xf>
    <xf numFmtId="4" fontId="0" fillId="2" borderId="1" xfId="0" applyNumberFormat="1" applyFont="1" applyFill="1" applyBorder="1" applyAlignment="1">
      <alignment horizontal="right"/>
    </xf>
    <xf numFmtId="165" fontId="0" fillId="2" borderId="14" xfId="2" applyNumberFormat="1" applyFont="1" applyFill="1" applyBorder="1" applyAlignment="1">
      <alignment horizontal="right"/>
    </xf>
    <xf numFmtId="3" fontId="0" fillId="2" borderId="11" xfId="12" applyNumberFormat="1" applyFont="1" applyFill="1" applyBorder="1" applyAlignment="1">
      <alignment horizontal="right"/>
    </xf>
    <xf numFmtId="4" fontId="0" fillId="2" borderId="1" xfId="12" applyNumberFormat="1" applyFont="1" applyFill="1" applyBorder="1" applyAlignment="1">
      <alignment horizontal="right"/>
    </xf>
    <xf numFmtId="0" fontId="3" fillId="2" borderId="2" xfId="0" applyFont="1" applyFill="1" applyBorder="1" applyAlignment="1"/>
    <xf numFmtId="0" fontId="0" fillId="2" borderId="0" xfId="0" applyFont="1" applyFill="1" applyBorder="1" applyAlignment="1">
      <alignment vertical="center" wrapText="1"/>
    </xf>
    <xf numFmtId="0" fontId="11" fillId="2" borderId="0" xfId="0" applyFont="1" applyFill="1" applyAlignment="1">
      <alignment horizontal="left"/>
    </xf>
    <xf numFmtId="0" fontId="6" fillId="5" borderId="0" xfId="3" applyFont="1" applyFill="1" applyBorder="1" applyAlignment="1">
      <alignment horizontal="center" vertical="center" wrapText="1"/>
    </xf>
    <xf numFmtId="0" fontId="6" fillId="5" borderId="0" xfId="3" applyFont="1" applyFill="1" applyBorder="1" applyAlignment="1">
      <alignment horizontal="center" vertical="center"/>
    </xf>
    <xf numFmtId="0" fontId="6" fillId="5" borderId="1" xfId="3" applyFont="1" applyFill="1" applyBorder="1" applyAlignment="1">
      <alignment horizontal="center" vertical="center"/>
    </xf>
    <xf numFmtId="166" fontId="0" fillId="2" borderId="0" xfId="0" applyNumberFormat="1" applyFont="1" applyFill="1"/>
    <xf numFmtId="166" fontId="1" fillId="2" borderId="10" xfId="1" applyNumberFormat="1" applyFont="1" applyFill="1" applyBorder="1" applyAlignment="1">
      <alignment horizontal="left"/>
    </xf>
    <xf numFmtId="3" fontId="0" fillId="2" borderId="0" xfId="0" applyNumberFormat="1" applyFont="1" applyFill="1"/>
    <xf numFmtId="171" fontId="0" fillId="5" borderId="0" xfId="12" applyNumberFormat="1" applyFont="1" applyFill="1" applyBorder="1" applyAlignment="1"/>
    <xf numFmtId="171" fontId="0" fillId="5" borderId="1" xfId="12" applyNumberFormat="1" applyFont="1" applyFill="1" applyBorder="1" applyAlignment="1"/>
    <xf numFmtId="171" fontId="0" fillId="5" borderId="0" xfId="12" applyNumberFormat="1" applyFont="1" applyFill="1" applyBorder="1" applyAlignment="1">
      <alignment horizontal="right"/>
    </xf>
    <xf numFmtId="171" fontId="0" fillId="5" borderId="0" xfId="0" applyNumberFormat="1" applyFont="1" applyFill="1" applyBorder="1" applyAlignment="1">
      <alignment horizontal="right"/>
    </xf>
    <xf numFmtId="171" fontId="0" fillId="5" borderId="1" xfId="0" applyNumberFormat="1" applyFont="1" applyFill="1" applyBorder="1" applyAlignment="1">
      <alignment horizontal="right"/>
    </xf>
    <xf numFmtId="171" fontId="0" fillId="2" borderId="13" xfId="12" applyNumberFormat="1" applyFont="1" applyFill="1" applyBorder="1"/>
    <xf numFmtId="171" fontId="0" fillId="2" borderId="1" xfId="12" applyNumberFormat="1" applyFont="1" applyFill="1" applyBorder="1"/>
    <xf numFmtId="3" fontId="9" fillId="2" borderId="0" xfId="0" applyNumberFormat="1" applyFont="1" applyFill="1" applyBorder="1" applyAlignment="1" applyProtection="1">
      <alignment horizontal="right" vertical="top"/>
    </xf>
    <xf numFmtId="0" fontId="0" fillId="2" borderId="0" xfId="0" applyFont="1" applyFill="1" applyBorder="1" applyAlignment="1">
      <alignment horizontal="left" vertical="center" wrapText="1"/>
    </xf>
    <xf numFmtId="3" fontId="9" fillId="2" borderId="1" xfId="1" applyNumberFormat="1" applyFont="1" applyFill="1" applyBorder="1" applyAlignment="1">
      <alignment horizontal="right"/>
    </xf>
    <xf numFmtId="3" fontId="9" fillId="2" borderId="0" xfId="1" applyNumberFormat="1" applyFont="1" applyFill="1" applyBorder="1" applyAlignment="1">
      <alignment horizontal="right"/>
    </xf>
    <xf numFmtId="0" fontId="11" fillId="2" borderId="0" xfId="0" applyFont="1" applyFill="1" applyBorder="1"/>
    <xf numFmtId="10" fontId="0" fillId="2" borderId="0" xfId="0" applyNumberFormat="1" applyFont="1" applyFill="1" applyBorder="1" applyAlignment="1">
      <alignment horizontal="right"/>
    </xf>
    <xf numFmtId="3" fontId="1" fillId="2" borderId="9" xfId="1" applyNumberFormat="1" applyFont="1" applyFill="1" applyBorder="1" applyAlignment="1">
      <alignment horizontal="right"/>
    </xf>
    <xf numFmtId="0" fontId="34" fillId="5" borderId="0" xfId="3" applyFont="1" applyFill="1" applyBorder="1" applyAlignment="1">
      <alignment horizontal="center" vertical="center"/>
    </xf>
    <xf numFmtId="0" fontId="34" fillId="5" borderId="0" xfId="3" applyFont="1" applyFill="1" applyBorder="1" applyAlignment="1">
      <alignment horizontal="center" vertical="center" wrapText="1"/>
    </xf>
    <xf numFmtId="0" fontId="6" fillId="5" borderId="0" xfId="3" applyFont="1" applyFill="1" applyBorder="1" applyAlignment="1">
      <alignment horizontal="left" vertical="center" wrapText="1"/>
    </xf>
    <xf numFmtId="3" fontId="0" fillId="2" borderId="9" xfId="0" applyNumberFormat="1" applyFont="1" applyFill="1" applyBorder="1" applyAlignment="1">
      <alignment horizontal="right"/>
    </xf>
    <xf numFmtId="10" fontId="1" fillId="2" borderId="18" xfId="2" applyNumberFormat="1" applyFont="1" applyFill="1" applyBorder="1" applyAlignment="1">
      <alignment horizontal="right"/>
    </xf>
    <xf numFmtId="3" fontId="1" fillId="5" borderId="0" xfId="1" applyNumberFormat="1" applyFont="1" applyFill="1" applyBorder="1" applyAlignment="1">
      <alignment horizontal="right"/>
    </xf>
    <xf numFmtId="3" fontId="0" fillId="5" borderId="0" xfId="0" applyNumberFormat="1" applyFont="1" applyFill="1" applyBorder="1" applyAlignment="1">
      <alignment horizontal="right"/>
    </xf>
    <xf numFmtId="3" fontId="3" fillId="5" borderId="0" xfId="1" applyNumberFormat="1" applyFont="1" applyFill="1" applyBorder="1" applyAlignment="1">
      <alignment horizontal="right"/>
    </xf>
    <xf numFmtId="3" fontId="20" fillId="5" borderId="0" xfId="1" applyNumberFormat="1" applyFont="1" applyFill="1" applyBorder="1" applyAlignment="1">
      <alignment horizontal="right"/>
    </xf>
    <xf numFmtId="0" fontId="32" fillId="2" borderId="13" xfId="3" applyFont="1" applyFill="1" applyBorder="1" applyAlignment="1">
      <alignment horizontal="center" vertical="center"/>
    </xf>
    <xf numFmtId="0" fontId="34" fillId="5" borderId="1" xfId="3" applyFont="1" applyFill="1" applyBorder="1" applyAlignment="1">
      <alignment horizontal="center" vertical="center"/>
    </xf>
    <xf numFmtId="3" fontId="0" fillId="5" borderId="1" xfId="0" applyNumberFormat="1" applyFont="1" applyFill="1" applyBorder="1" applyAlignment="1">
      <alignment horizontal="right"/>
    </xf>
    <xf numFmtId="3" fontId="20" fillId="5" borderId="1" xfId="1" applyNumberFormat="1" applyFont="1" applyFill="1" applyBorder="1" applyAlignment="1">
      <alignment horizontal="right"/>
    </xf>
    <xf numFmtId="3" fontId="0" fillId="2" borderId="11" xfId="0" applyNumberFormat="1" applyFont="1" applyFill="1" applyBorder="1" applyAlignment="1">
      <alignment horizontal="right"/>
    </xf>
    <xf numFmtId="3" fontId="1" fillId="2" borderId="11" xfId="1" applyNumberFormat="1" applyFont="1" applyFill="1" applyBorder="1" applyAlignment="1">
      <alignment horizontal="right"/>
    </xf>
    <xf numFmtId="3" fontId="9" fillId="2" borderId="13" xfId="0" applyNumberFormat="1" applyFont="1" applyFill="1" applyBorder="1" applyAlignment="1" applyProtection="1">
      <alignment horizontal="right" vertical="top"/>
    </xf>
    <xf numFmtId="3" fontId="9" fillId="2" borderId="1" xfId="0" applyNumberFormat="1" applyFont="1" applyFill="1" applyBorder="1" applyAlignment="1" applyProtection="1">
      <alignment horizontal="right" vertical="top"/>
    </xf>
    <xf numFmtId="3" fontId="1" fillId="2" borderId="6" xfId="1" applyNumberFormat="1" applyFont="1" applyFill="1" applyBorder="1" applyAlignment="1">
      <alignment horizontal="right"/>
    </xf>
    <xf numFmtId="3" fontId="1" fillId="2" borderId="10" xfId="1" applyNumberFormat="1" applyFont="1" applyFill="1" applyBorder="1" applyAlignment="1">
      <alignment horizontal="right"/>
    </xf>
    <xf numFmtId="0" fontId="30" fillId="2" borderId="0" xfId="0" applyFont="1" applyFill="1" applyBorder="1" applyAlignment="1">
      <alignment horizontal="center" vertical="center" wrapText="1"/>
    </xf>
    <xf numFmtId="4" fontId="0" fillId="2" borderId="0" xfId="0" applyNumberFormat="1" applyFont="1" applyFill="1"/>
    <xf numFmtId="177" fontId="0" fillId="2" borderId="0" xfId="0" applyNumberFormat="1" applyFont="1" applyFill="1"/>
    <xf numFmtId="0" fontId="6" fillId="3" borderId="15" xfId="3" quotePrefix="1" applyFont="1" applyFill="1" applyBorder="1" applyAlignment="1">
      <alignment horizontal="center" vertical="center" wrapText="1"/>
    </xf>
    <xf numFmtId="176" fontId="1" fillId="2" borderId="0" xfId="11" applyNumberFormat="1" applyFont="1" applyFill="1" applyBorder="1" applyAlignment="1">
      <alignment horizontal="right"/>
    </xf>
    <xf numFmtId="177" fontId="0" fillId="2" borderId="0" xfId="0" applyNumberFormat="1" applyFont="1" applyFill="1" applyBorder="1"/>
    <xf numFmtId="176" fontId="0" fillId="2" borderId="0" xfId="0" applyNumberFormat="1" applyFont="1" applyFill="1" applyBorder="1" applyAlignment="1">
      <alignment horizontal="right"/>
    </xf>
    <xf numFmtId="176" fontId="1" fillId="2" borderId="1" xfId="11" applyNumberFormat="1" applyFont="1" applyFill="1" applyBorder="1" applyAlignment="1">
      <alignment horizontal="right"/>
    </xf>
    <xf numFmtId="176" fontId="0" fillId="2" borderId="1" xfId="0" applyNumberFormat="1" applyFont="1" applyFill="1" applyBorder="1" applyAlignment="1">
      <alignment horizontal="right"/>
    </xf>
    <xf numFmtId="0" fontId="6" fillId="3" borderId="12" xfId="3" quotePrefix="1" applyFont="1" applyFill="1" applyBorder="1" applyAlignment="1">
      <alignment horizontal="center" vertical="center" wrapText="1"/>
    </xf>
    <xf numFmtId="0" fontId="1" fillId="2" borderId="0" xfId="0" applyFont="1" applyFill="1" applyBorder="1" applyAlignment="1"/>
    <xf numFmtId="0" fontId="1" fillId="2" borderId="9" xfId="0" applyFont="1" applyFill="1" applyBorder="1" applyAlignment="1"/>
    <xf numFmtId="0" fontId="1" fillId="6" borderId="0" xfId="0" applyFont="1" applyFill="1" applyBorder="1"/>
    <xf numFmtId="0" fontId="1" fillId="2" borderId="0" xfId="0" applyFont="1" applyFill="1" applyBorder="1" applyAlignment="1">
      <alignment horizontal="left" vertical="center" wrapText="1"/>
    </xf>
    <xf numFmtId="0" fontId="1" fillId="2" borderId="0" xfId="0" applyFont="1" applyFill="1" applyBorder="1"/>
    <xf numFmtId="1" fontId="0" fillId="2" borderId="0" xfId="0" applyNumberFormat="1" applyFont="1" applyFill="1" applyBorder="1" applyAlignment="1"/>
    <xf numFmtId="1" fontId="1" fillId="2" borderId="0" xfId="11" applyNumberFormat="1" applyFont="1" applyFill="1" applyBorder="1" applyAlignment="1">
      <alignment horizontal="right"/>
    </xf>
    <xf numFmtId="1" fontId="0" fillId="2" borderId="1" xfId="0" applyNumberFormat="1" applyFont="1" applyFill="1" applyBorder="1" applyAlignment="1">
      <alignment horizontal="right"/>
    </xf>
    <xf numFmtId="3" fontId="1" fillId="2" borderId="0" xfId="11" applyNumberFormat="1" applyFont="1" applyFill="1" applyBorder="1" applyAlignment="1">
      <alignment horizontal="right"/>
    </xf>
    <xf numFmtId="3" fontId="1" fillId="2" borderId="1" xfId="11" applyNumberFormat="1" applyFont="1" applyFill="1" applyBorder="1" applyAlignment="1">
      <alignment horizontal="right"/>
    </xf>
    <xf numFmtId="3" fontId="1" fillId="2" borderId="0" xfId="2" applyNumberFormat="1" applyFont="1" applyFill="1" applyBorder="1"/>
    <xf numFmtId="3" fontId="1" fillId="2" borderId="0" xfId="11" applyNumberFormat="1" applyFont="1" applyFill="1" applyBorder="1" applyAlignment="1"/>
    <xf numFmtId="3" fontId="1" fillId="2" borderId="9" xfId="11" applyNumberFormat="1" applyFont="1" applyFill="1" applyBorder="1" applyAlignment="1">
      <alignment horizontal="right"/>
    </xf>
    <xf numFmtId="3" fontId="30" fillId="2" borderId="0" xfId="0" applyNumberFormat="1" applyFont="1" applyFill="1" applyBorder="1" applyAlignment="1">
      <alignment horizontal="center" vertical="center" wrapText="1"/>
    </xf>
    <xf numFmtId="3" fontId="0" fillId="2" borderId="18" xfId="0" applyNumberFormat="1" applyFont="1" applyFill="1" applyBorder="1" applyAlignment="1">
      <alignment horizontal="left" vertical="center" wrapText="1"/>
    </xf>
    <xf numFmtId="3" fontId="1" fillId="2" borderId="3" xfId="11" applyNumberFormat="1" applyFont="1" applyFill="1" applyBorder="1" applyAlignment="1">
      <alignment horizontal="right"/>
    </xf>
    <xf numFmtId="3" fontId="1" fillId="2" borderId="4" xfId="11" applyNumberFormat="1" applyFont="1" applyFill="1" applyBorder="1" applyAlignment="1">
      <alignment horizontal="right"/>
    </xf>
    <xf numFmtId="3" fontId="30" fillId="2" borderId="0" xfId="0" applyNumberFormat="1" applyFont="1" applyFill="1" applyBorder="1" applyAlignment="1">
      <alignment vertical="center" wrapText="1"/>
    </xf>
    <xf numFmtId="164" fontId="1" fillId="2" borderId="0" xfId="1" applyFont="1" applyFill="1" applyBorder="1" applyAlignment="1">
      <alignment horizontal="right"/>
    </xf>
    <xf numFmtId="9" fontId="1" fillId="2" borderId="0" xfId="1" applyNumberFormat="1" applyFont="1" applyFill="1" applyBorder="1" applyAlignment="1">
      <alignment horizontal="right"/>
    </xf>
    <xf numFmtId="9" fontId="1" fillId="2" borderId="18" xfId="2" applyNumberFormat="1" applyFont="1" applyFill="1" applyBorder="1" applyAlignment="1">
      <alignment horizontal="right"/>
    </xf>
    <xf numFmtId="165" fontId="0" fillId="2" borderId="1" xfId="0" applyNumberFormat="1" applyFont="1" applyFill="1" applyBorder="1" applyAlignment="1">
      <alignment horizontal="right"/>
    </xf>
    <xf numFmtId="165" fontId="1" fillId="2" borderId="1" xfId="1" applyNumberFormat="1" applyFont="1" applyFill="1" applyBorder="1" applyAlignment="1">
      <alignment horizontal="right"/>
    </xf>
    <xf numFmtId="1" fontId="1" fillId="2" borderId="1" xfId="1" applyNumberFormat="1" applyFont="1" applyFill="1" applyBorder="1" applyAlignment="1">
      <alignment horizontal="right"/>
    </xf>
    <xf numFmtId="176" fontId="0" fillId="2" borderId="0" xfId="0" applyNumberFormat="1" applyFont="1" applyFill="1" applyBorder="1" applyAlignment="1"/>
    <xf numFmtId="176" fontId="0" fillId="2" borderId="9" xfId="0" applyNumberFormat="1" applyFont="1" applyFill="1" applyBorder="1" applyAlignment="1"/>
    <xf numFmtId="176" fontId="0" fillId="2" borderId="9" xfId="0" applyNumberFormat="1" applyFont="1" applyFill="1" applyBorder="1" applyAlignment="1">
      <alignment horizontal="right"/>
    </xf>
    <xf numFmtId="176" fontId="1" fillId="2" borderId="9" xfId="11" applyNumberFormat="1" applyFont="1" applyFill="1" applyBorder="1" applyAlignment="1">
      <alignment horizontal="right"/>
    </xf>
    <xf numFmtId="176" fontId="0" fillId="2" borderId="11" xfId="0" applyNumberFormat="1" applyFont="1" applyFill="1" applyBorder="1" applyAlignment="1">
      <alignment horizontal="right"/>
    </xf>
    <xf numFmtId="1" fontId="0" fillId="5" borderId="0" xfId="0" applyNumberFormat="1" applyFont="1" applyFill="1" applyBorder="1" applyAlignment="1"/>
    <xf numFmtId="1" fontId="1" fillId="5" borderId="0" xfId="11" applyNumberFormat="1" applyFont="1" applyFill="1" applyBorder="1" applyAlignment="1">
      <alignment horizontal="right"/>
    </xf>
    <xf numFmtId="1" fontId="0" fillId="5" borderId="1" xfId="0" applyNumberFormat="1" applyFont="1" applyFill="1" applyBorder="1" applyAlignment="1">
      <alignment horizontal="right"/>
    </xf>
    <xf numFmtId="3" fontId="0" fillId="5" borderId="0" xfId="0" applyNumberFormat="1" applyFont="1" applyFill="1" applyBorder="1" applyAlignment="1"/>
    <xf numFmtId="3" fontId="1" fillId="5" borderId="0" xfId="11" applyNumberFormat="1" applyFont="1" applyFill="1" applyBorder="1" applyAlignment="1">
      <alignment horizontal="right"/>
    </xf>
    <xf numFmtId="0" fontId="9" fillId="2" borderId="0" xfId="0" applyFont="1" applyFill="1" applyBorder="1" applyAlignment="1"/>
    <xf numFmtId="0" fontId="12" fillId="2" borderId="0" xfId="0" applyFont="1" applyFill="1" applyBorder="1" applyAlignment="1"/>
    <xf numFmtId="165" fontId="9" fillId="2" borderId="0" xfId="2" applyNumberFormat="1" applyFont="1" applyFill="1" applyBorder="1" applyAlignment="1">
      <alignment horizontal="right"/>
    </xf>
    <xf numFmtId="3" fontId="9" fillId="2" borderId="0" xfId="11" applyNumberFormat="1" applyFont="1" applyFill="1" applyBorder="1" applyAlignment="1">
      <alignment horizontal="right"/>
    </xf>
    <xf numFmtId="3" fontId="9" fillId="2" borderId="0" xfId="0" applyNumberFormat="1" applyFont="1" applyFill="1" applyBorder="1" applyAlignment="1">
      <alignment horizontal="right"/>
    </xf>
    <xf numFmtId="170" fontId="9" fillId="2" borderId="0" xfId="0" applyNumberFormat="1" applyFont="1" applyFill="1" applyBorder="1" applyAlignment="1">
      <alignment horizontal="right"/>
    </xf>
    <xf numFmtId="3" fontId="9" fillId="2" borderId="1" xfId="11" applyNumberFormat="1" applyFont="1" applyFill="1" applyBorder="1" applyAlignment="1">
      <alignment horizontal="right"/>
    </xf>
    <xf numFmtId="3" fontId="9" fillId="2" borderId="1" xfId="0" applyNumberFormat="1" applyFont="1" applyFill="1" applyBorder="1" applyAlignment="1">
      <alignment horizontal="right"/>
    </xf>
    <xf numFmtId="170" fontId="9" fillId="2" borderId="1" xfId="0" applyNumberFormat="1" applyFont="1" applyFill="1" applyBorder="1" applyAlignment="1">
      <alignment horizontal="right"/>
    </xf>
    <xf numFmtId="0" fontId="9" fillId="2" borderId="9" xfId="0" applyFont="1" applyFill="1" applyBorder="1" applyAlignment="1"/>
    <xf numFmtId="3" fontId="9" fillId="2" borderId="9" xfId="11" applyNumberFormat="1" applyFont="1" applyFill="1" applyBorder="1" applyAlignment="1">
      <alignment horizontal="right"/>
    </xf>
    <xf numFmtId="3" fontId="9" fillId="2" borderId="11" xfId="11" applyNumberFormat="1" applyFont="1" applyFill="1" applyBorder="1" applyAlignment="1">
      <alignment horizontal="right"/>
    </xf>
    <xf numFmtId="0" fontId="9" fillId="2" borderId="18" xfId="0" applyFont="1" applyFill="1" applyBorder="1" applyAlignment="1"/>
    <xf numFmtId="0" fontId="12" fillId="2" borderId="0" xfId="0" applyFont="1" applyFill="1" applyBorder="1"/>
    <xf numFmtId="0" fontId="12" fillId="2" borderId="0" xfId="0" applyFont="1" applyFill="1" applyBorder="1" applyAlignment="1">
      <alignment vertical="center"/>
    </xf>
    <xf numFmtId="0" fontId="23" fillId="2" borderId="0" xfId="0" applyFont="1" applyFill="1" applyBorder="1" applyAlignment="1">
      <alignment vertical="center"/>
    </xf>
    <xf numFmtId="165" fontId="0" fillId="2" borderId="0" xfId="0" applyNumberFormat="1" applyFont="1" applyFill="1" applyBorder="1" applyAlignment="1">
      <alignment horizontal="right"/>
    </xf>
    <xf numFmtId="0" fontId="31" fillId="2" borderId="18" xfId="0" applyFont="1" applyFill="1" applyBorder="1" applyAlignment="1">
      <alignment horizontal="left" vertical="center"/>
    </xf>
    <xf numFmtId="0" fontId="36" fillId="2" borderId="0" xfId="0" applyFont="1" applyFill="1" applyBorder="1" applyAlignment="1">
      <alignment vertical="center" wrapText="1"/>
    </xf>
    <xf numFmtId="0" fontId="36" fillId="2" borderId="0" xfId="0" applyFont="1" applyFill="1" applyBorder="1" applyAlignment="1">
      <alignment horizontal="center" vertical="center" wrapText="1"/>
    </xf>
    <xf numFmtId="0" fontId="37" fillId="2" borderId="0" xfId="0" applyFont="1" applyFill="1" applyBorder="1"/>
    <xf numFmtId="0" fontId="38" fillId="2" borderId="0" xfId="0" applyFont="1" applyFill="1"/>
    <xf numFmtId="0" fontId="39" fillId="2" borderId="18" xfId="0" applyFont="1" applyFill="1" applyBorder="1" applyAlignment="1">
      <alignment vertical="center"/>
    </xf>
    <xf numFmtId="0" fontId="37" fillId="2" borderId="0" xfId="0" applyFont="1" applyFill="1" applyBorder="1" applyAlignment="1">
      <alignment wrapText="1"/>
    </xf>
    <xf numFmtId="3" fontId="37" fillId="2" borderId="0" xfId="4" applyNumberFormat="1" applyFont="1" applyFill="1" applyBorder="1" applyAlignment="1">
      <alignment horizontal="right"/>
    </xf>
    <xf numFmtId="3" fontId="37" fillId="2" borderId="13" xfId="4" applyNumberFormat="1" applyFont="1" applyFill="1" applyBorder="1" applyAlignment="1">
      <alignment horizontal="right"/>
    </xf>
    <xf numFmtId="9" fontId="37" fillId="2" borderId="0" xfId="2" applyFont="1" applyFill="1" applyBorder="1"/>
    <xf numFmtId="0" fontId="38" fillId="2" borderId="0" xfId="0" applyFont="1" applyFill="1" applyBorder="1"/>
    <xf numFmtId="3" fontId="37" fillId="5" borderId="0" xfId="4" applyNumberFormat="1" applyFont="1" applyFill="1" applyBorder="1" applyAlignment="1">
      <alignment horizontal="right"/>
    </xf>
    <xf numFmtId="3" fontId="37" fillId="5" borderId="1" xfId="4" applyNumberFormat="1" applyFont="1" applyFill="1" applyBorder="1" applyAlignment="1">
      <alignment horizontal="right"/>
    </xf>
    <xf numFmtId="3" fontId="37" fillId="2" borderId="1" xfId="4" applyNumberFormat="1" applyFont="1" applyFill="1" applyBorder="1" applyAlignment="1">
      <alignment horizontal="right"/>
    </xf>
    <xf numFmtId="0" fontId="37" fillId="2" borderId="0" xfId="0" applyFont="1" applyFill="1" applyBorder="1" applyAlignment="1"/>
    <xf numFmtId="3" fontId="37" fillId="2" borderId="0" xfId="0" applyNumberFormat="1" applyFont="1" applyFill="1" applyBorder="1" applyAlignment="1"/>
    <xf numFmtId="3" fontId="37" fillId="2" borderId="0" xfId="0" applyNumberFormat="1" applyFont="1" applyFill="1" applyBorder="1" applyAlignment="1">
      <alignment horizontal="right"/>
    </xf>
    <xf numFmtId="3" fontId="37" fillId="2" borderId="1" xfId="0" applyNumberFormat="1" applyFont="1" applyFill="1" applyBorder="1" applyAlignment="1">
      <alignment horizontal="right"/>
    </xf>
    <xf numFmtId="9" fontId="38" fillId="2" borderId="0" xfId="2" applyFont="1" applyFill="1"/>
    <xf numFmtId="4" fontId="38" fillId="2" borderId="0" xfId="0" applyNumberFormat="1" applyFont="1" applyFill="1"/>
    <xf numFmtId="3" fontId="37" fillId="2" borderId="9" xfId="0" applyNumberFormat="1" applyFont="1" applyFill="1" applyBorder="1" applyAlignment="1"/>
    <xf numFmtId="3" fontId="37" fillId="2" borderId="9" xfId="0" applyNumberFormat="1" applyFont="1" applyFill="1" applyBorder="1" applyAlignment="1">
      <alignment horizontal="right"/>
    </xf>
    <xf numFmtId="3" fontId="37" fillId="2" borderId="11" xfId="0" applyNumberFormat="1" applyFont="1" applyFill="1" applyBorder="1" applyAlignment="1">
      <alignment horizontal="right"/>
    </xf>
    <xf numFmtId="3" fontId="37" fillId="2" borderId="3" xfId="4" applyNumberFormat="1" applyFont="1" applyFill="1" applyBorder="1" applyAlignment="1">
      <alignment horizontal="right"/>
    </xf>
    <xf numFmtId="3" fontId="37" fillId="2" borderId="4" xfId="4" applyNumberFormat="1" applyFont="1" applyFill="1" applyBorder="1" applyAlignment="1">
      <alignment horizontal="right"/>
    </xf>
    <xf numFmtId="10" fontId="37" fillId="2" borderId="1" xfId="0" applyNumberFormat="1" applyFont="1" applyFill="1" applyBorder="1" applyAlignment="1">
      <alignment horizontal="right"/>
    </xf>
    <xf numFmtId="10" fontId="37" fillId="2" borderId="1" xfId="2" applyNumberFormat="1" applyFont="1" applyFill="1" applyBorder="1" applyAlignment="1">
      <alignment horizontal="right"/>
    </xf>
    <xf numFmtId="43" fontId="37" fillId="2" borderId="0" xfId="0" applyNumberFormat="1" applyFont="1" applyFill="1" applyBorder="1"/>
    <xf numFmtId="10" fontId="37" fillId="2" borderId="14" xfId="2" applyNumberFormat="1" applyFont="1" applyFill="1" applyBorder="1" applyAlignment="1">
      <alignment horizontal="right"/>
    </xf>
    <xf numFmtId="0" fontId="41" fillId="2" borderId="0" xfId="0" applyFont="1" applyFill="1" applyBorder="1" applyAlignment="1">
      <alignment horizontal="justify"/>
    </xf>
    <xf numFmtId="0" fontId="37" fillId="2" borderId="0" xfId="0" applyFont="1" applyFill="1" applyBorder="1" applyAlignment="1">
      <alignment horizontal="justify"/>
    </xf>
    <xf numFmtId="0" fontId="39" fillId="2" borderId="18" xfId="0" applyFont="1" applyFill="1" applyBorder="1" applyAlignment="1">
      <alignment horizontal="left" vertical="center"/>
    </xf>
    <xf numFmtId="165" fontId="37" fillId="2" borderId="0" xfId="2" applyNumberFormat="1" applyFont="1" applyFill="1" applyBorder="1" applyAlignment="1">
      <alignment horizontal="right"/>
    </xf>
    <xf numFmtId="0" fontId="37" fillId="2" borderId="0" xfId="0" applyFont="1" applyFill="1" applyBorder="1" applyAlignment="1">
      <alignment horizontal="justify" wrapText="1"/>
    </xf>
    <xf numFmtId="0" fontId="40" fillId="3" borderId="15" xfId="3" quotePrefix="1" applyFont="1" applyFill="1" applyBorder="1" applyAlignment="1">
      <alignment horizontal="center" vertical="center" wrapText="1"/>
    </xf>
    <xf numFmtId="0" fontId="40" fillId="3" borderId="12" xfId="3" quotePrefix="1" applyFont="1" applyFill="1" applyBorder="1" applyAlignment="1">
      <alignment horizontal="center" vertical="center" wrapText="1"/>
    </xf>
    <xf numFmtId="3" fontId="37" fillId="2" borderId="13" xfId="0" applyNumberFormat="1" applyFont="1" applyFill="1" applyBorder="1" applyAlignment="1">
      <alignment horizontal="right"/>
    </xf>
    <xf numFmtId="4" fontId="37" fillId="2" borderId="1" xfId="4" applyNumberFormat="1" applyFont="1" applyFill="1" applyBorder="1" applyAlignment="1">
      <alignment horizontal="right"/>
    </xf>
    <xf numFmtId="4" fontId="37" fillId="2" borderId="1" xfId="0" applyNumberFormat="1" applyFont="1" applyFill="1" applyBorder="1" applyAlignment="1">
      <alignment horizontal="right"/>
    </xf>
    <xf numFmtId="3" fontId="37" fillId="2" borderId="9" xfId="4" applyNumberFormat="1" applyFont="1" applyFill="1" applyBorder="1" applyAlignment="1">
      <alignment horizontal="right"/>
    </xf>
    <xf numFmtId="4" fontId="37" fillId="2" borderId="11" xfId="0" applyNumberFormat="1" applyFont="1" applyFill="1" applyBorder="1" applyAlignment="1">
      <alignment horizontal="right"/>
    </xf>
    <xf numFmtId="0" fontId="36" fillId="2" borderId="0" xfId="0" applyFont="1" applyFill="1" applyBorder="1" applyAlignment="1">
      <alignment vertical="center"/>
    </xf>
    <xf numFmtId="3" fontId="37" fillId="5" borderId="0" xfId="0" applyNumberFormat="1" applyFont="1" applyFill="1" applyBorder="1" applyAlignment="1"/>
    <xf numFmtId="3" fontId="37" fillId="5" borderId="0" xfId="0" applyNumberFormat="1" applyFont="1" applyFill="1" applyBorder="1" applyAlignment="1">
      <alignment horizontal="right"/>
    </xf>
    <xf numFmtId="3" fontId="37" fillId="5" borderId="1" xfId="0" applyNumberFormat="1" applyFont="1" applyFill="1" applyBorder="1" applyAlignment="1">
      <alignment horizontal="right"/>
    </xf>
    <xf numFmtId="3" fontId="37" fillId="2" borderId="0" xfId="0" applyNumberFormat="1" applyFont="1" applyFill="1" applyBorder="1"/>
    <xf numFmtId="0" fontId="42" fillId="2" borderId="0" xfId="0" applyFont="1" applyFill="1" applyBorder="1" applyAlignment="1">
      <alignment wrapText="1"/>
    </xf>
    <xf numFmtId="0" fontId="42" fillId="2" borderId="0" xfId="0" applyFont="1" applyFill="1" applyBorder="1" applyAlignment="1">
      <alignment horizontal="left"/>
    </xf>
    <xf numFmtId="165" fontId="37" fillId="2" borderId="0" xfId="2" applyNumberFormat="1" applyFont="1" applyFill="1" applyBorder="1" applyAlignment="1">
      <alignment horizontal="left"/>
    </xf>
    <xf numFmtId="0" fontId="37" fillId="2" borderId="0" xfId="0" applyFont="1" applyFill="1" applyBorder="1" applyAlignment="1">
      <alignment horizontal="left"/>
    </xf>
    <xf numFmtId="9" fontId="37" fillId="2" borderId="0" xfId="2" applyFont="1" applyFill="1" applyBorder="1" applyAlignment="1">
      <alignment horizontal="left"/>
    </xf>
    <xf numFmtId="0" fontId="11" fillId="2" borderId="0" xfId="0" applyFont="1" applyFill="1" applyBorder="1" applyAlignment="1">
      <alignment horizontal="left"/>
    </xf>
    <xf numFmtId="0" fontId="43" fillId="2" borderId="0" xfId="5" applyFont="1" applyFill="1" applyBorder="1" applyAlignment="1">
      <alignment horizontal="left"/>
    </xf>
    <xf numFmtId="0" fontId="43" fillId="2" borderId="0" xfId="5" applyFont="1" applyFill="1" applyBorder="1"/>
    <xf numFmtId="0" fontId="45" fillId="2" borderId="0" xfId="0" applyFont="1" applyFill="1" applyBorder="1" applyAlignment="1">
      <alignment vertical="center" wrapText="1"/>
    </xf>
    <xf numFmtId="0" fontId="45" fillId="2" borderId="0" xfId="0" applyFont="1" applyFill="1" applyBorder="1" applyAlignment="1">
      <alignment horizontal="center" vertical="center" wrapText="1"/>
    </xf>
    <xf numFmtId="0" fontId="46" fillId="2" borderId="0" xfId="0" applyFont="1" applyFill="1" applyBorder="1"/>
    <xf numFmtId="0" fontId="47" fillId="2" borderId="0" xfId="0" applyFont="1" applyFill="1"/>
    <xf numFmtId="0" fontId="48" fillId="2" borderId="18" xfId="0" applyFont="1" applyFill="1" applyBorder="1" applyAlignment="1">
      <alignment horizontal="left" vertical="center"/>
    </xf>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4" fontId="46" fillId="2" borderId="0" xfId="0" applyNumberFormat="1" applyFont="1" applyFill="1" applyBorder="1" applyAlignment="1">
      <alignment horizontal="right"/>
    </xf>
    <xf numFmtId="0" fontId="46" fillId="2" borderId="0" xfId="0" applyFont="1" applyFill="1" applyBorder="1" applyAlignment="1"/>
    <xf numFmtId="3" fontId="46" fillId="2" borderId="0" xfId="1" applyNumberFormat="1" applyFont="1" applyFill="1" applyBorder="1" applyAlignment="1">
      <alignment horizontal="right"/>
    </xf>
    <xf numFmtId="3" fontId="46" fillId="2" borderId="13" xfId="1" applyNumberFormat="1" applyFont="1" applyFill="1" applyBorder="1" applyAlignment="1">
      <alignment horizontal="right"/>
    </xf>
    <xf numFmtId="9" fontId="46" fillId="2" borderId="0" xfId="2" applyFont="1" applyFill="1" applyBorder="1"/>
    <xf numFmtId="0" fontId="47" fillId="2" borderId="0" xfId="0" applyFont="1" applyFill="1" applyBorder="1"/>
    <xf numFmtId="3" fontId="46" fillId="2" borderId="1" xfId="1" applyNumberFormat="1" applyFont="1" applyFill="1" applyBorder="1" applyAlignment="1">
      <alignment horizontal="right"/>
    </xf>
    <xf numFmtId="0" fontId="46" fillId="2" borderId="9" xfId="0" applyFont="1" applyFill="1" applyBorder="1" applyAlignment="1"/>
    <xf numFmtId="3" fontId="46" fillId="2" borderId="9" xfId="1" applyNumberFormat="1" applyFont="1" applyFill="1" applyBorder="1" applyAlignment="1">
      <alignment horizontal="right"/>
    </xf>
    <xf numFmtId="3" fontId="46" fillId="2" borderId="11" xfId="1" applyNumberFormat="1" applyFont="1" applyFill="1" applyBorder="1" applyAlignment="1">
      <alignment horizontal="right"/>
    </xf>
    <xf numFmtId="3" fontId="46" fillId="2" borderId="3" xfId="1" applyNumberFormat="1" applyFont="1" applyFill="1" applyBorder="1" applyAlignment="1">
      <alignment horizontal="right"/>
    </xf>
    <xf numFmtId="3" fontId="46" fillId="2" borderId="4" xfId="1" applyNumberFormat="1" applyFont="1" applyFill="1" applyBorder="1" applyAlignment="1">
      <alignment horizontal="right"/>
    </xf>
    <xf numFmtId="165" fontId="46" fillId="2" borderId="0" xfId="2" applyNumberFormat="1" applyFont="1" applyFill="1" applyBorder="1" applyAlignment="1">
      <alignment horizontal="right"/>
    </xf>
    <xf numFmtId="165" fontId="46" fillId="2" borderId="1" xfId="2" applyNumberFormat="1" applyFont="1" applyFill="1" applyBorder="1" applyAlignment="1">
      <alignment horizontal="right"/>
    </xf>
    <xf numFmtId="43" fontId="46" fillId="2" borderId="0" xfId="0" applyNumberFormat="1" applyFont="1" applyFill="1" applyBorder="1"/>
    <xf numFmtId="3" fontId="46" fillId="2" borderId="0" xfId="0" applyNumberFormat="1" applyFont="1" applyFill="1" applyBorder="1" applyAlignment="1">
      <alignment horizontal="right"/>
    </xf>
    <xf numFmtId="3" fontId="46" fillId="2" borderId="1" xfId="0" applyNumberFormat="1" applyFont="1" applyFill="1" applyBorder="1" applyAlignment="1">
      <alignment horizontal="right"/>
    </xf>
    <xf numFmtId="3" fontId="46" fillId="2" borderId="0" xfId="0" applyNumberFormat="1" applyFont="1" applyFill="1" applyBorder="1"/>
    <xf numFmtId="165" fontId="46" fillId="2" borderId="18" xfId="2" applyNumberFormat="1" applyFont="1" applyFill="1" applyBorder="1" applyAlignment="1">
      <alignment horizontal="right"/>
    </xf>
    <xf numFmtId="165" fontId="46" fillId="2" borderId="14" xfId="2" applyNumberFormat="1" applyFont="1" applyFill="1" applyBorder="1" applyAlignment="1">
      <alignment horizontal="right"/>
    </xf>
    <xf numFmtId="0" fontId="50" fillId="2" borderId="0" xfId="6" applyFont="1" applyFill="1" applyBorder="1"/>
    <xf numFmtId="0" fontId="45" fillId="2" borderId="0" xfId="0" applyFont="1" applyFill="1" applyBorder="1" applyAlignment="1">
      <alignment vertical="center"/>
    </xf>
    <xf numFmtId="165" fontId="46" fillId="2" borderId="0" xfId="2" applyNumberFormat="1" applyFont="1" applyFill="1" applyBorder="1"/>
    <xf numFmtId="0" fontId="47" fillId="2" borderId="0" xfId="0" applyFont="1" applyFill="1" applyBorder="1" applyAlignment="1"/>
    <xf numFmtId="3" fontId="46" fillId="2" borderId="9" xfId="0" applyNumberFormat="1" applyFont="1" applyFill="1" applyBorder="1"/>
    <xf numFmtId="3" fontId="46" fillId="2" borderId="11" xfId="0" applyNumberFormat="1" applyFont="1" applyFill="1" applyBorder="1"/>
    <xf numFmtId="0" fontId="46" fillId="5" borderId="0" xfId="0" applyFont="1" applyFill="1" applyBorder="1"/>
    <xf numFmtId="3" fontId="46" fillId="5" borderId="0" xfId="1" applyNumberFormat="1" applyFont="1" applyFill="1" applyBorder="1" applyAlignment="1">
      <alignment horizontal="right"/>
    </xf>
    <xf numFmtId="3" fontId="46" fillId="5" borderId="1" xfId="1" applyNumberFormat="1" applyFont="1" applyFill="1" applyBorder="1" applyAlignment="1">
      <alignment horizontal="right"/>
    </xf>
    <xf numFmtId="0" fontId="46" fillId="5" borderId="1" xfId="0" applyFont="1" applyFill="1" applyBorder="1"/>
    <xf numFmtId="3" fontId="47" fillId="2" borderId="0" xfId="0" applyNumberFormat="1" applyFont="1" applyFill="1"/>
    <xf numFmtId="3" fontId="46" fillId="2" borderId="16" xfId="1" applyNumberFormat="1" applyFont="1" applyFill="1" applyBorder="1" applyAlignment="1">
      <alignment horizontal="right"/>
    </xf>
    <xf numFmtId="168" fontId="21" fillId="4" borderId="0" xfId="8" applyFont="1" applyFill="1" applyBorder="1" applyAlignment="1">
      <alignment horizontal="center" vertical="top" wrapText="1"/>
    </xf>
    <xf numFmtId="168" fontId="21" fillId="2" borderId="0" xfId="9" applyNumberFormat="1" applyFont="1" applyFill="1" applyBorder="1" applyAlignment="1">
      <alignment horizontal="left" vertical="top" wrapText="1"/>
    </xf>
    <xf numFmtId="3" fontId="21" fillId="2" borderId="0" xfId="9" applyNumberFormat="1" applyFont="1" applyFill="1" applyBorder="1" applyAlignment="1">
      <alignment horizontal="center" vertical="center" wrapText="1"/>
    </xf>
    <xf numFmtId="168" fontId="21" fillId="4" borderId="0" xfId="9" applyNumberFormat="1" applyFont="1" applyFill="1" applyBorder="1" applyAlignment="1">
      <alignment horizontal="left" vertical="top" wrapText="1"/>
    </xf>
    <xf numFmtId="0" fontId="1" fillId="2" borderId="0" xfId="7" applyFont="1" applyFill="1" applyBorder="1" applyAlignment="1">
      <alignment vertical="center" wrapText="1"/>
    </xf>
    <xf numFmtId="0" fontId="1" fillId="2" borderId="0" xfId="7" applyFont="1" applyFill="1" applyBorder="1" applyAlignment="1">
      <alignment vertical="center"/>
    </xf>
    <xf numFmtId="0" fontId="1" fillId="2" borderId="0" xfId="7" applyFont="1" applyFill="1" applyBorder="1" applyAlignment="1">
      <alignment horizontal="center" vertical="center" wrapText="1"/>
    </xf>
    <xf numFmtId="3" fontId="44" fillId="2" borderId="0" xfId="9" applyNumberFormat="1" applyFont="1" applyFill="1" applyBorder="1" applyAlignment="1">
      <alignment horizontal="center" vertical="center"/>
    </xf>
    <xf numFmtId="0" fontId="1" fillId="2" borderId="0" xfId="7" applyFont="1" applyFill="1" applyBorder="1" applyAlignment="1">
      <alignment horizontal="left" vertical="center"/>
    </xf>
    <xf numFmtId="0" fontId="9" fillId="2" borderId="0" xfId="7" applyFont="1" applyFill="1" applyBorder="1" applyAlignment="1">
      <alignment vertical="center" wrapText="1"/>
    </xf>
    <xf numFmtId="0" fontId="31" fillId="2" borderId="18" xfId="0" applyFont="1" applyFill="1" applyBorder="1" applyAlignment="1">
      <alignment vertical="center"/>
    </xf>
    <xf numFmtId="3" fontId="44" fillId="2" borderId="13" xfId="9" applyNumberFormat="1" applyFont="1" applyFill="1" applyBorder="1" applyAlignment="1">
      <alignment horizontal="center" vertical="center"/>
    </xf>
    <xf numFmtId="0" fontId="9" fillId="2" borderId="0" xfId="7" applyFont="1" applyFill="1" applyBorder="1" applyAlignment="1">
      <alignment horizontal="left" vertical="center"/>
    </xf>
    <xf numFmtId="168" fontId="21" fillId="4" borderId="9" xfId="9" applyNumberFormat="1" applyFont="1" applyFill="1" applyBorder="1" applyAlignment="1">
      <alignment horizontal="left" vertical="top" wrapText="1"/>
    </xf>
    <xf numFmtId="0" fontId="17" fillId="3" borderId="19" xfId="3" applyFont="1" applyFill="1" applyBorder="1" applyAlignment="1">
      <alignment horizontal="left" vertical="center"/>
    </xf>
    <xf numFmtId="0" fontId="17" fillId="3" borderId="12" xfId="3" applyFont="1" applyFill="1" applyBorder="1" applyAlignment="1">
      <alignment horizontal="center" vertical="center"/>
    </xf>
    <xf numFmtId="0" fontId="22" fillId="2" borderId="0" xfId="7" applyFont="1" applyFill="1" applyBorder="1" applyAlignment="1"/>
    <xf numFmtId="0" fontId="22" fillId="2" borderId="0" xfId="7" applyFont="1" applyFill="1" applyAlignment="1"/>
    <xf numFmtId="0" fontId="19" fillId="2" borderId="0" xfId="7" applyFont="1" applyFill="1" applyBorder="1" applyAlignment="1"/>
    <xf numFmtId="0" fontId="19" fillId="2" borderId="0" xfId="7" applyFont="1" applyFill="1" applyAlignment="1"/>
    <xf numFmtId="0" fontId="6" fillId="3" borderId="15" xfId="3" quotePrefix="1" applyFont="1" applyFill="1" applyBorder="1" applyAlignment="1">
      <alignment horizontal="center" vertical="center"/>
    </xf>
    <xf numFmtId="0" fontId="6" fillId="3" borderId="12" xfId="3" quotePrefix="1" applyFont="1" applyFill="1" applyBorder="1" applyAlignment="1">
      <alignment horizontal="center" vertical="center"/>
    </xf>
    <xf numFmtId="0" fontId="23" fillId="2" borderId="0" xfId="0" applyFont="1" applyFill="1" applyBorder="1" applyAlignment="1"/>
    <xf numFmtId="0" fontId="0" fillId="2" borderId="0" xfId="0" applyFill="1" applyAlignment="1"/>
    <xf numFmtId="0" fontId="17" fillId="3" borderId="17" xfId="3" applyFont="1" applyFill="1" applyBorder="1" applyAlignment="1">
      <alignment horizontal="left" vertical="center"/>
    </xf>
    <xf numFmtId="0" fontId="0" fillId="2" borderId="0" xfId="0" applyFont="1" applyFill="1" applyAlignment="1"/>
    <xf numFmtId="0" fontId="6" fillId="3" borderId="15" xfId="3" applyFont="1" applyFill="1" applyBorder="1" applyAlignment="1">
      <alignment horizontal="left" vertical="center"/>
    </xf>
    <xf numFmtId="0" fontId="40" fillId="3" borderId="15" xfId="3" applyFont="1" applyFill="1" applyBorder="1" applyAlignment="1">
      <alignment horizontal="center" vertical="center"/>
    </xf>
    <xf numFmtId="0" fontId="40" fillId="3" borderId="12" xfId="3" applyFont="1" applyFill="1" applyBorder="1" applyAlignment="1">
      <alignment horizontal="center" vertical="center"/>
    </xf>
    <xf numFmtId="0" fontId="38" fillId="2" borderId="0" xfId="0" applyFont="1" applyFill="1" applyAlignment="1"/>
    <xf numFmtId="0" fontId="49" fillId="3" borderId="15" xfId="3" quotePrefix="1" applyFont="1" applyFill="1" applyBorder="1" applyAlignment="1">
      <alignment horizontal="center" vertical="center"/>
    </xf>
    <xf numFmtId="0" fontId="49" fillId="3" borderId="12" xfId="3" quotePrefix="1" applyFont="1" applyFill="1" applyBorder="1" applyAlignment="1">
      <alignment horizontal="center" vertical="center"/>
    </xf>
    <xf numFmtId="0" fontId="49" fillId="3" borderId="15" xfId="3" applyFont="1" applyFill="1" applyBorder="1" applyAlignment="1">
      <alignment horizontal="center" vertical="center"/>
    </xf>
    <xf numFmtId="0" fontId="49" fillId="3" borderId="12" xfId="3" applyFont="1" applyFill="1" applyBorder="1" applyAlignment="1">
      <alignment horizontal="center" vertical="center"/>
    </xf>
    <xf numFmtId="0" fontId="47" fillId="2" borderId="0" xfId="0" applyFont="1" applyFill="1" applyAlignment="1"/>
    <xf numFmtId="49" fontId="0" fillId="2" borderId="0" xfId="8" applyNumberFormat="1" applyFont="1" applyFill="1" applyBorder="1" applyAlignment="1"/>
    <xf numFmtId="0" fontId="20" fillId="3" borderId="15" xfId="3" applyFont="1" applyFill="1" applyBorder="1" applyAlignment="1">
      <alignment horizontal="center" vertical="center"/>
    </xf>
    <xf numFmtId="3" fontId="44" fillId="5" borderId="0" xfId="9" applyNumberFormat="1" applyFont="1" applyFill="1" applyBorder="1" applyAlignment="1">
      <alignment horizontal="center" vertical="center"/>
    </xf>
    <xf numFmtId="3" fontId="44" fillId="5" borderId="1" xfId="9" applyNumberFormat="1" applyFont="1" applyFill="1" applyBorder="1" applyAlignment="1">
      <alignment horizontal="center" vertical="center"/>
    </xf>
    <xf numFmtId="3" fontId="1" fillId="2" borderId="0" xfId="7" applyNumberFormat="1" applyFont="1" applyFill="1" applyBorder="1"/>
    <xf numFmtId="165" fontId="21" fillId="4" borderId="0" xfId="9" applyNumberFormat="1" applyFont="1" applyFill="1" applyBorder="1" applyAlignment="1">
      <alignment horizontal="right" vertical="center"/>
    </xf>
    <xf numFmtId="165" fontId="21" fillId="4" borderId="18" xfId="9" applyNumberFormat="1" applyFont="1" applyFill="1" applyBorder="1" applyAlignment="1">
      <alignment horizontal="right" vertical="center"/>
    </xf>
    <xf numFmtId="168" fontId="21" fillId="4" borderId="0" xfId="9" applyNumberFormat="1" applyFont="1" applyFill="1" applyBorder="1" applyAlignment="1">
      <alignment horizontal="left" vertical="top"/>
    </xf>
    <xf numFmtId="3" fontId="21" fillId="4" borderId="9" xfId="9" applyNumberFormat="1" applyFont="1" applyFill="1" applyBorder="1" applyAlignment="1">
      <alignment horizontal="right" vertical="top"/>
    </xf>
    <xf numFmtId="3" fontId="21" fillId="4" borderId="11" xfId="9" applyNumberFormat="1" applyFont="1" applyFill="1" applyBorder="1" applyAlignment="1">
      <alignment horizontal="right" vertical="top"/>
    </xf>
    <xf numFmtId="3" fontId="21" fillId="5" borderId="0" xfId="9" applyNumberFormat="1" applyFont="1" applyFill="1" applyBorder="1" applyAlignment="1">
      <alignment horizontal="center" vertical="center"/>
    </xf>
    <xf numFmtId="3" fontId="21" fillId="2" borderId="0" xfId="9" applyNumberFormat="1" applyFont="1" applyFill="1" applyBorder="1" applyAlignment="1">
      <alignment horizontal="center" vertical="center"/>
    </xf>
    <xf numFmtId="0" fontId="1" fillId="2" borderId="0" xfId="7" applyFont="1" applyFill="1" applyBorder="1" applyAlignment="1"/>
    <xf numFmtId="168" fontId="21" fillId="4" borderId="0" xfId="8" applyFont="1" applyFill="1" applyBorder="1" applyAlignment="1">
      <alignment horizontal="center" vertical="top"/>
    </xf>
    <xf numFmtId="1" fontId="0" fillId="2" borderId="0" xfId="0" applyNumberFormat="1" applyFont="1" applyFill="1" applyBorder="1" applyAlignment="1">
      <alignment horizontal="center"/>
    </xf>
    <xf numFmtId="0" fontId="3" fillId="2" borderId="0" xfId="0" applyFont="1" applyFill="1" applyBorder="1" applyAlignment="1">
      <alignment vertical="center" wrapText="1"/>
    </xf>
    <xf numFmtId="0" fontId="1" fillId="2" borderId="0" xfId="0" applyFont="1" applyFill="1" applyBorder="1" applyAlignment="1">
      <alignment vertical="center"/>
    </xf>
    <xf numFmtId="0" fontId="31" fillId="3" borderId="19" xfId="3" applyFont="1" applyFill="1" applyBorder="1" applyAlignment="1">
      <alignment horizontal="left" vertical="center" wrapText="1"/>
    </xf>
    <xf numFmtId="0" fontId="20" fillId="3" borderId="12" xfId="3" applyFont="1" applyFill="1" applyBorder="1" applyAlignment="1">
      <alignment horizontal="center" vertical="center"/>
    </xf>
    <xf numFmtId="4" fontId="1" fillId="2" borderId="0" xfId="15" applyNumberFormat="1" applyFont="1" applyFill="1" applyBorder="1" applyAlignment="1">
      <alignment horizontal="left"/>
    </xf>
    <xf numFmtId="3" fontId="1" fillId="2" borderId="0" xfId="15" applyNumberFormat="1" applyFont="1" applyFill="1" applyBorder="1" applyAlignment="1">
      <alignment horizontal="right"/>
    </xf>
    <xf numFmtId="3" fontId="1" fillId="2" borderId="1" xfId="15" applyNumberFormat="1" applyFont="1" applyFill="1" applyBorder="1" applyAlignment="1">
      <alignment horizontal="right"/>
    </xf>
    <xf numFmtId="4" fontId="1" fillId="2" borderId="0" xfId="15" applyNumberFormat="1" applyFont="1" applyFill="1" applyBorder="1" applyAlignment="1">
      <alignment horizontal="left" vertical="center"/>
    </xf>
    <xf numFmtId="3" fontId="1" fillId="2" borderId="0" xfId="15" applyNumberFormat="1" applyFont="1" applyFill="1" applyBorder="1" applyAlignment="1">
      <alignment horizontal="right" vertical="center"/>
    </xf>
    <xf numFmtId="0" fontId="1" fillId="2" borderId="0" xfId="0" applyFont="1" applyFill="1" applyBorder="1" applyAlignment="1">
      <alignment horizontal="left"/>
    </xf>
    <xf numFmtId="3" fontId="1" fillId="2" borderId="0" xfId="0" applyNumberFormat="1" applyFont="1" applyFill="1" applyBorder="1" applyAlignment="1">
      <alignment horizontal="right"/>
    </xf>
    <xf numFmtId="3" fontId="1" fillId="2" borderId="1" xfId="0" applyNumberFormat="1" applyFont="1" applyFill="1" applyBorder="1" applyAlignment="1">
      <alignment horizontal="right"/>
    </xf>
    <xf numFmtId="4" fontId="1" fillId="2" borderId="1" xfId="0" applyNumberFormat="1" applyFont="1" applyFill="1" applyBorder="1" applyAlignment="1">
      <alignment horizontal="right"/>
    </xf>
    <xf numFmtId="4" fontId="1" fillId="2" borderId="11" xfId="0" applyNumberFormat="1" applyFont="1" applyFill="1" applyBorder="1" applyAlignment="1">
      <alignment horizontal="right"/>
    </xf>
    <xf numFmtId="3" fontId="1" fillId="2" borderId="9" xfId="15" applyNumberFormat="1" applyFont="1" applyFill="1" applyBorder="1" applyAlignment="1">
      <alignment horizontal="right"/>
    </xf>
    <xf numFmtId="3" fontId="1" fillId="2" borderId="11" xfId="15" applyNumberFormat="1" applyFont="1" applyFill="1" applyBorder="1" applyAlignment="1">
      <alignment horizontal="right"/>
    </xf>
    <xf numFmtId="165" fontId="1" fillId="2" borderId="0" xfId="2" applyNumberFormat="1" applyFont="1" applyFill="1" applyBorder="1" applyAlignment="1">
      <alignment horizontal="right" vertical="center"/>
    </xf>
    <xf numFmtId="165" fontId="1" fillId="2" borderId="1" xfId="2" applyNumberFormat="1" applyFont="1" applyFill="1" applyBorder="1" applyAlignment="1">
      <alignment horizontal="right" vertical="center"/>
    </xf>
    <xf numFmtId="165" fontId="1" fillId="2" borderId="18" xfId="2" applyNumberFormat="1" applyFont="1" applyFill="1" applyBorder="1" applyAlignment="1">
      <alignment horizontal="right" vertical="center"/>
    </xf>
    <xf numFmtId="165" fontId="1" fillId="2" borderId="14" xfId="2" applyNumberFormat="1" applyFont="1" applyFill="1" applyBorder="1" applyAlignment="1">
      <alignment horizontal="right" vertical="center"/>
    </xf>
    <xf numFmtId="0" fontId="1" fillId="2" borderId="0" xfId="0" applyFont="1" applyFill="1"/>
    <xf numFmtId="0" fontId="31" fillId="3" borderId="19" xfId="3" applyFont="1" applyFill="1" applyBorder="1" applyAlignment="1">
      <alignment horizontal="left" vertical="center"/>
    </xf>
    <xf numFmtId="0" fontId="20" fillId="3" borderId="15" xfId="3" quotePrefix="1" applyFont="1" applyFill="1" applyBorder="1" applyAlignment="1">
      <alignment horizontal="center" vertical="center"/>
    </xf>
    <xf numFmtId="0" fontId="20" fillId="3" borderId="12" xfId="3" quotePrefix="1" applyFont="1" applyFill="1" applyBorder="1" applyAlignment="1">
      <alignment horizontal="center" vertical="center"/>
    </xf>
    <xf numFmtId="3" fontId="1" fillId="2" borderId="9" xfId="0" applyNumberFormat="1" applyFont="1" applyFill="1" applyBorder="1" applyAlignment="1">
      <alignment horizontal="right"/>
    </xf>
    <xf numFmtId="3" fontId="1" fillId="2" borderId="11" xfId="0" applyNumberFormat="1" applyFont="1" applyFill="1" applyBorder="1" applyAlignment="1">
      <alignment horizontal="right"/>
    </xf>
    <xf numFmtId="3" fontId="1" fillId="5" borderId="0" xfId="15" applyNumberFormat="1" applyFont="1" applyFill="1" applyBorder="1" applyAlignment="1">
      <alignment horizontal="right"/>
    </xf>
    <xf numFmtId="3" fontId="1" fillId="5" borderId="1" xfId="15" applyNumberFormat="1" applyFont="1" applyFill="1" applyBorder="1" applyAlignment="1">
      <alignment horizontal="right"/>
    </xf>
    <xf numFmtId="0" fontId="1" fillId="2" borderId="9" xfId="0" applyFont="1" applyFill="1" applyBorder="1" applyAlignment="1">
      <alignment horizontal="left"/>
    </xf>
    <xf numFmtId="3" fontId="1" fillId="5" borderId="0" xfId="15" applyNumberFormat="1" applyFont="1" applyFill="1" applyBorder="1" applyAlignment="1">
      <alignment horizontal="right" vertical="center"/>
    </xf>
    <xf numFmtId="4" fontId="1" fillId="5" borderId="1" xfId="0" applyNumberFormat="1" applyFont="1" applyFill="1" applyBorder="1" applyAlignment="1">
      <alignment horizontal="right"/>
    </xf>
    <xf numFmtId="3" fontId="1" fillId="5" borderId="0" xfId="0" applyNumberFormat="1" applyFont="1" applyFill="1" applyBorder="1" applyAlignment="1">
      <alignment horizontal="right"/>
    </xf>
    <xf numFmtId="3" fontId="1" fillId="5" borderId="1" xfId="0" applyNumberFormat="1" applyFont="1" applyFill="1" applyBorder="1" applyAlignment="1">
      <alignment horizontal="right"/>
    </xf>
    <xf numFmtId="0" fontId="51" fillId="2" borderId="0" xfId="0" applyFont="1" applyFill="1" applyBorder="1"/>
    <xf numFmtId="3" fontId="21" fillId="2" borderId="0" xfId="9" applyNumberFormat="1" applyFont="1" applyFill="1" applyBorder="1" applyAlignment="1">
      <alignment horizontal="right" vertical="center"/>
    </xf>
    <xf numFmtId="3" fontId="44" fillId="2" borderId="0" xfId="9" applyNumberFormat="1" applyFont="1" applyFill="1" applyBorder="1" applyAlignment="1">
      <alignment horizontal="right" vertical="center"/>
    </xf>
    <xf numFmtId="3" fontId="44" fillId="2" borderId="1" xfId="9" applyNumberFormat="1" applyFont="1" applyFill="1" applyBorder="1" applyAlignment="1">
      <alignment horizontal="right" vertical="center"/>
    </xf>
    <xf numFmtId="3" fontId="21" fillId="2" borderId="0" xfId="8" applyNumberFormat="1" applyFont="1" applyFill="1" applyBorder="1" applyAlignment="1">
      <alignment horizontal="right" vertical="center"/>
    </xf>
    <xf numFmtId="3" fontId="21" fillId="2" borderId="1" xfId="8" applyNumberFormat="1" applyFont="1" applyFill="1" applyBorder="1" applyAlignment="1">
      <alignment horizontal="right" vertical="center"/>
    </xf>
    <xf numFmtId="3" fontId="21" fillId="5" borderId="0" xfId="9" applyNumberFormat="1" applyFont="1" applyFill="1" applyBorder="1" applyAlignment="1">
      <alignment horizontal="right" vertical="center"/>
    </xf>
    <xf numFmtId="3" fontId="21" fillId="5" borderId="0" xfId="8" applyNumberFormat="1" applyFont="1" applyFill="1" applyBorder="1" applyAlignment="1">
      <alignment horizontal="right" vertical="center"/>
    </xf>
    <xf numFmtId="3" fontId="21" fillId="5" borderId="1" xfId="8" applyNumberFormat="1" applyFont="1" applyFill="1" applyBorder="1" applyAlignment="1">
      <alignment horizontal="right" vertical="center"/>
    </xf>
    <xf numFmtId="3" fontId="21" fillId="4" borderId="0" xfId="9" applyNumberFormat="1" applyFont="1" applyFill="1" applyBorder="1" applyAlignment="1">
      <alignment horizontal="right" vertical="center"/>
    </xf>
    <xf numFmtId="3" fontId="21" fillId="4" borderId="0" xfId="8" applyNumberFormat="1" applyFont="1" applyFill="1" applyBorder="1" applyAlignment="1">
      <alignment horizontal="right" vertical="center"/>
    </xf>
    <xf numFmtId="3" fontId="21" fillId="4" borderId="1" xfId="8" applyNumberFormat="1" applyFont="1" applyFill="1" applyBorder="1" applyAlignment="1">
      <alignment horizontal="right" vertical="center"/>
    </xf>
    <xf numFmtId="3" fontId="21" fillId="4" borderId="9" xfId="9" applyNumberFormat="1" applyFont="1" applyFill="1" applyBorder="1" applyAlignment="1">
      <alignment horizontal="right" vertical="center"/>
    </xf>
    <xf numFmtId="3" fontId="21" fillId="4" borderId="9" xfId="8" applyNumberFormat="1" applyFont="1" applyFill="1" applyBorder="1" applyAlignment="1">
      <alignment horizontal="right" vertical="center"/>
    </xf>
    <xf numFmtId="3" fontId="21" fillId="4" borderId="11" xfId="8" applyNumberFormat="1" applyFont="1" applyFill="1" applyBorder="1" applyAlignment="1">
      <alignment horizontal="right" vertical="center"/>
    </xf>
    <xf numFmtId="3" fontId="21" fillId="4" borderId="3" xfId="9" applyNumberFormat="1" applyFont="1" applyFill="1" applyBorder="1" applyAlignment="1">
      <alignment horizontal="right" vertical="center"/>
    </xf>
    <xf numFmtId="3" fontId="21" fillId="4" borderId="3" xfId="8" applyNumberFormat="1" applyFont="1" applyFill="1" applyBorder="1" applyAlignment="1">
      <alignment horizontal="right" vertical="center"/>
    </xf>
    <xf numFmtId="3" fontId="21" fillId="4" borderId="4" xfId="8" applyNumberFormat="1" applyFont="1" applyFill="1" applyBorder="1" applyAlignment="1">
      <alignment horizontal="right" vertical="center"/>
    </xf>
    <xf numFmtId="165" fontId="21" fillId="4" borderId="0" xfId="10" applyNumberFormat="1" applyFont="1" applyFill="1" applyBorder="1" applyAlignment="1">
      <alignment horizontal="right" vertical="center"/>
    </xf>
    <xf numFmtId="165" fontId="21" fillId="4" borderId="1" xfId="10" applyNumberFormat="1" applyFont="1" applyFill="1" applyBorder="1" applyAlignment="1">
      <alignment horizontal="right" vertical="center"/>
    </xf>
    <xf numFmtId="2" fontId="21" fillId="4" borderId="0" xfId="9" applyNumberFormat="1" applyFont="1" applyFill="1" applyBorder="1" applyAlignment="1">
      <alignment horizontal="right" vertical="center"/>
    </xf>
    <xf numFmtId="2" fontId="21" fillId="4" borderId="0" xfId="8" applyNumberFormat="1" applyFont="1" applyFill="1" applyBorder="1" applyAlignment="1">
      <alignment horizontal="right" vertical="center"/>
    </xf>
    <xf numFmtId="2" fontId="21" fillId="4" borderId="1" xfId="8" applyNumberFormat="1" applyFont="1" applyFill="1" applyBorder="1" applyAlignment="1">
      <alignment horizontal="right" vertical="center"/>
    </xf>
    <xf numFmtId="165" fontId="21" fillId="4" borderId="0" xfId="8" applyNumberFormat="1" applyFont="1" applyFill="1" applyBorder="1" applyAlignment="1">
      <alignment horizontal="right" vertical="center"/>
    </xf>
    <xf numFmtId="165" fontId="21" fillId="4" borderId="1" xfId="8" applyNumberFormat="1" applyFont="1" applyFill="1" applyBorder="1" applyAlignment="1">
      <alignment horizontal="right" vertical="center"/>
    </xf>
    <xf numFmtId="165" fontId="21" fillId="4" borderId="18" xfId="8" applyNumberFormat="1" applyFont="1" applyFill="1" applyBorder="1" applyAlignment="1">
      <alignment horizontal="right" vertical="center"/>
    </xf>
    <xf numFmtId="165" fontId="21" fillId="4" borderId="14" xfId="8" applyNumberFormat="1" applyFont="1" applyFill="1" applyBorder="1" applyAlignment="1">
      <alignment horizontal="right" vertical="center"/>
    </xf>
    <xf numFmtId="165" fontId="21" fillId="4" borderId="0" xfId="9" applyNumberFormat="1" applyFont="1" applyFill="1" applyBorder="1" applyAlignment="1">
      <alignment horizontal="right" vertical="top"/>
    </xf>
    <xf numFmtId="165" fontId="21" fillId="4" borderId="0" xfId="10" applyNumberFormat="1" applyFont="1" applyFill="1" applyBorder="1" applyAlignment="1">
      <alignment horizontal="right" vertical="top"/>
    </xf>
    <xf numFmtId="165" fontId="21" fillId="4" borderId="1" xfId="10" applyNumberFormat="1" applyFont="1" applyFill="1" applyBorder="1" applyAlignment="1">
      <alignment horizontal="right" vertical="top"/>
    </xf>
    <xf numFmtId="2" fontId="21" fillId="4" borderId="0" xfId="9" applyNumberFormat="1" applyFont="1" applyFill="1" applyBorder="1" applyAlignment="1">
      <alignment horizontal="right" vertical="top"/>
    </xf>
    <xf numFmtId="2" fontId="21" fillId="4" borderId="0" xfId="8" applyNumberFormat="1" applyFont="1" applyFill="1" applyBorder="1" applyAlignment="1">
      <alignment horizontal="right" vertical="top"/>
    </xf>
    <xf numFmtId="2" fontId="21" fillId="4" borderId="1" xfId="8" applyNumberFormat="1" applyFont="1" applyFill="1" applyBorder="1" applyAlignment="1">
      <alignment horizontal="right" vertical="top"/>
    </xf>
    <xf numFmtId="165" fontId="21" fillId="4" borderId="0" xfId="8" applyNumberFormat="1" applyFont="1" applyFill="1" applyBorder="1" applyAlignment="1">
      <alignment horizontal="right" vertical="top"/>
    </xf>
    <xf numFmtId="165" fontId="21" fillId="4" borderId="1" xfId="8" applyNumberFormat="1" applyFont="1" applyFill="1" applyBorder="1" applyAlignment="1">
      <alignment horizontal="right" vertical="top"/>
    </xf>
    <xf numFmtId="165" fontId="21" fillId="4" borderId="18" xfId="9" applyNumberFormat="1" applyFont="1" applyFill="1" applyBorder="1" applyAlignment="1">
      <alignment horizontal="right" vertical="top"/>
    </xf>
    <xf numFmtId="165" fontId="21" fillId="4" borderId="18" xfId="8" applyNumberFormat="1" applyFont="1" applyFill="1" applyBorder="1" applyAlignment="1">
      <alignment horizontal="right" vertical="top"/>
    </xf>
    <xf numFmtId="165" fontId="21" fillId="4" borderId="14" xfId="8" applyNumberFormat="1" applyFont="1" applyFill="1" applyBorder="1" applyAlignment="1">
      <alignment horizontal="right" vertical="top"/>
    </xf>
    <xf numFmtId="4" fontId="9" fillId="2" borderId="1" xfId="4" applyNumberFormat="1" applyFont="1" applyFill="1" applyBorder="1" applyAlignment="1">
      <alignment horizontal="right"/>
    </xf>
    <xf numFmtId="170" fontId="9" fillId="2" borderId="1" xfId="4" applyNumberFormat="1" applyFont="1" applyFill="1" applyBorder="1" applyAlignment="1">
      <alignment horizontal="right"/>
    </xf>
    <xf numFmtId="0" fontId="12" fillId="2" borderId="0" xfId="0" applyFont="1" applyFill="1" applyBorder="1" applyAlignment="1">
      <alignment horizontal="left" vertical="top" wrapText="1"/>
    </xf>
    <xf numFmtId="4" fontId="9" fillId="2" borderId="0" xfId="4" applyNumberFormat="1" applyFont="1" applyFill="1" applyBorder="1" applyAlignment="1">
      <alignment horizontal="right"/>
    </xf>
    <xf numFmtId="4" fontId="9" fillId="2" borderId="0" xfId="0" applyNumberFormat="1" applyFont="1" applyFill="1" applyBorder="1" applyAlignment="1">
      <alignment horizontal="right"/>
    </xf>
    <xf numFmtId="165" fontId="9" fillId="2" borderId="1" xfId="2" applyNumberFormat="1" applyFont="1" applyFill="1" applyBorder="1" applyAlignment="1">
      <alignment horizontal="right"/>
    </xf>
    <xf numFmtId="165" fontId="9" fillId="2" borderId="14" xfId="2" applyNumberFormat="1" applyFont="1" applyFill="1" applyBorder="1" applyAlignment="1">
      <alignment horizontal="right"/>
    </xf>
    <xf numFmtId="0" fontId="9" fillId="2" borderId="0" xfId="0" applyFont="1" applyFill="1" applyBorder="1" applyAlignment="1">
      <alignment horizontal="left" vertical="center" wrapText="1"/>
    </xf>
    <xf numFmtId="0" fontId="9" fillId="2" borderId="0" xfId="0" applyFont="1" applyFill="1" applyBorder="1" applyAlignment="1">
      <alignment horizontal="left" indent="3"/>
    </xf>
    <xf numFmtId="9" fontId="9" fillId="2" borderId="0" xfId="2" applyFont="1" applyFill="1" applyBorder="1"/>
    <xf numFmtId="170" fontId="9" fillId="2" borderId="0" xfId="4" applyNumberFormat="1" applyFont="1" applyFill="1" applyBorder="1" applyAlignment="1">
      <alignment horizontal="right"/>
    </xf>
    <xf numFmtId="170" fontId="9" fillId="2" borderId="0" xfId="0" applyNumberFormat="1" applyFont="1" applyFill="1" applyBorder="1" applyAlignment="1"/>
    <xf numFmtId="165" fontId="9" fillId="2" borderId="0" xfId="2" applyNumberFormat="1" applyFont="1" applyFill="1" applyBorder="1"/>
    <xf numFmtId="3" fontId="9" fillId="2" borderId="0" xfId="4" applyNumberFormat="1" applyFont="1" applyFill="1" applyBorder="1" applyAlignment="1">
      <alignment horizontal="right"/>
    </xf>
    <xf numFmtId="0" fontId="31" fillId="2" borderId="0" xfId="0" applyFont="1" applyFill="1" applyBorder="1" applyAlignment="1">
      <alignment horizontal="left" vertical="center"/>
    </xf>
    <xf numFmtId="0" fontId="9" fillId="2" borderId="9" xfId="0" applyFont="1" applyFill="1" applyBorder="1" applyAlignment="1">
      <alignment horizontal="left" indent="3"/>
    </xf>
    <xf numFmtId="4" fontId="9" fillId="2" borderId="9" xfId="0" applyNumberFormat="1" applyFont="1" applyFill="1" applyBorder="1" applyAlignment="1">
      <alignment horizontal="right"/>
    </xf>
    <xf numFmtId="170" fontId="9" fillId="2" borderId="9" xfId="4" applyNumberFormat="1" applyFont="1" applyFill="1" applyBorder="1" applyAlignment="1">
      <alignment horizontal="right"/>
    </xf>
    <xf numFmtId="165" fontId="9" fillId="2" borderId="18" xfId="2" applyNumberFormat="1" applyFont="1" applyFill="1" applyBorder="1" applyAlignment="1">
      <alignment horizontal="right"/>
    </xf>
    <xf numFmtId="4" fontId="9" fillId="2" borderId="1" xfId="0" applyNumberFormat="1" applyFont="1" applyFill="1" applyBorder="1" applyAlignment="1">
      <alignment horizontal="right"/>
    </xf>
    <xf numFmtId="4" fontId="9" fillId="2" borderId="11" xfId="0" applyNumberFormat="1" applyFont="1" applyFill="1" applyBorder="1" applyAlignment="1">
      <alignment horizontal="right"/>
    </xf>
    <xf numFmtId="170" fontId="9" fillId="2" borderId="11" xfId="4" applyNumberFormat="1" applyFont="1" applyFill="1" applyBorder="1" applyAlignment="1">
      <alignment horizontal="right"/>
    </xf>
    <xf numFmtId="3" fontId="9" fillId="2" borderId="1" xfId="4" applyNumberFormat="1" applyFont="1" applyFill="1" applyBorder="1" applyAlignment="1">
      <alignment horizontal="right"/>
    </xf>
    <xf numFmtId="170" fontId="9" fillId="2" borderId="1" xfId="0" applyNumberFormat="1" applyFont="1" applyFill="1" applyBorder="1" applyAlignment="1"/>
    <xf numFmtId="0" fontId="15" fillId="2" borderId="0" xfId="0" applyFont="1" applyFill="1" applyBorder="1" applyAlignment="1">
      <alignment vertical="center"/>
    </xf>
    <xf numFmtId="4" fontId="9" fillId="2" borderId="13" xfId="0" applyNumberFormat="1" applyFont="1" applyFill="1" applyBorder="1" applyAlignment="1">
      <alignment horizontal="right"/>
    </xf>
    <xf numFmtId="174" fontId="9" fillId="2" borderId="0" xfId="0" applyNumberFormat="1" applyFont="1" applyFill="1" applyBorder="1" applyAlignment="1"/>
    <xf numFmtId="1" fontId="9" fillId="2" borderId="0" xfId="0" applyNumberFormat="1" applyFont="1" applyFill="1" applyBorder="1" applyAlignment="1"/>
    <xf numFmtId="1" fontId="9" fillId="2" borderId="0" xfId="0" applyNumberFormat="1" applyFont="1" applyFill="1" applyBorder="1" applyAlignment="1">
      <alignment horizontal="right"/>
    </xf>
    <xf numFmtId="1" fontId="9" fillId="2" borderId="1" xfId="0" applyNumberFormat="1" applyFont="1" applyFill="1" applyBorder="1" applyAlignment="1">
      <alignment horizontal="right"/>
    </xf>
    <xf numFmtId="1" fontId="9" fillId="2" borderId="0" xfId="0" applyNumberFormat="1" applyFont="1" applyFill="1" applyBorder="1"/>
    <xf numFmtId="1" fontId="9" fillId="2" borderId="1" xfId="0" applyNumberFormat="1" applyFont="1" applyFill="1" applyBorder="1"/>
    <xf numFmtId="0" fontId="20" fillId="2" borderId="0" xfId="0" applyFont="1" applyFill="1" applyBorder="1"/>
    <xf numFmtId="170" fontId="9" fillId="2" borderId="9" xfId="0" applyNumberFormat="1" applyFont="1" applyFill="1" applyBorder="1" applyAlignment="1"/>
    <xf numFmtId="170" fontId="9" fillId="2" borderId="9" xfId="0" applyNumberFormat="1" applyFont="1" applyFill="1" applyBorder="1" applyAlignment="1">
      <alignment horizontal="right"/>
    </xf>
    <xf numFmtId="170" fontId="9" fillId="2" borderId="11" xfId="0" applyNumberFormat="1" applyFont="1" applyFill="1" applyBorder="1" applyAlignment="1">
      <alignment horizontal="right"/>
    </xf>
    <xf numFmtId="0" fontId="43" fillId="2" borderId="0" xfId="5" applyFont="1" applyFill="1" applyBorder="1" applyAlignment="1"/>
    <xf numFmtId="165" fontId="12" fillId="2" borderId="0" xfId="2" applyNumberFormat="1" applyFont="1" applyFill="1" applyBorder="1" applyAlignment="1">
      <alignment horizontal="right"/>
    </xf>
    <xf numFmtId="0" fontId="12" fillId="2" borderId="0" xfId="0" applyFont="1" applyFill="1" applyBorder="1" applyAlignment="1">
      <alignment horizontal="left" vertical="top"/>
    </xf>
    <xf numFmtId="0" fontId="12" fillId="2" borderId="0" xfId="0" applyFont="1" applyFill="1" applyBorder="1" applyAlignment="1">
      <alignment vertical="top"/>
    </xf>
    <xf numFmtId="0" fontId="43" fillId="2" borderId="0" xfId="5" applyFont="1" applyFill="1" applyBorder="1" applyAlignment="1">
      <alignment horizontal="left" vertical="top"/>
    </xf>
    <xf numFmtId="0" fontId="43" fillId="2" borderId="0" xfId="5" applyFont="1" applyFill="1" applyBorder="1" applyAlignment="1">
      <alignment vertical="top"/>
    </xf>
    <xf numFmtId="0" fontId="12" fillId="2" borderId="0" xfId="0" applyFont="1" applyFill="1" applyBorder="1" applyAlignment="1">
      <alignment horizontal="left"/>
    </xf>
    <xf numFmtId="9" fontId="9" fillId="2" borderId="0" xfId="2" applyNumberFormat="1" applyFont="1" applyFill="1" applyBorder="1" applyAlignment="1">
      <alignment horizontal="right"/>
    </xf>
    <xf numFmtId="4" fontId="9" fillId="5" borderId="0" xfId="0" applyNumberFormat="1" applyFont="1" applyFill="1" applyBorder="1" applyAlignment="1">
      <alignment horizontal="right"/>
    </xf>
    <xf numFmtId="4" fontId="9" fillId="5" borderId="1" xfId="0" applyNumberFormat="1" applyFont="1" applyFill="1" applyBorder="1" applyAlignment="1">
      <alignment horizontal="right"/>
    </xf>
    <xf numFmtId="176" fontId="9" fillId="2" borderId="1" xfId="0" applyNumberFormat="1" applyFont="1" applyFill="1" applyBorder="1" applyAlignment="1">
      <alignment horizontal="right"/>
    </xf>
    <xf numFmtId="4" fontId="9" fillId="2" borderId="11" xfId="11" applyNumberFormat="1" applyFont="1" applyFill="1" applyBorder="1" applyAlignment="1">
      <alignment horizontal="right"/>
    </xf>
    <xf numFmtId="9" fontId="9" fillId="2" borderId="0" xfId="2" applyFont="1" applyFill="1" applyBorder="1" applyAlignment="1"/>
    <xf numFmtId="0" fontId="9" fillId="2" borderId="0" xfId="0" applyFont="1" applyFill="1" applyBorder="1" applyAlignment="1">
      <alignment vertical="center"/>
    </xf>
    <xf numFmtId="0" fontId="9" fillId="2" borderId="0" xfId="0" applyFont="1" applyFill="1" applyBorder="1" applyAlignment="1">
      <alignment vertical="top"/>
    </xf>
    <xf numFmtId="3" fontId="9" fillId="2" borderId="0" xfId="0" applyNumberFormat="1" applyFont="1" applyFill="1" applyBorder="1" applyAlignment="1">
      <alignment vertical="top"/>
    </xf>
    <xf numFmtId="3" fontId="9" fillId="2" borderId="0" xfId="0" applyNumberFormat="1" applyFont="1" applyFill="1" applyBorder="1" applyAlignment="1"/>
    <xf numFmtId="176" fontId="9" fillId="2" borderId="0" xfId="0" applyNumberFormat="1" applyFont="1" applyFill="1" applyBorder="1" applyAlignment="1">
      <alignment horizontal="right"/>
    </xf>
    <xf numFmtId="0" fontId="9" fillId="2" borderId="0" xfId="11" applyNumberFormat="1" applyFont="1" applyFill="1" applyBorder="1" applyAlignment="1">
      <alignment horizontal="right"/>
    </xf>
    <xf numFmtId="3" fontId="9" fillId="2" borderId="9" xfId="0" applyNumberFormat="1" applyFont="1" applyFill="1" applyBorder="1" applyAlignment="1"/>
    <xf numFmtId="3" fontId="9" fillId="2" borderId="1" xfId="0" applyNumberFormat="1" applyFont="1" applyFill="1" applyBorder="1" applyAlignment="1">
      <alignment vertical="top"/>
    </xf>
    <xf numFmtId="3" fontId="9" fillId="2" borderId="1" xfId="0" applyNumberFormat="1" applyFont="1" applyFill="1" applyBorder="1" applyAlignment="1"/>
    <xf numFmtId="3" fontId="9" fillId="2" borderId="11" xfId="0" applyNumberFormat="1" applyFont="1" applyFill="1" applyBorder="1" applyAlignment="1"/>
    <xf numFmtId="9" fontId="9" fillId="2" borderId="1" xfId="2" applyNumberFormat="1" applyFont="1" applyFill="1" applyBorder="1" applyAlignment="1">
      <alignment horizontal="right"/>
    </xf>
    <xf numFmtId="9" fontId="9" fillId="2" borderId="18" xfId="2" applyNumberFormat="1" applyFont="1" applyFill="1" applyBorder="1" applyAlignment="1">
      <alignment horizontal="right"/>
    </xf>
    <xf numFmtId="9" fontId="9" fillId="2" borderId="14" xfId="2" applyNumberFormat="1" applyFont="1" applyFill="1" applyBorder="1" applyAlignment="1">
      <alignment horizontal="right"/>
    </xf>
    <xf numFmtId="2" fontId="9" fillId="2" borderId="9" xfId="0" applyNumberFormat="1" applyFont="1" applyFill="1" applyBorder="1" applyAlignment="1"/>
    <xf numFmtId="1" fontId="9" fillId="2" borderId="0" xfId="0" applyNumberFormat="1" applyFont="1" applyFill="1" applyBorder="1" applyAlignment="1">
      <alignment vertical="top"/>
    </xf>
    <xf numFmtId="1" fontId="9" fillId="2" borderId="9" xfId="0" applyNumberFormat="1" applyFont="1" applyFill="1" applyBorder="1" applyAlignment="1"/>
    <xf numFmtId="1" fontId="9" fillId="2" borderId="0" xfId="11" applyNumberFormat="1" applyFont="1" applyFill="1" applyBorder="1" applyAlignment="1">
      <alignment horizontal="right"/>
    </xf>
    <xf numFmtId="1" fontId="9" fillId="2" borderId="1" xfId="11" applyNumberFormat="1" applyFont="1" applyFill="1" applyBorder="1" applyAlignment="1">
      <alignment horizontal="right"/>
    </xf>
    <xf numFmtId="1" fontId="9" fillId="2" borderId="13" xfId="0" applyNumberFormat="1" applyFont="1" applyFill="1" applyBorder="1" applyAlignment="1">
      <alignment vertical="top"/>
    </xf>
    <xf numFmtId="1" fontId="9" fillId="2" borderId="1" xfId="0" applyNumberFormat="1" applyFont="1" applyFill="1" applyBorder="1" applyAlignment="1">
      <alignment vertical="top"/>
    </xf>
    <xf numFmtId="1" fontId="9" fillId="2" borderId="1" xfId="0" applyNumberFormat="1" applyFont="1" applyFill="1" applyBorder="1" applyAlignment="1"/>
    <xf numFmtId="1" fontId="9" fillId="2" borderId="11" xfId="0" applyNumberFormat="1" applyFont="1" applyFill="1" applyBorder="1" applyAlignment="1"/>
    <xf numFmtId="3" fontId="9" fillId="2" borderId="13" xfId="0" applyNumberFormat="1" applyFont="1" applyFill="1" applyBorder="1" applyAlignment="1">
      <alignment horizontal="right"/>
    </xf>
    <xf numFmtId="0" fontId="9" fillId="2" borderId="1" xfId="11" applyNumberFormat="1" applyFont="1" applyFill="1" applyBorder="1" applyAlignment="1">
      <alignment horizontal="right"/>
    </xf>
    <xf numFmtId="4" fontId="9" fillId="2" borderId="9" xfId="11" applyNumberFormat="1" applyFont="1" applyFill="1" applyBorder="1" applyAlignment="1">
      <alignment horizontal="right"/>
    </xf>
    <xf numFmtId="1" fontId="9" fillId="2" borderId="9" xfId="11" applyNumberFormat="1" applyFont="1" applyFill="1" applyBorder="1" applyAlignment="1">
      <alignment horizontal="right"/>
    </xf>
    <xf numFmtId="1" fontId="9" fillId="2" borderId="11" xfId="11" applyNumberFormat="1" applyFont="1" applyFill="1" applyBorder="1" applyAlignment="1">
      <alignment horizontal="right"/>
    </xf>
    <xf numFmtId="3" fontId="9" fillId="5" borderId="0" xfId="0" applyNumberFormat="1" applyFont="1" applyFill="1" applyBorder="1" applyAlignment="1"/>
    <xf numFmtId="3" fontId="9" fillId="5" borderId="1" xfId="0" applyNumberFormat="1" applyFont="1" applyFill="1" applyBorder="1" applyAlignment="1"/>
    <xf numFmtId="3" fontId="9" fillId="5" borderId="0" xfId="0" applyNumberFormat="1" applyFont="1" applyFill="1" applyBorder="1" applyAlignment="1">
      <alignment vertical="top"/>
    </xf>
    <xf numFmtId="3" fontId="9" fillId="5" borderId="1" xfId="0" applyNumberFormat="1" applyFont="1" applyFill="1" applyBorder="1" applyAlignment="1">
      <alignment vertical="top"/>
    </xf>
    <xf numFmtId="3" fontId="0" fillId="0" borderId="0" xfId="0" applyNumberFormat="1"/>
    <xf numFmtId="167" fontId="9" fillId="2" borderId="0" xfId="1" applyNumberFormat="1" applyFont="1" applyFill="1" applyBorder="1" applyAlignment="1">
      <alignment horizontal="right"/>
    </xf>
    <xf numFmtId="178" fontId="9" fillId="2" borderId="0" xfId="0" applyNumberFormat="1" applyFont="1" applyFill="1" applyBorder="1" applyAlignment="1"/>
    <xf numFmtId="167" fontId="9" fillId="2" borderId="1" xfId="1" applyNumberFormat="1" applyFont="1" applyFill="1" applyBorder="1" applyAlignment="1">
      <alignment horizontal="right"/>
    </xf>
    <xf numFmtId="166" fontId="9" fillId="2" borderId="0" xfId="1" applyNumberFormat="1" applyFont="1" applyFill="1" applyBorder="1" applyAlignment="1">
      <alignment horizontal="right"/>
    </xf>
    <xf numFmtId="166" fontId="9" fillId="2" borderId="1" xfId="1" applyNumberFormat="1" applyFont="1" applyFill="1" applyBorder="1" applyAlignment="1">
      <alignment horizontal="right"/>
    </xf>
    <xf numFmtId="166" fontId="9" fillId="2" borderId="0" xfId="0" applyNumberFormat="1" applyFont="1" applyFill="1" applyBorder="1" applyAlignment="1">
      <alignment horizontal="right"/>
    </xf>
    <xf numFmtId="166" fontId="9" fillId="2" borderId="1" xfId="0" applyNumberFormat="1" applyFont="1" applyFill="1" applyBorder="1" applyAlignment="1">
      <alignment horizontal="right"/>
    </xf>
    <xf numFmtId="166" fontId="9" fillId="2" borderId="9" xfId="0" applyNumberFormat="1" applyFont="1" applyFill="1" applyBorder="1" applyAlignment="1">
      <alignment horizontal="right"/>
    </xf>
    <xf numFmtId="166" fontId="9" fillId="2" borderId="9" xfId="1" applyNumberFormat="1" applyFont="1" applyFill="1" applyBorder="1" applyAlignment="1">
      <alignment horizontal="right"/>
    </xf>
    <xf numFmtId="166" fontId="9" fillId="2" borderId="11" xfId="0" applyNumberFormat="1" applyFont="1" applyFill="1" applyBorder="1" applyAlignment="1">
      <alignment horizontal="right"/>
    </xf>
    <xf numFmtId="166" fontId="9" fillId="2" borderId="11" xfId="1" applyNumberFormat="1" applyFont="1" applyFill="1" applyBorder="1" applyAlignment="1">
      <alignment horizontal="right"/>
    </xf>
    <xf numFmtId="180" fontId="0" fillId="2" borderId="0" xfId="0" applyNumberFormat="1" applyFont="1" applyFill="1" applyBorder="1"/>
    <xf numFmtId="180" fontId="0" fillId="2" borderId="1" xfId="0" applyNumberFormat="1" applyFont="1" applyFill="1" applyBorder="1"/>
    <xf numFmtId="180" fontId="0" fillId="2" borderId="0" xfId="12" applyNumberFormat="1" applyFont="1" applyFill="1" applyBorder="1" applyAlignment="1">
      <alignment horizontal="right"/>
    </xf>
    <xf numFmtId="180" fontId="0" fillId="2" borderId="1" xfId="12" applyNumberFormat="1" applyFont="1" applyFill="1" applyBorder="1" applyAlignment="1">
      <alignment horizontal="right"/>
    </xf>
    <xf numFmtId="180" fontId="0" fillId="2" borderId="9" xfId="12" applyNumberFormat="1" applyFont="1" applyFill="1" applyBorder="1" applyAlignment="1">
      <alignment horizontal="right"/>
    </xf>
    <xf numFmtId="180" fontId="0" fillId="2" borderId="11" xfId="12" applyNumberFormat="1" applyFont="1" applyFill="1" applyBorder="1" applyAlignment="1">
      <alignment horizontal="right"/>
    </xf>
    <xf numFmtId="3" fontId="9" fillId="5" borderId="0" xfId="0" applyNumberFormat="1" applyFont="1" applyFill="1" applyBorder="1" applyAlignment="1">
      <alignment horizontal="right"/>
    </xf>
    <xf numFmtId="3" fontId="9" fillId="5" borderId="1" xfId="0" applyNumberFormat="1" applyFont="1" applyFill="1" applyBorder="1" applyAlignment="1">
      <alignment horizontal="right"/>
    </xf>
    <xf numFmtId="3" fontId="9" fillId="2" borderId="9" xfId="0" applyNumberFormat="1" applyFont="1" applyFill="1" applyBorder="1" applyAlignment="1">
      <alignment horizontal="right"/>
    </xf>
    <xf numFmtId="3" fontId="9" fillId="2" borderId="11" xfId="0" applyNumberFormat="1" applyFont="1" applyFill="1" applyBorder="1" applyAlignment="1">
      <alignment horizontal="right"/>
    </xf>
    <xf numFmtId="3" fontId="9" fillId="2" borderId="9" xfId="4" applyNumberFormat="1" applyFont="1" applyFill="1" applyBorder="1" applyAlignment="1">
      <alignment horizontal="right"/>
    </xf>
    <xf numFmtId="3" fontId="9" fillId="2" borderId="11" xfId="4" applyNumberFormat="1" applyFont="1" applyFill="1" applyBorder="1" applyAlignment="1">
      <alignment horizontal="right"/>
    </xf>
    <xf numFmtId="3" fontId="9" fillId="2" borderId="9" xfId="1" applyNumberFormat="1" applyFont="1" applyFill="1" applyBorder="1" applyAlignment="1">
      <alignment horizontal="right"/>
    </xf>
    <xf numFmtId="3" fontId="9" fillId="2" borderId="11" xfId="1" applyNumberFormat="1" applyFont="1" applyFill="1" applyBorder="1" applyAlignment="1">
      <alignment horizontal="right"/>
    </xf>
    <xf numFmtId="166" fontId="9" fillId="5" borderId="0" xfId="1" applyNumberFormat="1" applyFont="1" applyFill="1" applyBorder="1" applyAlignment="1">
      <alignment horizontal="right"/>
    </xf>
    <xf numFmtId="166" fontId="9" fillId="5" borderId="1" xfId="1" applyNumberFormat="1" applyFont="1" applyFill="1" applyBorder="1" applyAlignment="1">
      <alignment horizontal="right"/>
    </xf>
    <xf numFmtId="167" fontId="9" fillId="5" borderId="0" xfId="1" applyNumberFormat="1" applyFont="1" applyFill="1" applyBorder="1" applyAlignment="1">
      <alignment horizontal="right"/>
    </xf>
    <xf numFmtId="167" fontId="9" fillId="5" borderId="1" xfId="1" applyNumberFormat="1" applyFont="1" applyFill="1" applyBorder="1" applyAlignment="1">
      <alignment horizontal="right"/>
    </xf>
    <xf numFmtId="167" fontId="0" fillId="0" borderId="0" xfId="0" applyNumberFormat="1"/>
    <xf numFmtId="0" fontId="1" fillId="2" borderId="0" xfId="3" applyFont="1" applyFill="1" applyBorder="1" applyAlignment="1"/>
    <xf numFmtId="3" fontId="1" fillId="2" borderId="0" xfId="3" applyNumberFormat="1" applyFont="1" applyFill="1" applyBorder="1" applyAlignment="1">
      <alignment horizontal="right"/>
    </xf>
    <xf numFmtId="0" fontId="5" fillId="2" borderId="0" xfId="3" applyFont="1" applyFill="1" applyBorder="1" applyAlignment="1"/>
    <xf numFmtId="3" fontId="1" fillId="2" borderId="0" xfId="17" applyNumberFormat="1" applyFont="1" applyFill="1" applyBorder="1" applyAlignment="1">
      <alignment horizontal="right"/>
    </xf>
    <xf numFmtId="3" fontId="1" fillId="2" borderId="0" xfId="17" applyNumberFormat="1" applyFont="1" applyFill="1" applyBorder="1" applyAlignment="1"/>
    <xf numFmtId="3" fontId="9" fillId="2" borderId="0" xfId="17" applyNumberFormat="1" applyFont="1" applyFill="1" applyBorder="1" applyAlignment="1">
      <alignment horizontal="right"/>
    </xf>
    <xf numFmtId="172" fontId="1" fillId="2" borderId="0" xfId="17" applyNumberFormat="1" applyFont="1" applyFill="1" applyBorder="1" applyAlignment="1">
      <alignment horizontal="right"/>
    </xf>
    <xf numFmtId="166" fontId="1" fillId="2" borderId="0" xfId="17" applyNumberFormat="1" applyFont="1" applyFill="1" applyBorder="1" applyAlignment="1">
      <alignment horizontal="right"/>
    </xf>
    <xf numFmtId="165" fontId="1" fillId="2" borderId="0" xfId="18" applyNumberFormat="1" applyFont="1" applyFill="1" applyBorder="1" applyAlignment="1">
      <alignment horizontal="right"/>
    </xf>
    <xf numFmtId="3" fontId="1" fillId="2" borderId="1" xfId="17" applyNumberFormat="1" applyFont="1" applyFill="1" applyBorder="1" applyAlignment="1"/>
    <xf numFmtId="3" fontId="1" fillId="2" borderId="1" xfId="17" applyNumberFormat="1" applyFont="1" applyFill="1" applyBorder="1" applyAlignment="1">
      <alignment horizontal="right"/>
    </xf>
    <xf numFmtId="3" fontId="9" fillId="2" borderId="1" xfId="17" applyNumberFormat="1" applyFont="1" applyFill="1" applyBorder="1" applyAlignment="1">
      <alignment horizontal="right"/>
    </xf>
    <xf numFmtId="165" fontId="1" fillId="2" borderId="18" xfId="18" applyNumberFormat="1" applyFont="1" applyFill="1" applyBorder="1" applyAlignment="1">
      <alignment horizontal="right"/>
    </xf>
    <xf numFmtId="166" fontId="1" fillId="2" borderId="1" xfId="17" applyNumberFormat="1" applyFont="1" applyFill="1" applyBorder="1" applyAlignment="1">
      <alignment horizontal="right"/>
    </xf>
    <xf numFmtId="3" fontId="1" fillId="2" borderId="1" xfId="3" applyNumberFormat="1" applyFont="1" applyFill="1" applyBorder="1" applyAlignment="1">
      <alignment horizontal="right"/>
    </xf>
    <xf numFmtId="165" fontId="1" fillId="2" borderId="14" xfId="18" applyNumberFormat="1" applyFont="1" applyFill="1" applyBorder="1" applyAlignment="1">
      <alignment horizontal="right"/>
    </xf>
    <xf numFmtId="3" fontId="1" fillId="2" borderId="9" xfId="17" applyNumberFormat="1" applyFont="1" applyFill="1" applyBorder="1" applyAlignment="1">
      <alignment horizontal="right"/>
    </xf>
    <xf numFmtId="3" fontId="1" fillId="2" borderId="11" xfId="17" applyNumberFormat="1" applyFont="1" applyFill="1" applyBorder="1" applyAlignment="1">
      <alignment horizontal="right"/>
    </xf>
    <xf numFmtId="0" fontId="53" fillId="2" borderId="0" xfId="3" applyFont="1" applyFill="1"/>
    <xf numFmtId="0" fontId="53" fillId="2" borderId="0" xfId="3" applyFont="1" applyFill="1" applyBorder="1" applyAlignment="1"/>
    <xf numFmtId="0" fontId="12" fillId="2" borderId="0" xfId="3" applyFont="1" applyFill="1" applyBorder="1" applyAlignment="1"/>
    <xf numFmtId="166" fontId="9" fillId="2" borderId="0" xfId="17" applyNumberFormat="1" applyFont="1" applyFill="1" applyBorder="1" applyAlignment="1">
      <alignment horizontal="right" vertical="center"/>
    </xf>
    <xf numFmtId="165" fontId="1" fillId="2" borderId="1" xfId="18" applyNumberFormat="1" applyFont="1" applyFill="1" applyBorder="1" applyAlignment="1">
      <alignment horizontal="right"/>
    </xf>
    <xf numFmtId="0" fontId="3" fillId="2" borderId="0" xfId="3" applyFont="1" applyFill="1" applyBorder="1" applyAlignment="1">
      <alignment vertical="center" wrapText="1"/>
    </xf>
    <xf numFmtId="0" fontId="9" fillId="2" borderId="0" xfId="3" applyFont="1" applyFill="1"/>
    <xf numFmtId="3" fontId="9" fillId="2" borderId="1" xfId="3" applyNumberFormat="1" applyFont="1" applyFill="1" applyBorder="1" applyAlignment="1">
      <alignment horizontal="right"/>
    </xf>
    <xf numFmtId="3" fontId="54" fillId="2" borderId="0" xfId="16" applyNumberFormat="1" applyFont="1" applyFill="1" applyBorder="1" applyAlignment="1">
      <alignment horizontal="right"/>
    </xf>
    <xf numFmtId="3" fontId="9" fillId="2" borderId="11" xfId="3" applyNumberFormat="1" applyFont="1" applyFill="1" applyBorder="1" applyAlignment="1">
      <alignment horizontal="right"/>
    </xf>
    <xf numFmtId="165" fontId="9" fillId="2" borderId="0" xfId="3" applyNumberFormat="1" applyFont="1" applyFill="1" applyBorder="1" applyAlignment="1">
      <alignment horizontal="right"/>
    </xf>
    <xf numFmtId="165" fontId="9" fillId="2" borderId="1" xfId="3" applyNumberFormat="1" applyFont="1" applyFill="1" applyBorder="1" applyAlignment="1">
      <alignment horizontal="right"/>
    </xf>
    <xf numFmtId="0" fontId="9" fillId="2" borderId="0" xfId="3" applyFont="1" applyFill="1" applyBorder="1" applyAlignment="1"/>
    <xf numFmtId="3" fontId="9" fillId="2" borderId="13" xfId="3" applyNumberFormat="1" applyFont="1" applyFill="1" applyBorder="1" applyAlignment="1">
      <alignment horizontal="right"/>
    </xf>
    <xf numFmtId="3" fontId="9" fillId="2" borderId="0" xfId="3" applyNumberFormat="1" applyFont="1" applyFill="1" applyBorder="1" applyAlignment="1">
      <alignment horizontal="right"/>
    </xf>
    <xf numFmtId="3" fontId="9" fillId="2" borderId="9" xfId="3" applyNumberFormat="1" applyFont="1" applyFill="1" applyBorder="1" applyAlignment="1"/>
    <xf numFmtId="3" fontId="9" fillId="2" borderId="11" xfId="3" applyNumberFormat="1" applyFont="1" applyFill="1" applyBorder="1" applyAlignment="1"/>
    <xf numFmtId="165" fontId="1" fillId="2" borderId="0" xfId="3" applyNumberFormat="1" applyFont="1" applyFill="1" applyBorder="1" applyAlignment="1">
      <alignment horizontal="right"/>
    </xf>
    <xf numFmtId="165" fontId="1" fillId="2" borderId="1" xfId="3" applyNumberFormat="1" applyFont="1" applyFill="1" applyBorder="1" applyAlignment="1">
      <alignment horizontal="right"/>
    </xf>
    <xf numFmtId="3" fontId="9" fillId="2" borderId="9" xfId="3" applyNumberFormat="1" applyFont="1" applyFill="1" applyBorder="1" applyAlignment="1">
      <alignment horizontal="right"/>
    </xf>
    <xf numFmtId="0" fontId="9" fillId="2" borderId="9" xfId="3" applyFont="1" applyFill="1" applyBorder="1" applyAlignment="1"/>
    <xf numFmtId="0" fontId="0" fillId="2" borderId="0" xfId="3" applyFont="1" applyFill="1" applyBorder="1" applyAlignment="1"/>
    <xf numFmtId="3" fontId="5" fillId="0" borderId="0" xfId="3" applyNumberFormat="1"/>
    <xf numFmtId="175" fontId="9" fillId="2" borderId="0" xfId="0" applyNumberFormat="1" applyFont="1" applyFill="1" applyBorder="1" applyAlignment="1"/>
    <xf numFmtId="165" fontId="9" fillId="2" borderId="0" xfId="2" applyNumberFormat="1" applyFont="1" applyFill="1" applyBorder="1" applyAlignment="1"/>
    <xf numFmtId="0" fontId="9" fillId="2" borderId="0" xfId="0" applyFont="1" applyFill="1" applyBorder="1" applyAlignment="1">
      <alignment horizontal="left"/>
    </xf>
    <xf numFmtId="173" fontId="9" fillId="2" borderId="0" xfId="0" applyNumberFormat="1" applyFont="1" applyFill="1" applyBorder="1" applyAlignment="1"/>
    <xf numFmtId="43" fontId="9" fillId="2" borderId="0" xfId="0" applyNumberFormat="1" applyFont="1" applyFill="1" applyBorder="1" applyAlignment="1"/>
    <xf numFmtId="0" fontId="9" fillId="2" borderId="0" xfId="0" applyFont="1" applyFill="1" applyBorder="1" applyAlignment="1">
      <alignment horizontal="left" vertical="center"/>
    </xf>
    <xf numFmtId="175" fontId="9" fillId="2" borderId="1" xfId="0" applyNumberFormat="1" applyFont="1" applyFill="1" applyBorder="1" applyAlignment="1"/>
    <xf numFmtId="174" fontId="9" fillId="2" borderId="1" xfId="0" applyNumberFormat="1" applyFont="1" applyFill="1" applyBorder="1" applyAlignment="1"/>
    <xf numFmtId="165" fontId="9" fillId="2" borderId="1" xfId="2" applyNumberFormat="1" applyFont="1" applyFill="1" applyBorder="1" applyAlignment="1"/>
    <xf numFmtId="2" fontId="9" fillId="2" borderId="11" xfId="0" applyNumberFormat="1" applyFont="1" applyFill="1" applyBorder="1" applyAlignment="1"/>
    <xf numFmtId="1" fontId="9" fillId="2" borderId="0" xfId="2" applyNumberFormat="1" applyFont="1" applyFill="1" applyBorder="1" applyAlignment="1"/>
    <xf numFmtId="0" fontId="56" fillId="2" borderId="0" xfId="0" applyFont="1" applyFill="1" applyBorder="1" applyAlignment="1">
      <alignment vertical="center" wrapText="1"/>
    </xf>
    <xf numFmtId="0" fontId="57" fillId="2" borderId="0" xfId="0" applyFont="1" applyFill="1"/>
    <xf numFmtId="0" fontId="57" fillId="2" borderId="0" xfId="0" applyFont="1" applyFill="1" applyBorder="1" applyAlignment="1">
      <alignment vertical="center"/>
    </xf>
    <xf numFmtId="0" fontId="58" fillId="2" borderId="0" xfId="0" applyFont="1" applyFill="1" applyBorder="1" applyAlignment="1"/>
    <xf numFmtId="0" fontId="59" fillId="3" borderId="15" xfId="3" applyFont="1" applyFill="1" applyBorder="1" applyAlignment="1">
      <alignment horizontal="center" vertical="center"/>
    </xf>
    <xf numFmtId="0" fontId="59" fillId="3" borderId="12" xfId="3" applyFont="1" applyFill="1" applyBorder="1" applyAlignment="1">
      <alignment horizontal="center" vertical="center"/>
    </xf>
    <xf numFmtId="4" fontId="58" fillId="2" borderId="0" xfId="11" applyNumberFormat="1" applyFont="1" applyFill="1" applyBorder="1" applyAlignment="1">
      <alignment horizontal="right"/>
    </xf>
    <xf numFmtId="4" fontId="58" fillId="2" borderId="13" xfId="0" applyNumberFormat="1" applyFont="1" applyFill="1" applyBorder="1" applyAlignment="1">
      <alignment horizontal="right"/>
    </xf>
    <xf numFmtId="166" fontId="58" fillId="5" borderId="0" xfId="1" applyNumberFormat="1" applyFont="1" applyFill="1" applyBorder="1" applyAlignment="1">
      <alignment horizontal="right"/>
    </xf>
    <xf numFmtId="166" fontId="58" fillId="5" borderId="1" xfId="1" applyNumberFormat="1" applyFont="1" applyFill="1" applyBorder="1" applyAlignment="1">
      <alignment horizontal="right"/>
    </xf>
    <xf numFmtId="41" fontId="58" fillId="2" borderId="0" xfId="11" applyNumberFormat="1" applyFont="1" applyFill="1" applyBorder="1" applyAlignment="1">
      <alignment horizontal="right"/>
    </xf>
    <xf numFmtId="41" fontId="58" fillId="2" borderId="1" xfId="0" applyNumberFormat="1" applyFont="1" applyFill="1" applyBorder="1" applyAlignment="1">
      <alignment horizontal="right"/>
    </xf>
    <xf numFmtId="41" fontId="58" fillId="2" borderId="0" xfId="19" applyNumberFormat="1" applyFont="1" applyFill="1" applyBorder="1" applyAlignment="1"/>
    <xf numFmtId="41" fontId="58" fillId="2" borderId="1" xfId="19" applyNumberFormat="1" applyFont="1" applyFill="1" applyBorder="1" applyAlignment="1">
      <alignment horizontal="right"/>
    </xf>
    <xf numFmtId="41" fontId="58" fillId="2" borderId="0" xfId="19" applyNumberFormat="1" applyFont="1" applyFill="1" applyBorder="1" applyAlignment="1">
      <alignment horizontal="right"/>
    </xf>
    <xf numFmtId="3" fontId="57" fillId="5" borderId="0" xfId="15" applyNumberFormat="1" applyFont="1" applyFill="1" applyBorder="1" applyAlignment="1">
      <alignment horizontal="right" vertical="center"/>
    </xf>
    <xf numFmtId="4" fontId="57" fillId="5" borderId="1" xfId="0" applyNumberFormat="1" applyFont="1" applyFill="1" applyBorder="1" applyAlignment="1">
      <alignment horizontal="right"/>
    </xf>
    <xf numFmtId="4" fontId="58" fillId="2" borderId="0" xfId="11" applyNumberFormat="1" applyFont="1" applyFill="1" applyBorder="1" applyAlignment="1">
      <alignment horizontal="left"/>
    </xf>
    <xf numFmtId="41" fontId="58" fillId="2" borderId="1" xfId="11" applyNumberFormat="1" applyFont="1" applyFill="1" applyBorder="1" applyAlignment="1">
      <alignment horizontal="right"/>
    </xf>
    <xf numFmtId="3" fontId="57" fillId="5" borderId="0" xfId="15" applyNumberFormat="1" applyFont="1" applyFill="1" applyBorder="1" applyAlignment="1">
      <alignment horizontal="right"/>
    </xf>
    <xf numFmtId="3" fontId="57" fillId="5" borderId="1" xfId="15" applyNumberFormat="1" applyFont="1" applyFill="1" applyBorder="1" applyAlignment="1">
      <alignment horizontal="right"/>
    </xf>
    <xf numFmtId="41" fontId="58" fillId="2" borderId="1" xfId="19" applyNumberFormat="1" applyFont="1" applyFill="1" applyBorder="1" applyAlignment="1"/>
    <xf numFmtId="167" fontId="58" fillId="5" borderId="0" xfId="1" applyNumberFormat="1" applyFont="1" applyFill="1" applyBorder="1" applyAlignment="1">
      <alignment horizontal="right"/>
    </xf>
    <xf numFmtId="167" fontId="58" fillId="5" borderId="1" xfId="1" applyNumberFormat="1" applyFont="1" applyFill="1" applyBorder="1" applyAlignment="1">
      <alignment horizontal="right"/>
    </xf>
    <xf numFmtId="0" fontId="58" fillId="2" borderId="9" xfId="0" applyFont="1" applyFill="1" applyBorder="1" applyAlignment="1"/>
    <xf numFmtId="41" fontId="58" fillId="2" borderId="9" xfId="19" applyNumberFormat="1" applyFont="1" applyFill="1" applyBorder="1" applyAlignment="1">
      <alignment horizontal="right"/>
    </xf>
    <xf numFmtId="41" fontId="58" fillId="2" borderId="11" xfId="19" applyNumberFormat="1" applyFont="1" applyFill="1" applyBorder="1" applyAlignment="1">
      <alignment horizontal="right"/>
    </xf>
    <xf numFmtId="0" fontId="60" fillId="2" borderId="8" xfId="0" applyFont="1" applyFill="1" applyBorder="1" applyAlignment="1"/>
    <xf numFmtId="41" fontId="58" fillId="2" borderId="9" xfId="19" applyFont="1" applyFill="1" applyBorder="1" applyAlignment="1">
      <alignment horizontal="right"/>
    </xf>
    <xf numFmtId="41" fontId="58" fillId="2" borderId="11" xfId="19" applyFont="1" applyFill="1" applyBorder="1" applyAlignment="1">
      <alignment horizontal="right"/>
    </xf>
    <xf numFmtId="165" fontId="58" fillId="2" borderId="0" xfId="2" applyNumberFormat="1" applyFont="1" applyFill="1" applyBorder="1" applyAlignment="1">
      <alignment horizontal="right"/>
    </xf>
    <xf numFmtId="165" fontId="58" fillId="2" borderId="1" xfId="2" applyNumberFormat="1" applyFont="1" applyFill="1" applyBorder="1" applyAlignment="1">
      <alignment horizontal="right"/>
    </xf>
    <xf numFmtId="170" fontId="58" fillId="2" borderId="0" xfId="11" applyNumberFormat="1" applyFont="1" applyFill="1" applyBorder="1" applyAlignment="1">
      <alignment horizontal="right"/>
    </xf>
    <xf numFmtId="4" fontId="58" fillId="2" borderId="1" xfId="11" applyNumberFormat="1" applyFont="1" applyFill="1" applyBorder="1" applyAlignment="1">
      <alignment horizontal="right"/>
    </xf>
    <xf numFmtId="9" fontId="58" fillId="2" borderId="0" xfId="2" applyFont="1" applyFill="1" applyBorder="1" applyAlignment="1">
      <alignment horizontal="right"/>
    </xf>
    <xf numFmtId="9" fontId="58" fillId="2" borderId="1" xfId="2" applyFont="1" applyFill="1" applyBorder="1" applyAlignment="1">
      <alignment horizontal="right"/>
    </xf>
    <xf numFmtId="165" fontId="58" fillId="2" borderId="18" xfId="2" applyNumberFormat="1" applyFont="1" applyFill="1" applyBorder="1" applyAlignment="1">
      <alignment horizontal="right"/>
    </xf>
    <xf numFmtId="165" fontId="58" fillId="2" borderId="14" xfId="2" applyNumberFormat="1" applyFont="1" applyFill="1" applyBorder="1" applyAlignment="1">
      <alignment horizontal="right"/>
    </xf>
    <xf numFmtId="170" fontId="58" fillId="2" borderId="0" xfId="0" applyNumberFormat="1" applyFont="1" applyFill="1" applyBorder="1" applyAlignment="1">
      <alignment horizontal="right"/>
    </xf>
    <xf numFmtId="170" fontId="58" fillId="2" borderId="1" xfId="0" applyNumberFormat="1" applyFont="1" applyFill="1" applyBorder="1" applyAlignment="1">
      <alignment horizontal="right"/>
    </xf>
    <xf numFmtId="0" fontId="61" fillId="2" borderId="0" xfId="0" applyFont="1" applyFill="1" applyBorder="1" applyAlignment="1"/>
    <xf numFmtId="3" fontId="62" fillId="2" borderId="0" xfId="0" applyNumberFormat="1" applyFont="1" applyFill="1" applyBorder="1" applyAlignment="1"/>
    <xf numFmtId="0" fontId="58" fillId="2" borderId="0" xfId="0" applyFont="1" applyFill="1" applyBorder="1" applyAlignment="1">
      <alignment vertical="center"/>
    </xf>
    <xf numFmtId="0" fontId="59" fillId="3" borderId="15" xfId="3" quotePrefix="1" applyFont="1" applyFill="1" applyBorder="1" applyAlignment="1">
      <alignment horizontal="center" vertical="center"/>
    </xf>
    <xf numFmtId="0" fontId="59" fillId="3" borderId="12" xfId="3" quotePrefix="1" applyFont="1" applyFill="1" applyBorder="1" applyAlignment="1">
      <alignment horizontal="center" vertical="center"/>
    </xf>
    <xf numFmtId="0" fontId="63" fillId="2" borderId="0" xfId="3" applyFont="1" applyFill="1" applyBorder="1" applyAlignment="1"/>
    <xf numFmtId="171" fontId="58" fillId="2" borderId="0" xfId="11" applyNumberFormat="1" applyFont="1" applyFill="1" applyBorder="1" applyAlignment="1">
      <alignment horizontal="right"/>
    </xf>
    <xf numFmtId="3" fontId="58" fillId="2" borderId="1" xfId="0" applyNumberFormat="1" applyFont="1" applyFill="1" applyBorder="1" applyAlignment="1">
      <alignment horizontal="right"/>
    </xf>
    <xf numFmtId="3" fontId="58" fillId="2" borderId="0" xfId="0" applyNumberFormat="1" applyFont="1" applyFill="1" applyBorder="1" applyAlignment="1">
      <alignment horizontal="right"/>
    </xf>
    <xf numFmtId="4" fontId="58" fillId="2" borderId="1" xfId="0" applyNumberFormat="1" applyFont="1" applyFill="1" applyBorder="1" applyAlignment="1">
      <alignment horizontal="right"/>
    </xf>
    <xf numFmtId="171" fontId="58" fillId="2" borderId="1" xfId="11" applyNumberFormat="1" applyFont="1" applyFill="1" applyBorder="1" applyAlignment="1">
      <alignment horizontal="right"/>
    </xf>
    <xf numFmtId="4" fontId="58" fillId="2" borderId="0" xfId="0" applyNumberFormat="1" applyFont="1" applyFill="1" applyBorder="1" applyAlignment="1">
      <alignment horizontal="right"/>
    </xf>
    <xf numFmtId="3" fontId="58" fillId="2" borderId="0" xfId="11" applyNumberFormat="1" applyFont="1" applyFill="1" applyBorder="1" applyAlignment="1">
      <alignment horizontal="right"/>
    </xf>
    <xf numFmtId="170" fontId="58" fillId="2" borderId="1" xfId="11" applyNumberFormat="1" applyFont="1" applyFill="1" applyBorder="1" applyAlignment="1">
      <alignment horizontal="right"/>
    </xf>
    <xf numFmtId="170" fontId="58" fillId="2" borderId="0" xfId="0" applyNumberFormat="1" applyFont="1" applyFill="1" applyBorder="1" applyAlignment="1"/>
    <xf numFmtId="170" fontId="58" fillId="2" borderId="9" xfId="0" applyNumberFormat="1" applyFont="1" applyFill="1" applyBorder="1" applyAlignment="1">
      <alignment horizontal="right"/>
    </xf>
    <xf numFmtId="170" fontId="58" fillId="2" borderId="9" xfId="11" applyNumberFormat="1" applyFont="1" applyFill="1" applyBorder="1" applyAlignment="1">
      <alignment horizontal="right"/>
    </xf>
    <xf numFmtId="170" fontId="58" fillId="2" borderId="11" xfId="0" applyNumberFormat="1" applyFont="1" applyFill="1" applyBorder="1" applyAlignment="1">
      <alignment horizontal="right"/>
    </xf>
    <xf numFmtId="10" fontId="0" fillId="2" borderId="0" xfId="0" applyNumberFormat="1" applyFont="1" applyFill="1" applyBorder="1"/>
    <xf numFmtId="182" fontId="0" fillId="2" borderId="0" xfId="0" applyNumberFormat="1" applyFont="1" applyFill="1" applyBorder="1"/>
    <xf numFmtId="165" fontId="37" fillId="2" borderId="0" xfId="0" applyNumberFormat="1" applyFont="1" applyFill="1" applyBorder="1" applyAlignment="1">
      <alignment horizontal="right"/>
    </xf>
    <xf numFmtId="165" fontId="37" fillId="2" borderId="18" xfId="2" applyNumberFormat="1" applyFont="1" applyFill="1" applyBorder="1" applyAlignment="1">
      <alignment horizontal="right"/>
    </xf>
    <xf numFmtId="183" fontId="37" fillId="2" borderId="0" xfId="2" applyNumberFormat="1" applyFont="1" applyFill="1" applyBorder="1" applyAlignment="1">
      <alignment horizontal="right"/>
    </xf>
    <xf numFmtId="183" fontId="1" fillId="2" borderId="0" xfId="2" applyNumberFormat="1" applyFont="1" applyFill="1" applyBorder="1" applyAlignment="1">
      <alignment horizontal="right"/>
    </xf>
    <xf numFmtId="183" fontId="1" fillId="2" borderId="1" xfId="2" applyNumberFormat="1" applyFont="1" applyFill="1" applyBorder="1" applyAlignment="1">
      <alignment horizontal="right"/>
    </xf>
    <xf numFmtId="183" fontId="0" fillId="2" borderId="0" xfId="2" applyNumberFormat="1" applyFont="1" applyFill="1" applyBorder="1" applyAlignment="1">
      <alignment horizontal="right"/>
    </xf>
    <xf numFmtId="183" fontId="0" fillId="2" borderId="1" xfId="2" applyNumberFormat="1" applyFont="1" applyFill="1" applyBorder="1" applyAlignment="1">
      <alignment horizontal="right"/>
    </xf>
    <xf numFmtId="165" fontId="37" fillId="2" borderId="1" xfId="0" applyNumberFormat="1" applyFont="1" applyFill="1" applyBorder="1" applyAlignment="1">
      <alignment horizontal="right"/>
    </xf>
    <xf numFmtId="181" fontId="1" fillId="2" borderId="0" xfId="7" applyNumberFormat="1" applyFont="1" applyFill="1" applyBorder="1"/>
    <xf numFmtId="170" fontId="21" fillId="4" borderId="0" xfId="9" applyNumberFormat="1" applyFont="1" applyFill="1" applyBorder="1" applyAlignment="1">
      <alignment horizontal="right" vertical="center"/>
    </xf>
    <xf numFmtId="170" fontId="21" fillId="4" borderId="0" xfId="8" applyNumberFormat="1" applyFont="1" applyFill="1" applyBorder="1" applyAlignment="1">
      <alignment horizontal="right" vertical="center"/>
    </xf>
    <xf numFmtId="170" fontId="21" fillId="4" borderId="1" xfId="8" applyNumberFormat="1" applyFont="1" applyFill="1" applyBorder="1" applyAlignment="1">
      <alignment horizontal="right" vertical="center"/>
    </xf>
    <xf numFmtId="3" fontId="1" fillId="2" borderId="0" xfId="11" applyNumberFormat="1" applyFont="1" applyFill="1" applyBorder="1" applyAlignment="1">
      <alignment horizontal="right" vertical="center"/>
    </xf>
    <xf numFmtId="3" fontId="1" fillId="2" borderId="1" xfId="11" applyNumberFormat="1" applyFont="1" applyFill="1" applyBorder="1" applyAlignment="1">
      <alignment horizontal="right" vertical="center"/>
    </xf>
    <xf numFmtId="170" fontId="21" fillId="4" borderId="9" xfId="9" applyNumberFormat="1" applyFont="1" applyFill="1" applyBorder="1" applyAlignment="1">
      <alignment horizontal="right" vertical="center"/>
    </xf>
    <xf numFmtId="170" fontId="21" fillId="4" borderId="9" xfId="8" applyNumberFormat="1" applyFont="1" applyFill="1" applyBorder="1" applyAlignment="1">
      <alignment horizontal="right" vertical="center"/>
    </xf>
    <xf numFmtId="170" fontId="21" fillId="4" borderId="11" xfId="8" applyNumberFormat="1" applyFont="1" applyFill="1" applyBorder="1" applyAlignment="1">
      <alignment horizontal="right" vertical="center"/>
    </xf>
    <xf numFmtId="0" fontId="11" fillId="2" borderId="0" xfId="0" applyFont="1" applyFill="1" applyBorder="1" applyAlignment="1">
      <alignment horizontal="left" vertical="center"/>
    </xf>
    <xf numFmtId="0" fontId="12" fillId="2" borderId="0" xfId="3" applyFont="1" applyFill="1" applyAlignment="1">
      <alignment horizontal="left"/>
    </xf>
    <xf numFmtId="0" fontId="19" fillId="2" borderId="18" xfId="0" applyFont="1" applyFill="1" applyBorder="1" applyAlignment="1">
      <alignment horizontal="left" vertical="center" wrapText="1"/>
    </xf>
    <xf numFmtId="0" fontId="9" fillId="2" borderId="8" xfId="0" applyFont="1" applyFill="1" applyBorder="1" applyAlignment="1"/>
    <xf numFmtId="165" fontId="1" fillId="2" borderId="0" xfId="1" applyNumberFormat="1" applyFont="1" applyFill="1" applyBorder="1" applyAlignment="1">
      <alignment horizontal="right"/>
    </xf>
    <xf numFmtId="0" fontId="12" fillId="2" borderId="0" xfId="3" applyFont="1" applyFill="1" applyAlignment="1"/>
    <xf numFmtId="0" fontId="11" fillId="2" borderId="0" xfId="0" applyFont="1" applyFill="1" applyBorder="1" applyAlignment="1">
      <alignment vertical="center" wrapText="1"/>
    </xf>
    <xf numFmtId="0" fontId="31" fillId="2" borderId="16" xfId="0" applyFont="1" applyFill="1" applyBorder="1" applyAlignment="1">
      <alignment vertical="center"/>
    </xf>
    <xf numFmtId="0" fontId="31" fillId="2" borderId="13" xfId="0" applyFont="1" applyFill="1" applyBorder="1" applyAlignment="1">
      <alignment vertical="center"/>
    </xf>
    <xf numFmtId="0" fontId="23" fillId="2" borderId="18" xfId="0" applyFont="1" applyFill="1" applyBorder="1" applyAlignment="1">
      <alignment horizontal="left" vertical="center"/>
    </xf>
    <xf numFmtId="0" fontId="32" fillId="2" borderId="0" xfId="3" applyFont="1" applyFill="1" applyBorder="1" applyAlignment="1">
      <alignment horizontal="left" vertical="center"/>
    </xf>
    <xf numFmtId="0" fontId="9" fillId="2" borderId="9" xfId="0" applyFont="1" applyFill="1" applyBorder="1"/>
    <xf numFmtId="0" fontId="0" fillId="2" borderId="0" xfId="0" applyFill="1" applyBorder="1" applyAlignment="1">
      <alignment wrapText="1"/>
    </xf>
    <xf numFmtId="0" fontId="17" fillId="3" borderId="15" xfId="3" applyFont="1" applyFill="1" applyBorder="1" applyAlignment="1">
      <alignment vertical="center"/>
    </xf>
    <xf numFmtId="0" fontId="64" fillId="2" borderId="0" xfId="0" applyFont="1" applyFill="1" applyBorder="1" applyAlignment="1">
      <alignment vertical="center" wrapText="1"/>
    </xf>
    <xf numFmtId="0" fontId="64" fillId="2" borderId="0" xfId="0" applyFont="1" applyFill="1" applyBorder="1" applyAlignment="1">
      <alignment horizontal="centerContinuous" vertical="center"/>
    </xf>
    <xf numFmtId="0" fontId="65" fillId="2" borderId="0" xfId="0" applyFont="1" applyFill="1"/>
    <xf numFmtId="0" fontId="64" fillId="2" borderId="0" xfId="0" applyFont="1" applyFill="1" applyBorder="1" applyAlignment="1">
      <alignment horizontal="center" vertical="center"/>
    </xf>
    <xf numFmtId="0" fontId="66" fillId="2" borderId="18" xfId="0" applyFont="1" applyFill="1" applyBorder="1" applyAlignment="1">
      <alignment horizontal="left" vertical="center"/>
    </xf>
    <xf numFmtId="0" fontId="67" fillId="2" borderId="0" xfId="3" applyFont="1" applyFill="1" applyBorder="1" applyAlignment="1">
      <alignment horizontal="center" vertical="center"/>
    </xf>
    <xf numFmtId="0" fontId="68" fillId="2" borderId="0" xfId="0" applyFont="1" applyFill="1" applyBorder="1"/>
    <xf numFmtId="0" fontId="69" fillId="3" borderId="19" xfId="3" applyFont="1" applyFill="1" applyBorder="1" applyAlignment="1">
      <alignment horizontal="left" vertical="center"/>
    </xf>
    <xf numFmtId="0" fontId="70" fillId="3" borderId="15" xfId="3" applyFont="1" applyFill="1" applyBorder="1" applyAlignment="1">
      <alignment horizontal="center" vertical="center"/>
    </xf>
    <xf numFmtId="0" fontId="70" fillId="3" borderId="12" xfId="3" applyFont="1" applyFill="1" applyBorder="1" applyAlignment="1">
      <alignment horizontal="center" vertical="center"/>
    </xf>
    <xf numFmtId="0" fontId="68" fillId="2" borderId="0" xfId="0" applyFont="1" applyFill="1" applyBorder="1" applyAlignment="1"/>
    <xf numFmtId="3" fontId="68" fillId="2" borderId="0" xfId="0" applyNumberFormat="1" applyFont="1" applyFill="1" applyBorder="1"/>
    <xf numFmtId="3" fontId="68" fillId="2" borderId="13" xfId="0" applyNumberFormat="1" applyFont="1" applyFill="1" applyBorder="1"/>
    <xf numFmtId="0" fontId="70" fillId="5" borderId="0" xfId="3" applyFont="1" applyFill="1" applyBorder="1" applyAlignment="1">
      <alignment horizontal="left" vertical="center" wrapText="1"/>
    </xf>
    <xf numFmtId="3" fontId="68" fillId="5" borderId="0" xfId="0" applyNumberFormat="1" applyFont="1" applyFill="1" applyBorder="1"/>
    <xf numFmtId="3" fontId="68" fillId="5" borderId="1" xfId="0" applyNumberFormat="1" applyFont="1" applyFill="1" applyBorder="1"/>
    <xf numFmtId="0" fontId="68" fillId="2" borderId="0" xfId="0" applyFont="1" applyFill="1" applyBorder="1" applyAlignment="1">
      <alignment horizontal="left" indent="1"/>
    </xf>
    <xf numFmtId="3" fontId="68" fillId="2" borderId="0" xfId="11" applyNumberFormat="1" applyFont="1" applyFill="1" applyBorder="1" applyAlignment="1">
      <alignment horizontal="right"/>
    </xf>
    <xf numFmtId="3" fontId="68" fillId="2" borderId="1" xfId="11" applyNumberFormat="1" applyFont="1" applyFill="1" applyBorder="1" applyAlignment="1">
      <alignment horizontal="right"/>
    </xf>
    <xf numFmtId="0" fontId="71" fillId="5" borderId="5" xfId="0" applyFont="1" applyFill="1" applyBorder="1" applyAlignment="1">
      <alignment horizontal="left"/>
    </xf>
    <xf numFmtId="3" fontId="68" fillId="5" borderId="0" xfId="11" applyNumberFormat="1" applyFont="1" applyFill="1" applyBorder="1" applyAlignment="1">
      <alignment horizontal="right"/>
    </xf>
    <xf numFmtId="3" fontId="68" fillId="5" borderId="1" xfId="11" applyNumberFormat="1" applyFont="1" applyFill="1" applyBorder="1" applyAlignment="1">
      <alignment horizontal="right"/>
    </xf>
    <xf numFmtId="0" fontId="68" fillId="2" borderId="9" xfId="0" applyFont="1" applyFill="1" applyBorder="1" applyAlignment="1">
      <alignment horizontal="left" indent="1"/>
    </xf>
    <xf numFmtId="3" fontId="68" fillId="2" borderId="9" xfId="11" applyNumberFormat="1" applyFont="1" applyFill="1" applyBorder="1" applyAlignment="1">
      <alignment horizontal="right"/>
    </xf>
    <xf numFmtId="3" fontId="68" fillId="2" borderId="11" xfId="11" applyNumberFormat="1" applyFont="1" applyFill="1" applyBorder="1" applyAlignment="1">
      <alignment horizontal="right"/>
    </xf>
    <xf numFmtId="0" fontId="71" fillId="2" borderId="2" xfId="0" applyFont="1" applyFill="1" applyBorder="1" applyAlignment="1"/>
    <xf numFmtId="3" fontId="65" fillId="2" borderId="0" xfId="0" applyNumberFormat="1" applyFont="1" applyFill="1" applyBorder="1" applyAlignment="1"/>
    <xf numFmtId="165" fontId="68" fillId="2" borderId="0" xfId="0" applyNumberFormat="1" applyFont="1" applyFill="1" applyBorder="1" applyAlignment="1">
      <alignment horizontal="right"/>
    </xf>
    <xf numFmtId="165" fontId="68" fillId="2" borderId="1" xfId="0" applyNumberFormat="1" applyFont="1" applyFill="1" applyBorder="1" applyAlignment="1">
      <alignment horizontal="right"/>
    </xf>
    <xf numFmtId="170" fontId="68" fillId="2" borderId="0" xfId="11" applyNumberFormat="1" applyFont="1" applyFill="1" applyBorder="1" applyAlignment="1">
      <alignment horizontal="right"/>
    </xf>
    <xf numFmtId="170" fontId="68" fillId="2" borderId="1" xfId="11" applyNumberFormat="1" applyFont="1" applyFill="1" applyBorder="1" applyAlignment="1">
      <alignment horizontal="right"/>
    </xf>
    <xf numFmtId="170" fontId="68" fillId="2" borderId="0" xfId="0" applyNumberFormat="1" applyFont="1" applyFill="1" applyBorder="1" applyAlignment="1">
      <alignment horizontal="right"/>
    </xf>
    <xf numFmtId="165" fontId="68" fillId="2" borderId="0" xfId="2" applyNumberFormat="1" applyFont="1" applyFill="1" applyBorder="1" applyAlignment="1">
      <alignment horizontal="right"/>
    </xf>
    <xf numFmtId="170" fontId="68" fillId="2" borderId="18" xfId="0" applyNumberFormat="1" applyFont="1" applyFill="1" applyBorder="1" applyAlignment="1">
      <alignment horizontal="right"/>
    </xf>
    <xf numFmtId="165" fontId="68" fillId="2" borderId="18" xfId="2" applyNumberFormat="1" applyFont="1" applyFill="1" applyBorder="1" applyAlignment="1">
      <alignment horizontal="right"/>
    </xf>
    <xf numFmtId="165" fontId="68" fillId="2" borderId="18" xfId="0" applyNumberFormat="1" applyFont="1" applyFill="1" applyBorder="1" applyAlignment="1">
      <alignment horizontal="right"/>
    </xf>
    <xf numFmtId="165" fontId="68" fillId="2" borderId="14" xfId="0" applyNumberFormat="1" applyFont="1" applyFill="1" applyBorder="1" applyAlignment="1">
      <alignment horizontal="right"/>
    </xf>
    <xf numFmtId="0" fontId="72" fillId="2" borderId="0" xfId="0" applyFont="1" applyFill="1" applyBorder="1" applyAlignment="1">
      <alignment vertical="center"/>
    </xf>
    <xf numFmtId="0" fontId="69" fillId="3" borderId="19" xfId="3" applyFont="1" applyFill="1" applyBorder="1" applyAlignment="1">
      <alignment horizontal="left" vertical="center" wrapText="1"/>
    </xf>
    <xf numFmtId="0" fontId="69" fillId="3" borderId="15" xfId="3" applyFont="1" applyFill="1" applyBorder="1" applyAlignment="1">
      <alignment horizontal="center" vertical="center"/>
    </xf>
    <xf numFmtId="3" fontId="68" fillId="2" borderId="1" xfId="0" applyNumberFormat="1" applyFont="1" applyFill="1" applyBorder="1"/>
    <xf numFmtId="3" fontId="68" fillId="2" borderId="3" xfId="11" applyNumberFormat="1" applyFont="1" applyFill="1" applyBorder="1" applyAlignment="1">
      <alignment horizontal="right"/>
    </xf>
    <xf numFmtId="3" fontId="68" fillId="2" borderId="4" xfId="11" applyNumberFormat="1" applyFont="1" applyFill="1" applyBorder="1" applyAlignment="1">
      <alignment horizontal="right"/>
    </xf>
    <xf numFmtId="165" fontId="68" fillId="2" borderId="0" xfId="11" applyNumberFormat="1" applyFont="1" applyFill="1" applyBorder="1" applyAlignment="1">
      <alignment horizontal="right"/>
    </xf>
    <xf numFmtId="165" fontId="68" fillId="2" borderId="1" xfId="11" applyNumberFormat="1" applyFont="1" applyFill="1" applyBorder="1" applyAlignment="1">
      <alignment horizontal="right"/>
    </xf>
    <xf numFmtId="0" fontId="73" fillId="2" borderId="0" xfId="0" applyFont="1" applyFill="1"/>
    <xf numFmtId="0" fontId="74" fillId="2" borderId="0" xfId="0" applyFont="1" applyFill="1" applyBorder="1" applyAlignment="1"/>
    <xf numFmtId="0" fontId="68" fillId="2" borderId="0" xfId="0" applyNumberFormat="1" applyFont="1" applyFill="1" applyBorder="1"/>
    <xf numFmtId="0" fontId="70" fillId="3" borderId="15" xfId="3" quotePrefix="1" applyFont="1" applyFill="1" applyBorder="1" applyAlignment="1">
      <alignment horizontal="center" vertical="center"/>
    </xf>
    <xf numFmtId="0" fontId="70" fillId="3" borderId="12" xfId="3" quotePrefix="1" applyFont="1" applyFill="1" applyBorder="1" applyAlignment="1">
      <alignment horizontal="center" vertical="center"/>
    </xf>
    <xf numFmtId="3" fontId="68" fillId="2" borderId="0" xfId="0" applyNumberFormat="1" applyFont="1" applyFill="1" applyBorder="1" applyAlignment="1">
      <alignment horizontal="right"/>
    </xf>
    <xf numFmtId="3" fontId="68" fillId="2" borderId="1" xfId="0" applyNumberFormat="1" applyFont="1" applyFill="1" applyBorder="1" applyAlignment="1">
      <alignment horizontal="right"/>
    </xf>
    <xf numFmtId="0" fontId="68" fillId="2" borderId="9" xfId="0" applyFont="1" applyFill="1" applyBorder="1" applyAlignment="1"/>
    <xf numFmtId="0" fontId="65" fillId="0" borderId="0" xfId="0" applyFont="1"/>
    <xf numFmtId="0" fontId="0" fillId="2" borderId="0" xfId="7" applyFont="1" applyFill="1"/>
    <xf numFmtId="0" fontId="0" fillId="2" borderId="0" xfId="7" applyFont="1" applyFill="1" applyBorder="1"/>
    <xf numFmtId="0" fontId="0" fillId="2" borderId="9" xfId="7" applyFont="1" applyFill="1" applyBorder="1"/>
    <xf numFmtId="0" fontId="11" fillId="2" borderId="0" xfId="7" applyFont="1" applyFill="1"/>
    <xf numFmtId="0" fontId="11" fillId="2" borderId="0" xfId="7" applyFont="1" applyFill="1" applyBorder="1"/>
    <xf numFmtId="0" fontId="75" fillId="2" borderId="0" xfId="0" applyFont="1" applyFill="1" applyBorder="1" applyAlignment="1">
      <alignment vertical="center" wrapText="1"/>
    </xf>
    <xf numFmtId="0" fontId="76" fillId="2" borderId="0" xfId="0" applyFont="1" applyFill="1"/>
    <xf numFmtId="0" fontId="77" fillId="2" borderId="18" xfId="0" applyFont="1" applyFill="1" applyBorder="1" applyAlignment="1">
      <alignment horizontal="left" vertical="center"/>
    </xf>
    <xf numFmtId="0" fontId="76" fillId="2" borderId="0" xfId="0" applyFont="1" applyFill="1" applyBorder="1" applyAlignment="1">
      <alignment vertical="center"/>
    </xf>
    <xf numFmtId="0" fontId="76" fillId="2" borderId="0" xfId="0" applyFont="1" applyFill="1" applyBorder="1" applyAlignment="1"/>
    <xf numFmtId="0" fontId="78" fillId="3" borderId="19" xfId="3" applyFont="1" applyFill="1" applyBorder="1" applyAlignment="1">
      <alignment horizontal="left" vertical="center"/>
    </xf>
    <xf numFmtId="0" fontId="79" fillId="3" borderId="15" xfId="3" applyFont="1" applyFill="1" applyBorder="1" applyAlignment="1">
      <alignment horizontal="center" vertical="center"/>
    </xf>
    <xf numFmtId="0" fontId="79" fillId="3" borderId="12" xfId="3" applyFont="1" applyFill="1" applyBorder="1" applyAlignment="1">
      <alignment horizontal="center" vertical="center"/>
    </xf>
    <xf numFmtId="172" fontId="76" fillId="2" borderId="0" xfId="4" applyNumberFormat="1" applyFont="1" applyFill="1" applyBorder="1" applyAlignment="1"/>
    <xf numFmtId="172" fontId="76" fillId="2" borderId="1" xfId="4" applyNumberFormat="1" applyFont="1" applyFill="1" applyBorder="1" applyAlignment="1"/>
    <xf numFmtId="0" fontId="80" fillId="5" borderId="5" xfId="0" applyFont="1" applyFill="1" applyBorder="1" applyAlignment="1">
      <alignment horizontal="left"/>
    </xf>
    <xf numFmtId="172" fontId="76" fillId="5" borderId="0" xfId="4" applyNumberFormat="1" applyFont="1" applyFill="1" applyBorder="1" applyAlignment="1"/>
    <xf numFmtId="172" fontId="76" fillId="5" borderId="1" xfId="4" applyNumberFormat="1" applyFont="1" applyFill="1" applyBorder="1" applyAlignment="1"/>
    <xf numFmtId="9" fontId="76" fillId="2" borderId="0" xfId="2" applyFont="1" applyFill="1" applyBorder="1" applyAlignment="1"/>
    <xf numFmtId="0" fontId="79" fillId="5" borderId="0" xfId="3" applyFont="1" applyFill="1" applyBorder="1" applyAlignment="1">
      <alignment horizontal="left" vertical="center" wrapText="1"/>
    </xf>
    <xf numFmtId="0" fontId="80" fillId="2" borderId="2" xfId="0" applyFont="1" applyFill="1" applyBorder="1" applyAlignment="1"/>
    <xf numFmtId="3" fontId="76" fillId="2" borderId="3" xfId="14" applyNumberFormat="1" applyFont="1" applyFill="1" applyBorder="1" applyAlignment="1">
      <alignment horizontal="right"/>
    </xf>
    <xf numFmtId="3" fontId="76" fillId="2" borderId="4" xfId="14" applyNumberFormat="1" applyFont="1" applyFill="1" applyBorder="1" applyAlignment="1">
      <alignment horizontal="right"/>
    </xf>
    <xf numFmtId="3" fontId="76" fillId="2" borderId="0" xfId="0" applyNumberFormat="1" applyFont="1" applyFill="1" applyBorder="1" applyAlignment="1"/>
    <xf numFmtId="0" fontId="81" fillId="2" borderId="0" xfId="0" applyFont="1" applyFill="1" applyBorder="1" applyAlignment="1"/>
    <xf numFmtId="165" fontId="76" fillId="2" borderId="0" xfId="2" applyNumberFormat="1" applyFont="1" applyFill="1" applyBorder="1" applyAlignment="1">
      <alignment horizontal="right"/>
    </xf>
    <xf numFmtId="165" fontId="76" fillId="2" borderId="0" xfId="0" applyNumberFormat="1" applyFont="1" applyFill="1" applyBorder="1" applyAlignment="1">
      <alignment horizontal="right"/>
    </xf>
    <xf numFmtId="165" fontId="76" fillId="2" borderId="1" xfId="0" applyNumberFormat="1" applyFont="1" applyFill="1" applyBorder="1" applyAlignment="1">
      <alignment horizontal="right"/>
    </xf>
    <xf numFmtId="3" fontId="76" fillId="2" borderId="0" xfId="14" applyNumberFormat="1" applyFont="1" applyFill="1" applyBorder="1" applyAlignment="1">
      <alignment horizontal="right"/>
    </xf>
    <xf numFmtId="3" fontId="76" fillId="2" borderId="1" xfId="14" applyNumberFormat="1" applyFont="1" applyFill="1" applyBorder="1" applyAlignment="1">
      <alignment horizontal="right"/>
    </xf>
    <xf numFmtId="0" fontId="81" fillId="2" borderId="18" xfId="0" applyFont="1" applyFill="1" applyBorder="1" applyAlignment="1"/>
    <xf numFmtId="165" fontId="76" fillId="2" borderId="18" xfId="2" applyNumberFormat="1" applyFont="1" applyFill="1" applyBorder="1" applyAlignment="1">
      <alignment horizontal="right"/>
    </xf>
    <xf numFmtId="165" fontId="76" fillId="2" borderId="14" xfId="2" applyNumberFormat="1" applyFont="1" applyFill="1" applyBorder="1" applyAlignment="1">
      <alignment horizontal="right"/>
    </xf>
    <xf numFmtId="0" fontId="82" fillId="2" borderId="0" xfId="0" applyFont="1" applyFill="1" applyBorder="1" applyAlignment="1"/>
    <xf numFmtId="174" fontId="76" fillId="2" borderId="0" xfId="2" applyNumberFormat="1" applyFont="1" applyFill="1" applyBorder="1" applyAlignment="1">
      <alignment horizontal="right"/>
    </xf>
    <xf numFmtId="165" fontId="76" fillId="2" borderId="0" xfId="2" applyNumberFormat="1" applyFont="1" applyFill="1" applyBorder="1" applyAlignment="1"/>
    <xf numFmtId="179" fontId="76" fillId="2" borderId="0" xfId="4" applyNumberFormat="1" applyFont="1" applyFill="1" applyBorder="1" applyAlignment="1"/>
    <xf numFmtId="179" fontId="76" fillId="2" borderId="1" xfId="4" applyNumberFormat="1" applyFont="1" applyFill="1" applyBorder="1" applyAlignment="1"/>
    <xf numFmtId="172" fontId="76" fillId="2" borderId="3" xfId="14" applyNumberFormat="1" applyFont="1" applyFill="1" applyBorder="1" applyAlignment="1">
      <alignment horizontal="right"/>
    </xf>
    <xf numFmtId="172" fontId="76" fillId="2" borderId="4" xfId="14" applyNumberFormat="1" applyFont="1" applyFill="1" applyBorder="1" applyAlignment="1">
      <alignment horizontal="right"/>
    </xf>
    <xf numFmtId="3" fontId="76" fillId="2" borderId="0" xfId="0" applyNumberFormat="1" applyFont="1" applyFill="1" applyBorder="1" applyAlignment="1">
      <alignment horizontal="right"/>
    </xf>
    <xf numFmtId="3" fontId="76" fillId="2" borderId="1" xfId="0" applyNumberFormat="1" applyFont="1" applyFill="1" applyBorder="1" applyAlignment="1">
      <alignment horizontal="right"/>
    </xf>
    <xf numFmtId="165" fontId="76" fillId="2" borderId="1" xfId="2" applyNumberFormat="1" applyFont="1" applyFill="1" applyBorder="1" applyAlignment="1">
      <alignment horizontal="right"/>
    </xf>
    <xf numFmtId="0" fontId="79" fillId="3" borderId="15" xfId="3" quotePrefix="1" applyFont="1" applyFill="1" applyBorder="1" applyAlignment="1">
      <alignment horizontal="center" vertical="center"/>
    </xf>
    <xf numFmtId="0" fontId="79" fillId="3" borderId="12" xfId="3" quotePrefix="1" applyFont="1" applyFill="1" applyBorder="1" applyAlignment="1">
      <alignment horizontal="center" vertical="center"/>
    </xf>
    <xf numFmtId="4" fontId="76" fillId="2" borderId="0" xfId="14" applyNumberFormat="1" applyFont="1" applyFill="1" applyBorder="1" applyAlignment="1">
      <alignment horizontal="right"/>
    </xf>
    <xf numFmtId="4" fontId="76" fillId="2" borderId="1" xfId="14" applyNumberFormat="1" applyFont="1" applyFill="1" applyBorder="1" applyAlignment="1">
      <alignment horizontal="right"/>
    </xf>
    <xf numFmtId="4" fontId="76" fillId="2" borderId="0" xfId="0" applyNumberFormat="1" applyFont="1" applyFill="1" applyBorder="1" applyAlignment="1">
      <alignment horizontal="right"/>
    </xf>
    <xf numFmtId="4" fontId="76" fillId="2" borderId="1" xfId="0" applyNumberFormat="1" applyFont="1" applyFill="1" applyBorder="1" applyAlignment="1">
      <alignment horizontal="right"/>
    </xf>
    <xf numFmtId="0" fontId="76" fillId="2" borderId="9" xfId="0" applyFont="1" applyFill="1" applyBorder="1" applyAlignment="1"/>
    <xf numFmtId="4" fontId="76" fillId="2" borderId="9" xfId="0" applyNumberFormat="1" applyFont="1" applyFill="1" applyBorder="1" applyAlignment="1">
      <alignment horizontal="right"/>
    </xf>
    <xf numFmtId="4" fontId="76" fillId="2" borderId="9" xfId="14" applyNumberFormat="1" applyFont="1" applyFill="1" applyBorder="1" applyAlignment="1">
      <alignment horizontal="right"/>
    </xf>
    <xf numFmtId="4" fontId="76" fillId="2" borderId="11" xfId="0" applyNumberFormat="1" applyFont="1" applyFill="1" applyBorder="1" applyAlignment="1">
      <alignment horizontal="right"/>
    </xf>
    <xf numFmtId="0" fontId="82" fillId="2" borderId="0" xfId="0" applyFont="1" applyFill="1"/>
    <xf numFmtId="0" fontId="9" fillId="2" borderId="0" xfId="0" applyFont="1" applyFill="1" applyBorder="1" applyAlignment="1">
      <alignment horizontal="left" indent="1"/>
    </xf>
  </cellXfs>
  <cellStyles count="20">
    <cellStyle name="Comma" xfId="1" builtinId="3"/>
    <cellStyle name="Comma 2" xfId="12" xr:uid="{00000000-0005-0000-0000-000000000000}"/>
    <cellStyle name="Comma 2 2" xfId="15" xr:uid="{00000000-0005-0000-0000-000001000000}"/>
    <cellStyle name="Hyperlink" xfId="5" builtinId="8"/>
    <cellStyle name="Millares [0] 2" xfId="8" xr:uid="{00000000-0005-0000-0000-000004000000}"/>
    <cellStyle name="Millares [0] 3" xfId="19" xr:uid="{00000000-0005-0000-0000-000005000000}"/>
    <cellStyle name="Millares 2" xfId="4" xr:uid="{00000000-0005-0000-0000-000006000000}"/>
    <cellStyle name="Millares 2 2" xfId="11" xr:uid="{00000000-0005-0000-0000-000007000000}"/>
    <cellStyle name="Millares 3" xfId="14" xr:uid="{00000000-0005-0000-0000-000008000000}"/>
    <cellStyle name="Millares 4" xfId="17" xr:uid="{00000000-0005-0000-0000-000009000000}"/>
    <cellStyle name="Normal" xfId="0" builtinId="0"/>
    <cellStyle name="Normal 2" xfId="7" xr:uid="{00000000-0005-0000-0000-00000B000000}"/>
    <cellStyle name="Normal 2 2" xfId="3" xr:uid="{00000000-0005-0000-0000-00000C000000}"/>
    <cellStyle name="Normal 2 3" xfId="13" xr:uid="{00000000-0005-0000-0000-00000D000000}"/>
    <cellStyle name="Normal 2 4" xfId="16" xr:uid="{00000000-0005-0000-0000-00000E000000}"/>
    <cellStyle name="Normal 3" xfId="6" xr:uid="{00000000-0005-0000-0000-00000F000000}"/>
    <cellStyle name="Normal 4" xfId="9" xr:uid="{00000000-0005-0000-0000-000010000000}"/>
    <cellStyle name="Percent" xfId="2" builtinId="5"/>
    <cellStyle name="Porcentaje 2" xfId="10" xr:uid="{00000000-0005-0000-0000-000012000000}"/>
    <cellStyle name="Porcentaje 3" xfId="18" xr:uid="{00000000-0005-0000-0000-000013000000}"/>
  </cellStyles>
  <dxfs count="0"/>
  <tableStyles count="0" defaultTableStyle="TableStyleMedium2" defaultPivotStyle="PivotStyleLight16"/>
  <colors>
    <mruColors>
      <color rgb="FFC7F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ustomXml" Target="../customXml/item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30" Type="http://schemas.openxmlformats.org/officeDocument/2006/relationships/customXml" Target="../customXml/item4.xml"/><Relationship Id="rId35" Type="http://schemas.openxmlformats.org/officeDocument/2006/relationships/customXml" Target="../customXml/item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nacional%20ocup%20afili%20por%20tam%20y%20re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13\finalregim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Nacional\finalregim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travis\Downloads\Users\Sean%20Higgins\Downloads\PROJECT%20COMMITMENT%20TO%20EQUITY\CEQ%20CAF\PAPER%20OCT%202011\OCTOBER%202011\PAPER%20OCT%202011\ARCHIE\EDGAPUCO\MVAREL\GP1\PROVCON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RCHIE\EDGAPUCO\MVAREL\GP1\PROVCON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parativo%20serie%20extendida-Ago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sual"/>
      <sheetName val="Trimestral"/>
    </sheetNames>
    <sheetDataSet>
      <sheetData sheetId="0" refreshError="1">
        <row r="1">
          <cell r="A1" t="str">
            <v>_TYPE_</v>
          </cell>
          <cell r="B1" t="str">
            <v>_FREQ_</v>
          </cell>
          <cell r="C1" t="str">
            <v>T1_R1</v>
          </cell>
          <cell r="D1" t="str">
            <v>T1_R2</v>
          </cell>
          <cell r="E1" t="str">
            <v>T1_R3</v>
          </cell>
          <cell r="F1" t="str">
            <v>T2_R1</v>
          </cell>
          <cell r="G1" t="str">
            <v>T2_R2</v>
          </cell>
          <cell r="H1" t="str">
            <v>T1_R1</v>
          </cell>
          <cell r="I1" t="str">
            <v>T1_R2</v>
          </cell>
          <cell r="J1" t="str">
            <v>T1_R3</v>
          </cell>
          <cell r="K1" t="str">
            <v>T2_R1</v>
          </cell>
          <cell r="L1" t="str">
            <v>T2_R2</v>
          </cell>
          <cell r="M1" t="str">
            <v>T2_R3</v>
          </cell>
          <cell r="N1" t="str">
            <v>T3_R1</v>
          </cell>
          <cell r="O1" t="str">
            <v>T3_R2</v>
          </cell>
          <cell r="P1" t="str">
            <v>T3_R3</v>
          </cell>
          <cell r="Q1" t="str">
            <v>T4_R1</v>
          </cell>
          <cell r="R1" t="str">
            <v>T4_R2</v>
          </cell>
          <cell r="S1" t="str">
            <v>T4_R3</v>
          </cell>
          <cell r="T1" t="str">
            <v>T1_R1</v>
          </cell>
          <cell r="U1" t="str">
            <v>T1_R2</v>
          </cell>
          <cell r="V1" t="str">
            <v>T1_R3</v>
          </cell>
          <cell r="W1" t="str">
            <v>T2_R1</v>
          </cell>
          <cell r="X1" t="str">
            <v>T2_R2</v>
          </cell>
          <cell r="Y1" t="str">
            <v>T2_R3</v>
          </cell>
          <cell r="Z1" t="str">
            <v>T3_R1</v>
          </cell>
          <cell r="AA1" t="str">
            <v>T3_R2</v>
          </cell>
          <cell r="AB1" t="str">
            <v>T3_R3</v>
          </cell>
          <cell r="AC1" t="str">
            <v>T4_R1</v>
          </cell>
          <cell r="AD1" t="str">
            <v>T4_R2</v>
          </cell>
          <cell r="AE1" t="str">
            <v>T4_R3</v>
          </cell>
          <cell r="AF1" t="str">
            <v>T1_R1</v>
          </cell>
          <cell r="AG1" t="str">
            <v>T1_R2</v>
          </cell>
          <cell r="AH1" t="str">
            <v>T1_R3</v>
          </cell>
          <cell r="AI1" t="str">
            <v>T2_R1</v>
          </cell>
          <cell r="AJ1" t="str">
            <v>T2_R2</v>
          </cell>
          <cell r="AK1" t="str">
            <v>T2_R3</v>
          </cell>
          <cell r="AL1" t="str">
            <v>T3_R1</v>
          </cell>
          <cell r="AM1" t="str">
            <v>T3_R2</v>
          </cell>
          <cell r="AN1" t="str">
            <v>T3_R3</v>
          </cell>
          <cell r="AO1" t="str">
            <v>T4_R1</v>
          </cell>
          <cell r="AP1" t="str">
            <v>T4_R2</v>
          </cell>
          <cell r="AQ1" t="str">
            <v>T4_R3</v>
          </cell>
        </row>
        <row r="2">
          <cell r="A2">
            <v>0</v>
          </cell>
          <cell r="B2">
            <v>21754</v>
          </cell>
          <cell r="C2">
            <v>1601288.5002608611</v>
          </cell>
          <cell r="D2">
            <v>56624.933666398872</v>
          </cell>
          <cell r="E2">
            <v>2516332.2679655701</v>
          </cell>
          <cell r="F2">
            <v>1529764.5058646244</v>
          </cell>
          <cell r="G2">
            <v>33810.622836247072</v>
          </cell>
          <cell r="H2">
            <v>1462092.7460186151</v>
          </cell>
          <cell r="I2">
            <v>40110.049042316139</v>
          </cell>
          <cell r="J2">
            <v>2926954.0085779079</v>
          </cell>
          <cell r="K2">
            <v>1435261.1530979674</v>
          </cell>
          <cell r="L2">
            <v>39554.029889315309</v>
          </cell>
          <cell r="M2">
            <v>2245955.0868223193</v>
          </cell>
          <cell r="N2">
            <v>439856.87271655229</v>
          </cell>
          <cell r="O2">
            <v>4989.4587101261104</v>
          </cell>
          <cell r="P2">
            <v>446859.36553017539</v>
          </cell>
          <cell r="Q2">
            <v>3680155.4844002449</v>
          </cell>
          <cell r="R2">
            <v>178814.13487425723</v>
          </cell>
          <cell r="S2">
            <v>394458.69808453636</v>
          </cell>
          <cell r="T2">
            <v>1530890.012504311</v>
          </cell>
          <cell r="U2">
            <v>62542.028851076204</v>
          </cell>
          <cell r="V2">
            <v>3057885.340794133</v>
          </cell>
          <cell r="W2">
            <v>1578786.6831518821</v>
          </cell>
          <cell r="X2">
            <v>22725.189120605854</v>
          </cell>
          <cell r="Y2">
            <v>2334382.7450146191</v>
          </cell>
          <cell r="Z2">
            <v>574905.86485329876</v>
          </cell>
          <cell r="AA2">
            <v>6343.7782311829515</v>
          </cell>
          <cell r="AB2">
            <v>371847.85062712495</v>
          </cell>
          <cell r="AC2">
            <v>4111611.0516203232</v>
          </cell>
          <cell r="AD2">
            <v>256580.808695324</v>
          </cell>
          <cell r="AE2">
            <v>391139.5398521896</v>
          </cell>
          <cell r="AF2">
            <v>1499755.0588570463</v>
          </cell>
          <cell r="AG2">
            <v>70074.614478784497</v>
          </cell>
          <cell r="AH2">
            <v>3566332.9270376237</v>
          </cell>
          <cell r="AI2">
            <v>1445559.688065215</v>
          </cell>
          <cell r="AJ2">
            <v>40522.101435825243</v>
          </cell>
          <cell r="AK2">
            <v>2723276.0928727891</v>
          </cell>
          <cell r="AL2">
            <v>481488.55291794322</v>
          </cell>
          <cell r="AM2">
            <v>7857.3119229345284</v>
          </cell>
          <cell r="AN2">
            <v>306975.95392023411</v>
          </cell>
          <cell r="AO2">
            <v>4055821.8809888735</v>
          </cell>
          <cell r="AP2">
            <v>265898.26766364882</v>
          </cell>
          <cell r="AQ2">
            <v>366553.89331665356</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1210.5001109274938</v>
          </cell>
          <cell r="D2">
            <v>1105.9239360256374</v>
          </cell>
          <cell r="E2">
            <v>1148.1067405605247</v>
          </cell>
          <cell r="F2">
            <v>1084.6217085359804</v>
          </cell>
          <cell r="G2">
            <v>1028.5720639513099</v>
          </cell>
          <cell r="H2">
            <v>1028.1843735363634</v>
          </cell>
          <cell r="I2">
            <v>1030.5623428473266</v>
          </cell>
          <cell r="J2">
            <v>984.9144360735761</v>
          </cell>
          <cell r="K2">
            <v>1114.9225520525301</v>
          </cell>
          <cell r="L2">
            <v>1150.9142765799468</v>
          </cell>
          <cell r="M2">
            <v>976.48445025206729</v>
          </cell>
          <cell r="N2">
            <v>1065.0771154366066</v>
          </cell>
          <cell r="O2">
            <v>1094.32888968558</v>
          </cell>
          <cell r="P2">
            <v>1066.2857641711428</v>
          </cell>
          <cell r="Q2">
            <v>982.28330337787827</v>
          </cell>
          <cell r="R2">
            <v>976.7669161603892</v>
          </cell>
          <cell r="S2">
            <v>1089.4147591271394</v>
          </cell>
          <cell r="T2">
            <v>1022.4766910642658</v>
          </cell>
          <cell r="U2">
            <v>1055.9057546689344</v>
          </cell>
          <cell r="V2">
            <v>1047.0681176316821</v>
          </cell>
          <cell r="W2">
            <v>845.82842530103983</v>
          </cell>
          <cell r="X2">
            <v>983.44582373144488</v>
          </cell>
          <cell r="Y2">
            <v>942.80478578267832</v>
          </cell>
          <cell r="Z2">
            <v>970.46714229585905</v>
          </cell>
          <cell r="AA2">
            <v>979.27266027975395</v>
          </cell>
          <cell r="AB2">
            <v>869.06753677845415</v>
          </cell>
          <cell r="AC2">
            <v>854.53584326992541</v>
          </cell>
          <cell r="AD2">
            <v>834.84924257960893</v>
          </cell>
          <cell r="AE2">
            <v>971.25735114487895</v>
          </cell>
          <cell r="AF2">
            <v>912.12523841052689</v>
          </cell>
          <cell r="AG2">
            <v>948.79337472523639</v>
          </cell>
          <cell r="AH2">
            <v>882.87491867643439</v>
          </cell>
          <cell r="AI2">
            <v>914.54308792868096</v>
          </cell>
          <cell r="AJ2">
            <v>909.77130040667544</v>
          </cell>
          <cell r="AK2">
            <v>825.09403595532729</v>
          </cell>
          <cell r="AL2">
            <v>881.90110347401253</v>
          </cell>
          <cell r="AM2">
            <v>940.12277195359468</v>
          </cell>
          <cell r="AN2">
            <v>872.36488483777896</v>
          </cell>
          <cell r="AO2">
            <v>877.807572914655</v>
          </cell>
          <cell r="AP2">
            <v>842.89553972474869</v>
          </cell>
          <cell r="AQ2">
            <v>863.81061440809731</v>
          </cell>
          <cell r="AR2">
            <v>856.54374608032026</v>
          </cell>
          <cell r="AS2">
            <v>718.48940421185569</v>
          </cell>
          <cell r="AT2">
            <v>699.98636990277021</v>
          </cell>
          <cell r="AU2">
            <v>668.17060114348055</v>
          </cell>
          <cell r="AV2">
            <v>541.3361016647433</v>
          </cell>
          <cell r="AW2">
            <v>562.09070902186659</v>
          </cell>
        </row>
        <row r="3">
          <cell r="B3">
            <v>1</v>
          </cell>
          <cell r="C3">
            <v>1934.9769754500689</v>
          </cell>
          <cell r="D3">
            <v>1942.9814678716073</v>
          </cell>
          <cell r="E3">
            <v>1890.6727735432421</v>
          </cell>
          <cell r="F3">
            <v>1800.6551514752734</v>
          </cell>
          <cell r="G3">
            <v>2090.0933654611781</v>
          </cell>
          <cell r="H3">
            <v>1988.7462909052265</v>
          </cell>
          <cell r="I3">
            <v>1936.3580476518512</v>
          </cell>
          <cell r="J3">
            <v>2123.5616375428117</v>
          </cell>
          <cell r="K3">
            <v>1956.2536683781566</v>
          </cell>
          <cell r="L3">
            <v>1959.4797043773422</v>
          </cell>
          <cell r="M3">
            <v>2009.44612495976</v>
          </cell>
          <cell r="N3">
            <v>2077.2268549891328</v>
          </cell>
          <cell r="O3">
            <v>2026.8586795640581</v>
          </cell>
          <cell r="P3">
            <v>2123.7604185335622</v>
          </cell>
          <cell r="Q3">
            <v>2034.7117210600632</v>
          </cell>
          <cell r="R3">
            <v>1942.208215166384</v>
          </cell>
          <cell r="S3">
            <v>1970.8348325964307</v>
          </cell>
          <cell r="T3">
            <v>2198.0886562876194</v>
          </cell>
          <cell r="U3">
            <v>2210.554083808609</v>
          </cell>
          <cell r="V3">
            <v>2102.8224705753832</v>
          </cell>
          <cell r="W3">
            <v>2153.5667530918263</v>
          </cell>
          <cell r="X3">
            <v>2259.3652026135173</v>
          </cell>
          <cell r="Y3">
            <v>2042.8585510584937</v>
          </cell>
          <cell r="Z3">
            <v>2017.7229962409624</v>
          </cell>
          <cell r="AA3">
            <v>2172.6041518470743</v>
          </cell>
          <cell r="AB3">
            <v>2203.6155714650072</v>
          </cell>
          <cell r="AC3">
            <v>2097.9454996129352</v>
          </cell>
          <cell r="AD3">
            <v>1977.3939025014145</v>
          </cell>
          <cell r="AE3">
            <v>1954.3407942696222</v>
          </cell>
          <cell r="AF3">
            <v>1968.3999828868466</v>
          </cell>
          <cell r="AG3">
            <v>2007.6030378267258</v>
          </cell>
          <cell r="AH3">
            <v>2051.7871185177542</v>
          </cell>
          <cell r="AI3">
            <v>2039.7435850847326</v>
          </cell>
          <cell r="AJ3">
            <v>1920.7842417058112</v>
          </cell>
          <cell r="AK3">
            <v>1973.5033840294641</v>
          </cell>
          <cell r="AL3">
            <v>1890.6134203334216</v>
          </cell>
          <cell r="AM3">
            <v>2028.4493418077222</v>
          </cell>
          <cell r="AN3">
            <v>2146.7592613241</v>
          </cell>
          <cell r="AO3">
            <v>1992.243701145358</v>
          </cell>
          <cell r="AP3">
            <v>1910.9183584706013</v>
          </cell>
          <cell r="AQ3">
            <v>2018.3813407043806</v>
          </cell>
          <cell r="AR3">
            <v>1986.1773757454998</v>
          </cell>
          <cell r="AS3">
            <v>1788.1130118560168</v>
          </cell>
          <cell r="AT3">
            <v>1724.3728312200369</v>
          </cell>
          <cell r="AU3">
            <v>1742.052868354672</v>
          </cell>
          <cell r="AV3">
            <v>1499.406878814731</v>
          </cell>
          <cell r="AW3">
            <v>1469.8217695757148</v>
          </cell>
        </row>
        <row r="4">
          <cell r="B4">
            <v>2</v>
          </cell>
          <cell r="C4">
            <v>58.009711045594798</v>
          </cell>
          <cell r="D4">
            <v>57.464897451891908</v>
          </cell>
          <cell r="E4">
            <v>51.343785675786833</v>
          </cell>
          <cell r="F4">
            <v>41.521475014899032</v>
          </cell>
          <cell r="G4">
            <v>59.840167808960196</v>
          </cell>
          <cell r="H4">
            <v>73.228587517698571</v>
          </cell>
          <cell r="I4">
            <v>33.932170376115145</v>
          </cell>
          <cell r="J4">
            <v>51.617433885364889</v>
          </cell>
          <cell r="K4">
            <v>56.412658834767612</v>
          </cell>
          <cell r="L4">
            <v>40.252744063847928</v>
          </cell>
          <cell r="M4">
            <v>62.808358942903197</v>
          </cell>
          <cell r="N4">
            <v>55.883265046902245</v>
          </cell>
          <cell r="O4">
            <v>75.019007987750413</v>
          </cell>
          <cell r="P4">
            <v>76.179629948418494</v>
          </cell>
          <cell r="Q4">
            <v>51.410480917279699</v>
          </cell>
          <cell r="R4">
            <v>69.295016594958255</v>
          </cell>
          <cell r="S4">
            <v>55.96368976031642</v>
          </cell>
          <cell r="T4">
            <v>37.028741612857267</v>
          </cell>
          <cell r="U4">
            <v>61.290276869673455</v>
          </cell>
          <cell r="V4">
            <v>60.44491545647579</v>
          </cell>
          <cell r="W4">
            <v>53.00203267622755</v>
          </cell>
          <cell r="X4">
            <v>85.669673214547359</v>
          </cell>
          <cell r="Y4">
            <v>54.709574495950058</v>
          </cell>
          <cell r="Z4">
            <v>46.483179274792377</v>
          </cell>
          <cell r="AA4">
            <v>33.898866270450547</v>
          </cell>
          <cell r="AB4">
            <v>59.251206068129243</v>
          </cell>
          <cell r="AC4">
            <v>44.205660575556003</v>
          </cell>
          <cell r="AD4">
            <v>59.626591927013678</v>
          </cell>
          <cell r="AE4">
            <v>73.123580884812554</v>
          </cell>
          <cell r="AF4">
            <v>73.576657611624384</v>
          </cell>
          <cell r="AG4">
            <v>51.890151403111709</v>
          </cell>
          <cell r="AH4">
            <v>64.525526008807503</v>
          </cell>
          <cell r="AI4">
            <v>81.076542586742434</v>
          </cell>
          <cell r="AJ4">
            <v>61.284544423637271</v>
          </cell>
          <cell r="AK4">
            <v>43.294949711115891</v>
          </cell>
          <cell r="AL4">
            <v>60.62824790588035</v>
          </cell>
          <cell r="AM4">
            <v>48.268908524440413</v>
          </cell>
          <cell r="AN4">
            <v>78.449852101777481</v>
          </cell>
          <cell r="AO4">
            <v>82.427107926879174</v>
          </cell>
          <cell r="AP4">
            <v>57.973975431822602</v>
          </cell>
          <cell r="AQ4">
            <v>68.96869637708869</v>
          </cell>
          <cell r="AR4">
            <v>78.200027016427796</v>
          </cell>
          <cell r="AS4">
            <v>72.51914246906027</v>
          </cell>
          <cell r="AT4">
            <v>67.143439370758486</v>
          </cell>
          <cell r="AU4">
            <v>52.80643161435799</v>
          </cell>
          <cell r="AV4">
            <v>56.798393374102567</v>
          </cell>
          <cell r="AW4">
            <v>69.555466991441975</v>
          </cell>
        </row>
        <row r="5">
          <cell r="B5">
            <v>3</v>
          </cell>
          <cell r="C5">
            <v>1391.3526436753593</v>
          </cell>
          <cell r="D5">
            <v>1422.0309727155666</v>
          </cell>
          <cell r="E5">
            <v>1519.9387717957479</v>
          </cell>
          <cell r="F5">
            <v>1502.5281683382318</v>
          </cell>
          <cell r="G5">
            <v>1418.3422107192685</v>
          </cell>
          <cell r="H5">
            <v>1550.4869390194413</v>
          </cell>
          <cell r="I5">
            <v>1590.050110507708</v>
          </cell>
          <cell r="J5">
            <v>1368.4495551581308</v>
          </cell>
          <cell r="K5">
            <v>1446.8498946848579</v>
          </cell>
          <cell r="L5">
            <v>1413.8497176192425</v>
          </cell>
          <cell r="M5">
            <v>1508.720182763858</v>
          </cell>
          <cell r="N5">
            <v>1480.3251748543466</v>
          </cell>
          <cell r="O5">
            <v>1559.3018365077985</v>
          </cell>
          <cell r="P5">
            <v>1541.7516888511718</v>
          </cell>
          <cell r="Q5">
            <v>1665.9441108512517</v>
          </cell>
          <cell r="R5">
            <v>1526.6594134172153</v>
          </cell>
          <cell r="S5">
            <v>1638.4122816651306</v>
          </cell>
          <cell r="T5">
            <v>1652.3380068299311</v>
          </cell>
          <cell r="U5">
            <v>1601.3052383043791</v>
          </cell>
          <cell r="V5">
            <v>1532.4052756292576</v>
          </cell>
          <cell r="W5">
            <v>1540.6954008386697</v>
          </cell>
          <cell r="X5">
            <v>1581.3031261533354</v>
          </cell>
          <cell r="Y5">
            <v>1635.0850340001718</v>
          </cell>
          <cell r="Z5">
            <v>1724.2760350682538</v>
          </cell>
          <cell r="AA5">
            <v>1674.8332077464054</v>
          </cell>
          <cell r="AB5">
            <v>1756.5040104853483</v>
          </cell>
          <cell r="AC5">
            <v>1826.1296623939324</v>
          </cell>
          <cell r="AD5">
            <v>1685.5853898794212</v>
          </cell>
          <cell r="AE5">
            <v>1717.3313926160213</v>
          </cell>
          <cell r="AF5">
            <v>1778.0124006527262</v>
          </cell>
          <cell r="AG5">
            <v>1731.1281858816701</v>
          </cell>
          <cell r="AH5">
            <v>1766.8222455961029</v>
          </cell>
          <cell r="AI5">
            <v>1881.3751189539803</v>
          </cell>
          <cell r="AJ5">
            <v>1836.6701840610458</v>
          </cell>
          <cell r="AK5">
            <v>1781.9590601772338</v>
          </cell>
          <cell r="AL5">
            <v>1794.7666668153738</v>
          </cell>
          <cell r="AM5">
            <v>1916.1697452070991</v>
          </cell>
          <cell r="AN5">
            <v>1826.1923461912293</v>
          </cell>
          <cell r="AO5">
            <v>1909.1956164371891</v>
          </cell>
          <cell r="AP5">
            <v>1848.1163642109082</v>
          </cell>
          <cell r="AQ5">
            <v>1728.8754879135749</v>
          </cell>
          <cell r="AR5">
            <v>1819.8630364838532</v>
          </cell>
          <cell r="AS5">
            <v>1775.1365195704232</v>
          </cell>
          <cell r="AT5">
            <v>1533.1115598956362</v>
          </cell>
          <cell r="AU5">
            <v>1543.4914268124242</v>
          </cell>
          <cell r="AV5">
            <v>1432.4958774067718</v>
          </cell>
          <cell r="AW5">
            <v>1427.795885260661</v>
          </cell>
        </row>
        <row r="6">
          <cell r="B6">
            <v>9</v>
          </cell>
          <cell r="C6">
            <v>1.8523051410859648</v>
          </cell>
          <cell r="D6">
            <v>0.70533561221193741</v>
          </cell>
          <cell r="E6">
            <v>3.5055295705248057</v>
          </cell>
          <cell r="F6">
            <v>1.4032532125039916</v>
          </cell>
          <cell r="G6">
            <v>1.9636104187313239</v>
          </cell>
          <cell r="H6">
            <v>0.84335869384790452</v>
          </cell>
          <cell r="I6">
            <v>0.46551923908887144</v>
          </cell>
          <cell r="J6">
            <v>3.0198192073484273</v>
          </cell>
          <cell r="K6">
            <v>4.6723124958263549</v>
          </cell>
          <cell r="L6">
            <v>0</v>
          </cell>
          <cell r="M6">
            <v>0</v>
          </cell>
          <cell r="N6">
            <v>0</v>
          </cell>
          <cell r="O6">
            <v>0</v>
          </cell>
          <cell r="P6">
            <v>0</v>
          </cell>
          <cell r="Q6">
            <v>0</v>
          </cell>
          <cell r="R6">
            <v>0</v>
          </cell>
          <cell r="S6">
            <v>0</v>
          </cell>
          <cell r="T6">
            <v>0</v>
          </cell>
          <cell r="U6">
            <v>0.1792803445879094</v>
          </cell>
          <cell r="V6">
            <v>1.0220868863338983</v>
          </cell>
          <cell r="W6">
            <v>0.84489406976044845</v>
          </cell>
          <cell r="X6">
            <v>1.1888381886861812</v>
          </cell>
          <cell r="Y6">
            <v>0.67135045558993789</v>
          </cell>
          <cell r="Z6">
            <v>0</v>
          </cell>
          <cell r="AA6">
            <v>1.3705746666501852</v>
          </cell>
          <cell r="AB6">
            <v>0</v>
          </cell>
          <cell r="AC6">
            <v>1.2942218651464439</v>
          </cell>
          <cell r="AD6">
            <v>0</v>
          </cell>
          <cell r="AE6">
            <v>0</v>
          </cell>
          <cell r="AF6">
            <v>0</v>
          </cell>
          <cell r="AG6">
            <v>3.8804935906836264</v>
          </cell>
          <cell r="AH6">
            <v>0.40182110420269312</v>
          </cell>
          <cell r="AI6">
            <v>2.4337277976584413</v>
          </cell>
          <cell r="AJ6">
            <v>2.9116382211949765</v>
          </cell>
          <cell r="AK6">
            <v>1.2579869157422638</v>
          </cell>
          <cell r="AL6">
            <v>0.73731700723748217</v>
          </cell>
          <cell r="AM6">
            <v>0</v>
          </cell>
          <cell r="AN6">
            <v>0.3657936983235911</v>
          </cell>
          <cell r="AO6">
            <v>3.7468283704691769</v>
          </cell>
          <cell r="AP6">
            <v>2.4704413929144695</v>
          </cell>
          <cell r="AQ6">
            <v>1.2496761472676177</v>
          </cell>
          <cell r="AR6">
            <v>0.25609077482683779</v>
          </cell>
          <cell r="AS6">
            <v>0</v>
          </cell>
          <cell r="AT6">
            <v>0</v>
          </cell>
          <cell r="AU6">
            <v>0</v>
          </cell>
          <cell r="AV6">
            <v>0</v>
          </cell>
          <cell r="AW6">
            <v>0.75268266414968887</v>
          </cell>
        </row>
        <row r="7">
          <cell r="A7">
            <v>1</v>
          </cell>
          <cell r="C7">
            <v>54.250114463965183</v>
          </cell>
          <cell r="D7">
            <v>56.731983867714426</v>
          </cell>
          <cell r="E7">
            <v>53.718706464127095</v>
          </cell>
          <cell r="F7">
            <v>67.936121132408417</v>
          </cell>
          <cell r="G7">
            <v>81.532250615911281</v>
          </cell>
          <cell r="H7">
            <v>64.849704314857846</v>
          </cell>
          <cell r="I7">
            <v>95.804749452126927</v>
          </cell>
          <cell r="J7">
            <v>77.746593225039334</v>
          </cell>
          <cell r="K7">
            <v>88.885076930616393</v>
          </cell>
          <cell r="L7">
            <v>113.57261442083518</v>
          </cell>
          <cell r="M7">
            <v>90.511233890532282</v>
          </cell>
          <cell r="N7">
            <v>86.890957901704951</v>
          </cell>
          <cell r="O7">
            <v>91.68109054642828</v>
          </cell>
          <cell r="P7">
            <v>92.009864773277613</v>
          </cell>
          <cell r="Q7">
            <v>79.016851940037881</v>
          </cell>
          <cell r="R7">
            <v>72.589964835660169</v>
          </cell>
          <cell r="S7">
            <v>63.143696958284572</v>
          </cell>
          <cell r="T7">
            <v>66.298776277880066</v>
          </cell>
          <cell r="U7">
            <v>67.70374482915318</v>
          </cell>
          <cell r="V7">
            <v>63.0129329087383</v>
          </cell>
          <cell r="W7">
            <v>57.207082868710273</v>
          </cell>
          <cell r="X7">
            <v>59.937874743689264</v>
          </cell>
          <cell r="Y7">
            <v>61.132285277382195</v>
          </cell>
          <cell r="Z7">
            <v>78.987018742195616</v>
          </cell>
          <cell r="AA7">
            <v>72.180435866782048</v>
          </cell>
          <cell r="AB7">
            <v>76.221411723771681</v>
          </cell>
          <cell r="AC7">
            <v>60.0158004839478</v>
          </cell>
          <cell r="AD7">
            <v>95.367501281933201</v>
          </cell>
          <cell r="AE7">
            <v>87.408063454546905</v>
          </cell>
          <cell r="AF7">
            <v>110.02988188798975</v>
          </cell>
          <cell r="AG7">
            <v>125.22567992720955</v>
          </cell>
          <cell r="AH7">
            <v>104.42862996227893</v>
          </cell>
          <cell r="AI7">
            <v>103.93363111077063</v>
          </cell>
          <cell r="AJ7">
            <v>102.54595075347238</v>
          </cell>
          <cell r="AK7">
            <v>93.525985521022179</v>
          </cell>
          <cell r="AL7">
            <v>116.80325158458457</v>
          </cell>
          <cell r="AM7">
            <v>125.00246891770182</v>
          </cell>
          <cell r="AN7">
            <v>112.87881807081669</v>
          </cell>
          <cell r="AO7">
            <v>118.96380882327145</v>
          </cell>
          <cell r="AP7">
            <v>92.714638188788982</v>
          </cell>
          <cell r="AQ7">
            <v>115.80918407372016</v>
          </cell>
          <cell r="AR7">
            <v>125.99247319401708</v>
          </cell>
          <cell r="AS7">
            <v>159.19844159581172</v>
          </cell>
          <cell r="AT7">
            <v>303.52462499383216</v>
          </cell>
          <cell r="AU7">
            <v>258.65408886327157</v>
          </cell>
          <cell r="AV7">
            <v>410.8000947856255</v>
          </cell>
          <cell r="AW7">
            <v>421.12070518628013</v>
          </cell>
        </row>
        <row r="8">
          <cell r="A8">
            <v>1</v>
          </cell>
          <cell r="B8">
            <v>1</v>
          </cell>
          <cell r="C8">
            <v>128.46018238346525</v>
          </cell>
          <cell r="D8">
            <v>184.03980002385995</v>
          </cell>
          <cell r="E8">
            <v>123.68617872873027</v>
          </cell>
          <cell r="F8">
            <v>134.11342267706112</v>
          </cell>
          <cell r="G8">
            <v>149.49213984770233</v>
          </cell>
          <cell r="H8">
            <v>136.45334505559362</v>
          </cell>
          <cell r="I8">
            <v>162.04433440670408</v>
          </cell>
          <cell r="J8">
            <v>187.71836201684144</v>
          </cell>
          <cell r="K8">
            <v>184.03627232583241</v>
          </cell>
          <cell r="L8">
            <v>206.52561714368758</v>
          </cell>
          <cell r="M8">
            <v>164.71434873663304</v>
          </cell>
          <cell r="N8">
            <v>175.50205601109406</v>
          </cell>
          <cell r="O8">
            <v>200.22566827800492</v>
          </cell>
          <cell r="P8">
            <v>188.5054521568448</v>
          </cell>
          <cell r="Q8">
            <v>170.8967612232623</v>
          </cell>
          <cell r="R8">
            <v>161.95108485030673</v>
          </cell>
          <cell r="S8">
            <v>172.02345759066486</v>
          </cell>
          <cell r="T8">
            <v>131.93979559188455</v>
          </cell>
          <cell r="U8">
            <v>141.47761578386675</v>
          </cell>
          <cell r="V8">
            <v>106.89055764068763</v>
          </cell>
          <cell r="W8">
            <v>113.15515291849046</v>
          </cell>
          <cell r="X8">
            <v>138.13557314276079</v>
          </cell>
          <cell r="Y8">
            <v>169.02708307696261</v>
          </cell>
          <cell r="Z8">
            <v>153.53024995378019</v>
          </cell>
          <cell r="AA8">
            <v>161.33241619537441</v>
          </cell>
          <cell r="AB8">
            <v>156.67882510375776</v>
          </cell>
          <cell r="AC8">
            <v>138.75832568203438</v>
          </cell>
          <cell r="AD8">
            <v>150.69307981068712</v>
          </cell>
          <cell r="AE8">
            <v>208.40252221105044</v>
          </cell>
          <cell r="AF8">
            <v>197.13992135062759</v>
          </cell>
          <cell r="AG8">
            <v>200.60523749986694</v>
          </cell>
          <cell r="AH8">
            <v>224.50525978481684</v>
          </cell>
          <cell r="AI8">
            <v>163.49821177943855</v>
          </cell>
          <cell r="AJ8">
            <v>243.59930481462513</v>
          </cell>
          <cell r="AK8">
            <v>238.58879169255451</v>
          </cell>
          <cell r="AL8">
            <v>235.41704313956657</v>
          </cell>
          <cell r="AM8">
            <v>248.85203956201283</v>
          </cell>
          <cell r="AN8">
            <v>268.75321072825056</v>
          </cell>
          <cell r="AO8">
            <v>248.73110849697022</v>
          </cell>
          <cell r="AP8">
            <v>290.58662154368392</v>
          </cell>
          <cell r="AQ8">
            <v>276.00890481612174</v>
          </cell>
          <cell r="AR8">
            <v>249.24887125909285</v>
          </cell>
          <cell r="AS8">
            <v>405.98484117062446</v>
          </cell>
          <cell r="AT8">
            <v>504.55157581191582</v>
          </cell>
          <cell r="AU8">
            <v>582.85908624554645</v>
          </cell>
          <cell r="AV8">
            <v>727.73472989428433</v>
          </cell>
          <cell r="AW8">
            <v>694.27612935449247</v>
          </cell>
        </row>
        <row r="9">
          <cell r="A9">
            <v>1</v>
          </cell>
          <cell r="B9">
            <v>2</v>
          </cell>
          <cell r="C9">
            <v>0.17697540106473969</v>
          </cell>
          <cell r="D9">
            <v>8.2126394871689676</v>
          </cell>
          <cell r="E9">
            <v>2.1805971117932517</v>
          </cell>
          <cell r="F9">
            <v>1.3782741941847021</v>
          </cell>
          <cell r="G9">
            <v>2.9356990947963331</v>
          </cell>
          <cell r="H9">
            <v>3.2341105614880279</v>
          </cell>
          <cell r="I9">
            <v>1.8347511197271238</v>
          </cell>
          <cell r="J9">
            <v>2.5103674496080672</v>
          </cell>
          <cell r="K9">
            <v>4.0706329919892408</v>
          </cell>
          <cell r="L9">
            <v>3.516303105562212</v>
          </cell>
          <cell r="M9">
            <v>2.9129674822355693</v>
          </cell>
          <cell r="N9">
            <v>2.79582113375116</v>
          </cell>
          <cell r="O9">
            <v>4.619685574516402</v>
          </cell>
          <cell r="P9">
            <v>3.5057604720651381</v>
          </cell>
          <cell r="Q9">
            <v>1.9558365314703905</v>
          </cell>
          <cell r="R9">
            <v>3.0241428755372008</v>
          </cell>
          <cell r="S9">
            <v>2.4524078758386993</v>
          </cell>
          <cell r="T9">
            <v>1.4993570947752735</v>
          </cell>
          <cell r="U9">
            <v>2.9312249863625404</v>
          </cell>
          <cell r="V9">
            <v>1.1304122607849674</v>
          </cell>
          <cell r="W9">
            <v>0.52102494464484872</v>
          </cell>
          <cell r="X9">
            <v>2.2767969814279536</v>
          </cell>
          <cell r="Y9">
            <v>2.8400418858028922</v>
          </cell>
          <cell r="Z9">
            <v>3.6374973430884436</v>
          </cell>
          <cell r="AA9">
            <v>2.9992041586844085</v>
          </cell>
          <cell r="AB9">
            <v>3.2290041158204947</v>
          </cell>
          <cell r="AC9">
            <v>2.3507480824608171</v>
          </cell>
          <cell r="AD9">
            <v>2.5548672297728223</v>
          </cell>
          <cell r="AE9">
            <v>2.3618119461737996</v>
          </cell>
          <cell r="AF9">
            <v>4.7999063659872592</v>
          </cell>
          <cell r="AG9">
            <v>3.3424010688207613</v>
          </cell>
          <cell r="AH9">
            <v>3.9599105736803808</v>
          </cell>
          <cell r="AI9">
            <v>2.3452394263396279</v>
          </cell>
          <cell r="AJ9">
            <v>4.451900733092006</v>
          </cell>
          <cell r="AK9">
            <v>2.8668180859611101</v>
          </cell>
          <cell r="AL9">
            <v>4.0717069018917735</v>
          </cell>
          <cell r="AM9">
            <v>3.5514222193449418</v>
          </cell>
          <cell r="AN9">
            <v>2.1944146838515595</v>
          </cell>
          <cell r="AO9">
            <v>3.6306968682147409</v>
          </cell>
          <cell r="AP9">
            <v>2.260393648603368</v>
          </cell>
          <cell r="AQ9">
            <v>2.9112952434648189</v>
          </cell>
          <cell r="AR9">
            <v>5.6385697834403672</v>
          </cell>
          <cell r="AS9">
            <v>7.017284944545473</v>
          </cell>
          <cell r="AT9">
            <v>6.7363447934827043</v>
          </cell>
          <cell r="AU9">
            <v>23.545340219127901</v>
          </cell>
          <cell r="AV9">
            <v>18.566420389009124</v>
          </cell>
          <cell r="AW9">
            <v>20.094908707284748</v>
          </cell>
        </row>
        <row r="10">
          <cell r="A10">
            <v>1</v>
          </cell>
          <cell r="B10">
            <v>3</v>
          </cell>
          <cell r="C10">
            <v>74.635758822054143</v>
          </cell>
          <cell r="D10">
            <v>48.111948378709052</v>
          </cell>
          <cell r="E10">
            <v>78.550340406032987</v>
          </cell>
          <cell r="F10">
            <v>76.959759880831697</v>
          </cell>
          <cell r="G10">
            <v>89.549909584063201</v>
          </cell>
          <cell r="H10">
            <v>62.157997049462466</v>
          </cell>
          <cell r="I10">
            <v>97.818450601244635</v>
          </cell>
          <cell r="J10">
            <v>93.556995353932905</v>
          </cell>
          <cell r="K10">
            <v>126.96849494020388</v>
          </cell>
          <cell r="L10">
            <v>137.79852070028787</v>
          </cell>
          <cell r="M10">
            <v>132.96430594321689</v>
          </cell>
          <cell r="N10">
            <v>137.00842974871995</v>
          </cell>
          <cell r="O10">
            <v>146.85402408526141</v>
          </cell>
          <cell r="P10">
            <v>147.76522604458404</v>
          </cell>
          <cell r="Q10">
            <v>130.41375128338092</v>
          </cell>
          <cell r="R10">
            <v>119.86669639308924</v>
          </cell>
          <cell r="S10">
            <v>134.67444099805422</v>
          </cell>
          <cell r="T10">
            <v>140.95921159380276</v>
          </cell>
          <cell r="U10">
            <v>135.57161463493426</v>
          </cell>
          <cell r="V10">
            <v>109.05092668811129</v>
          </cell>
          <cell r="W10">
            <v>112.87362497510958</v>
          </cell>
          <cell r="X10">
            <v>136.26990585127626</v>
          </cell>
          <cell r="Y10">
            <v>184.35932061388141</v>
          </cell>
          <cell r="Z10">
            <v>182.26829691204279</v>
          </cell>
          <cell r="AA10">
            <v>163.77721260873435</v>
          </cell>
          <cell r="AB10">
            <v>140.57727121159817</v>
          </cell>
          <cell r="AC10">
            <v>156.0336186574755</v>
          </cell>
          <cell r="AD10">
            <v>166.83619396509962</v>
          </cell>
          <cell r="AE10">
            <v>193.08103432672604</v>
          </cell>
          <cell r="AF10">
            <v>231.92781228758855</v>
          </cell>
          <cell r="AG10">
            <v>252.51004889200186</v>
          </cell>
          <cell r="AH10">
            <v>217.34244905488811</v>
          </cell>
          <cell r="AI10">
            <v>195.78484134435226</v>
          </cell>
          <cell r="AJ10">
            <v>230.6970015736465</v>
          </cell>
          <cell r="AK10">
            <v>225.42351622311912</v>
          </cell>
          <cell r="AL10">
            <v>255.94250925332037</v>
          </cell>
          <cell r="AM10">
            <v>278.61597051786163</v>
          </cell>
          <cell r="AN10">
            <v>290.06060563210724</v>
          </cell>
          <cell r="AO10">
            <v>289.38181290631184</v>
          </cell>
          <cell r="AP10">
            <v>233.40409585481083</v>
          </cell>
          <cell r="AQ10">
            <v>254.85174962351715</v>
          </cell>
          <cell r="AR10">
            <v>291.82704097874978</v>
          </cell>
          <cell r="AS10">
            <v>463.05790805110001</v>
          </cell>
          <cell r="AT10">
            <v>536.97015399866382</v>
          </cell>
          <cell r="AU10">
            <v>640.58874661025925</v>
          </cell>
          <cell r="AV10">
            <v>891.54204322326473</v>
          </cell>
          <cell r="AW10">
            <v>783.67416843079468</v>
          </cell>
        </row>
        <row r="11">
          <cell r="A11">
            <v>1</v>
          </cell>
          <cell r="B11">
            <v>9</v>
          </cell>
          <cell r="C11">
            <v>0</v>
          </cell>
          <cell r="D11">
            <v>0.86142045466877992</v>
          </cell>
          <cell r="E11">
            <v>0</v>
          </cell>
          <cell r="F11">
            <v>0</v>
          </cell>
          <cell r="G11">
            <v>0</v>
          </cell>
          <cell r="H11">
            <v>0</v>
          </cell>
          <cell r="I11">
            <v>0</v>
          </cell>
          <cell r="J11">
            <v>0</v>
          </cell>
          <cell r="K11">
            <v>2.7949892699060594</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0.38851639864584975</v>
          </cell>
          <cell r="AD11">
            <v>0</v>
          </cell>
          <cell r="AE11">
            <v>0</v>
          </cell>
          <cell r="AF11">
            <v>0.13768064318493006</v>
          </cell>
          <cell r="AG11">
            <v>0</v>
          </cell>
          <cell r="AH11">
            <v>0.51721894668718016</v>
          </cell>
          <cell r="AI11">
            <v>0.54369175796834746</v>
          </cell>
          <cell r="AJ11">
            <v>0.22134846404522601</v>
          </cell>
          <cell r="AK11">
            <v>0</v>
          </cell>
          <cell r="AL11">
            <v>0</v>
          </cell>
          <cell r="AM11">
            <v>0</v>
          </cell>
          <cell r="AN11">
            <v>0</v>
          </cell>
          <cell r="AO11">
            <v>0</v>
          </cell>
          <cell r="AP11">
            <v>0.28914657572872299</v>
          </cell>
          <cell r="AQ11">
            <v>0</v>
          </cell>
          <cell r="AR11">
            <v>0</v>
          </cell>
          <cell r="AS11">
            <v>0</v>
          </cell>
          <cell r="AT11">
            <v>0.8834546624581181</v>
          </cell>
          <cell r="AU11">
            <v>0</v>
          </cell>
          <cell r="AV11">
            <v>0</v>
          </cell>
          <cell r="AW11">
            <v>0.18080901840173358</v>
          </cell>
        </row>
        <row r="12">
          <cell r="A12">
            <v>2</v>
          </cell>
          <cell r="C12">
            <v>50.508741998308409</v>
          </cell>
          <cell r="D12">
            <v>55.52654770675268</v>
          </cell>
          <cell r="E12">
            <v>69.752631169919653</v>
          </cell>
          <cell r="F12">
            <v>47.146145834254909</v>
          </cell>
          <cell r="G12">
            <v>42.845971370359671</v>
          </cell>
          <cell r="H12">
            <v>58.958360858354766</v>
          </cell>
          <cell r="I12">
            <v>53.011496448427565</v>
          </cell>
          <cell r="J12">
            <v>41.712536001931781</v>
          </cell>
          <cell r="K12">
            <v>73.799467985519613</v>
          </cell>
          <cell r="L12">
            <v>50.363589206070735</v>
          </cell>
          <cell r="M12">
            <v>49.499901372439496</v>
          </cell>
          <cell r="N12">
            <v>41.146257138981348</v>
          </cell>
          <cell r="O12">
            <v>58.813728390377413</v>
          </cell>
          <cell r="P12">
            <v>60.587289982395859</v>
          </cell>
          <cell r="Q12">
            <v>43.191495888064722</v>
          </cell>
          <cell r="R12">
            <v>52.047796138646468</v>
          </cell>
          <cell r="S12">
            <v>54.258930863120113</v>
          </cell>
          <cell r="T12">
            <v>37.789785420488784</v>
          </cell>
          <cell r="U12">
            <v>40.418373316940958</v>
          </cell>
          <cell r="V12">
            <v>37.585127719037985</v>
          </cell>
          <cell r="W12">
            <v>31.692612528630306</v>
          </cell>
          <cell r="X12">
            <v>58.143089267579953</v>
          </cell>
          <cell r="Y12">
            <v>61.645050711213621</v>
          </cell>
          <cell r="Z12">
            <v>53.268812692654699</v>
          </cell>
          <cell r="AA12">
            <v>42.762658589009526</v>
          </cell>
          <cell r="AB12">
            <v>36.445446397060394</v>
          </cell>
          <cell r="AC12">
            <v>50.678151240229347</v>
          </cell>
          <cell r="AD12">
            <v>51.955552881151284</v>
          </cell>
          <cell r="AE12">
            <v>54.622819576853004</v>
          </cell>
          <cell r="AF12">
            <v>37.172984498677934</v>
          </cell>
          <cell r="AG12">
            <v>48.842158659917892</v>
          </cell>
          <cell r="AH12">
            <v>50.611797910299913</v>
          </cell>
          <cell r="AI12">
            <v>54.332916858689501</v>
          </cell>
          <cell r="AJ12">
            <v>83.371201019047277</v>
          </cell>
          <cell r="AK12">
            <v>42.800031079064333</v>
          </cell>
          <cell r="AL12">
            <v>53.14355206405218</v>
          </cell>
          <cell r="AM12">
            <v>54.753751419694126</v>
          </cell>
          <cell r="AN12">
            <v>51.444927607337277</v>
          </cell>
          <cell r="AO12">
            <v>51.191202175447025</v>
          </cell>
          <cell r="AP12">
            <v>47.501855027703606</v>
          </cell>
          <cell r="AQ12">
            <v>46.110495035053155</v>
          </cell>
          <cell r="AR12">
            <v>46.526406715180876</v>
          </cell>
          <cell r="AS12">
            <v>45.105295686157788</v>
          </cell>
          <cell r="AT12">
            <v>40.231249659595001</v>
          </cell>
          <cell r="AU12">
            <v>37.572863506301942</v>
          </cell>
          <cell r="AV12">
            <v>43.182052350197729</v>
          </cell>
          <cell r="AW12">
            <v>38.198949654297536</v>
          </cell>
        </row>
        <row r="13">
          <cell r="A13">
            <v>2</v>
          </cell>
          <cell r="B13">
            <v>1</v>
          </cell>
          <cell r="C13">
            <v>2899.3061476325852</v>
          </cell>
          <cell r="D13">
            <v>2999.8151100155392</v>
          </cell>
          <cell r="E13">
            <v>2819.0283613218899</v>
          </cell>
          <cell r="F13">
            <v>2842.3982284439435</v>
          </cell>
          <cell r="G13">
            <v>3067.325172887754</v>
          </cell>
          <cell r="H13">
            <v>3002.1122502057688</v>
          </cell>
          <cell r="I13">
            <v>2951.3011129411352</v>
          </cell>
          <cell r="J13">
            <v>3259.9743381563376</v>
          </cell>
          <cell r="K13">
            <v>3120.4653173247489</v>
          </cell>
          <cell r="L13">
            <v>3078.0775414032446</v>
          </cell>
          <cell r="M13">
            <v>3161.7348743082139</v>
          </cell>
          <cell r="N13">
            <v>3293.0214367216372</v>
          </cell>
          <cell r="O13">
            <v>3249.7174052330788</v>
          </cell>
          <cell r="P13">
            <v>3255.1982016507036</v>
          </cell>
          <cell r="Q13">
            <v>3058.6787461410368</v>
          </cell>
          <cell r="R13">
            <v>3241.2701156135063</v>
          </cell>
          <cell r="S13">
            <v>3073.5529638598859</v>
          </cell>
          <cell r="T13">
            <v>3029.8965288482673</v>
          </cell>
          <cell r="U13">
            <v>3151.7878101851265</v>
          </cell>
          <cell r="V13">
            <v>3322.4711216650303</v>
          </cell>
          <cell r="W13">
            <v>3292.7465151837182</v>
          </cell>
          <cell r="X13">
            <v>3202.4943712624308</v>
          </cell>
          <cell r="Y13">
            <v>3332.4462240523799</v>
          </cell>
          <cell r="Z13">
            <v>3201.1452360736166</v>
          </cell>
          <cell r="AA13">
            <v>3266.5177584125904</v>
          </cell>
          <cell r="AB13">
            <v>3132.6054915739746</v>
          </cell>
          <cell r="AC13">
            <v>3097.7882589014703</v>
          </cell>
          <cell r="AD13">
            <v>3056.4770080500462</v>
          </cell>
          <cell r="AE13">
            <v>3208.5277292559294</v>
          </cell>
          <cell r="AF13">
            <v>3179.5969883514281</v>
          </cell>
          <cell r="AG13">
            <v>3277.1082982741964</v>
          </cell>
          <cell r="AH13">
            <v>3266.0775560213706</v>
          </cell>
          <cell r="AI13">
            <v>3230.5490893391629</v>
          </cell>
          <cell r="AJ13">
            <v>3436.6418233526119</v>
          </cell>
          <cell r="AK13">
            <v>3348.6077345305016</v>
          </cell>
          <cell r="AL13">
            <v>3365.4581533653623</v>
          </cell>
          <cell r="AM13">
            <v>3313.2212912626378</v>
          </cell>
          <cell r="AN13">
            <v>3311.0872998639425</v>
          </cell>
          <cell r="AO13">
            <v>3334.7011147619332</v>
          </cell>
          <cell r="AP13">
            <v>3266.159690788751</v>
          </cell>
          <cell r="AQ13">
            <v>3401.8075453997735</v>
          </cell>
          <cell r="AR13">
            <v>3336.9998700544893</v>
          </cell>
          <cell r="AS13">
            <v>3491.6325746942571</v>
          </cell>
          <cell r="AT13">
            <v>3412.0096084712382</v>
          </cell>
          <cell r="AU13">
            <v>3367.1433343940216</v>
          </cell>
          <cell r="AV13">
            <v>3387.642231285231</v>
          </cell>
          <cell r="AW13">
            <v>3465.7930022480768</v>
          </cell>
        </row>
        <row r="14">
          <cell r="A14">
            <v>2</v>
          </cell>
          <cell r="B14">
            <v>2</v>
          </cell>
          <cell r="C14">
            <v>87.39556628433418</v>
          </cell>
          <cell r="D14">
            <v>141.8310139720285</v>
          </cell>
          <cell r="E14">
            <v>125.7877296343305</v>
          </cell>
          <cell r="F14">
            <v>81.195243413477428</v>
          </cell>
          <cell r="G14">
            <v>106.37071670517166</v>
          </cell>
          <cell r="H14">
            <v>109.03110341972271</v>
          </cell>
          <cell r="I14">
            <v>83.702507164582883</v>
          </cell>
          <cell r="J14">
            <v>143.28023931709311</v>
          </cell>
          <cell r="K14">
            <v>110.30513593840378</v>
          </cell>
          <cell r="L14">
            <v>97.594989513165004</v>
          </cell>
          <cell r="M14">
            <v>121.72441708204573</v>
          </cell>
          <cell r="N14">
            <v>99.405456747228612</v>
          </cell>
          <cell r="O14">
            <v>108.43314536300468</v>
          </cell>
          <cell r="P14">
            <v>146.60613417841674</v>
          </cell>
          <cell r="Q14">
            <v>130.91459745656684</v>
          </cell>
          <cell r="R14">
            <v>150.42467986130399</v>
          </cell>
          <cell r="S14">
            <v>125.78512897916694</v>
          </cell>
          <cell r="T14">
            <v>105.52460793979705</v>
          </cell>
          <cell r="U14">
            <v>118.19694268807604</v>
          </cell>
          <cell r="V14">
            <v>116.08729693501206</v>
          </cell>
          <cell r="W14">
            <v>124.66137956767022</v>
          </cell>
          <cell r="X14">
            <v>155.85289560775661</v>
          </cell>
          <cell r="Y14">
            <v>117.27313406951639</v>
          </cell>
          <cell r="Z14">
            <v>130.84672685004259</v>
          </cell>
          <cell r="AA14">
            <v>133.79198022613528</v>
          </cell>
          <cell r="AB14">
            <v>149.01605169999701</v>
          </cell>
          <cell r="AC14">
            <v>155.94794439249281</v>
          </cell>
          <cell r="AD14">
            <v>140.04539211603009</v>
          </cell>
          <cell r="AE14">
            <v>163.79727306604303</v>
          </cell>
          <cell r="AF14">
            <v>151.17016303696985</v>
          </cell>
          <cell r="AG14">
            <v>155.90044416801021</v>
          </cell>
          <cell r="AH14">
            <v>147.62771519418652</v>
          </cell>
          <cell r="AI14">
            <v>152.181401229079</v>
          </cell>
          <cell r="AJ14">
            <v>136.72262743498712</v>
          </cell>
          <cell r="AK14">
            <v>135.12725160604731</v>
          </cell>
          <cell r="AL14">
            <v>123.76769107397605</v>
          </cell>
          <cell r="AM14">
            <v>141.67027083822106</v>
          </cell>
          <cell r="AN14">
            <v>151.36809255113778</v>
          </cell>
          <cell r="AO14">
            <v>147.40905963655064</v>
          </cell>
          <cell r="AP14">
            <v>140.62242669195763</v>
          </cell>
          <cell r="AQ14">
            <v>141.37283673912879</v>
          </cell>
          <cell r="AR14">
            <v>205.34959992130686</v>
          </cell>
          <cell r="AS14">
            <v>147.70620724590717</v>
          </cell>
          <cell r="AT14">
            <v>191.70379912752605</v>
          </cell>
          <cell r="AU14">
            <v>184.49868858662288</v>
          </cell>
          <cell r="AV14">
            <v>175.1475793598664</v>
          </cell>
          <cell r="AW14">
            <v>226.2823820756976</v>
          </cell>
        </row>
        <row r="15">
          <cell r="A15">
            <v>2</v>
          </cell>
          <cell r="B15">
            <v>3</v>
          </cell>
          <cell r="C15">
            <v>64.493620733067232</v>
          </cell>
          <cell r="D15">
            <v>57.636612215411979</v>
          </cell>
          <cell r="E15">
            <v>54.152714331020874</v>
          </cell>
          <cell r="F15">
            <v>56.934226110513087</v>
          </cell>
          <cell r="G15">
            <v>70.305040552420508</v>
          </cell>
          <cell r="H15">
            <v>64.226588152059037</v>
          </cell>
          <cell r="I15">
            <v>76.290419440999528</v>
          </cell>
          <cell r="J15">
            <v>46.021511753451598</v>
          </cell>
          <cell r="K15">
            <v>52.340755434178782</v>
          </cell>
          <cell r="L15">
            <v>47.399276473705569</v>
          </cell>
          <cell r="M15">
            <v>60.076461622936833</v>
          </cell>
          <cell r="N15">
            <v>45.284859159514689</v>
          </cell>
          <cell r="O15">
            <v>52.316124700663636</v>
          </cell>
          <cell r="P15">
            <v>68.22444229521399</v>
          </cell>
          <cell r="Q15">
            <v>90.629177668252666</v>
          </cell>
          <cell r="R15">
            <v>71.976452233410342</v>
          </cell>
          <cell r="S15">
            <v>81.85581630383659</v>
          </cell>
          <cell r="T15">
            <v>70.227308648405028</v>
          </cell>
          <cell r="U15">
            <v>54.138051313162421</v>
          </cell>
          <cell r="V15">
            <v>60.359388804228743</v>
          </cell>
          <cell r="W15">
            <v>58.914856464463767</v>
          </cell>
          <cell r="X15">
            <v>52.638026997866831</v>
          </cell>
          <cell r="Y15">
            <v>53.192608809563914</v>
          </cell>
          <cell r="Z15">
            <v>51.010889684574707</v>
          </cell>
          <cell r="AA15">
            <v>70.850090374854219</v>
          </cell>
          <cell r="AB15">
            <v>73.900989109995194</v>
          </cell>
          <cell r="AC15">
            <v>73.95112180630899</v>
          </cell>
          <cell r="AD15">
            <v>63.522445428411089</v>
          </cell>
          <cell r="AE15">
            <v>53.750996908756065</v>
          </cell>
          <cell r="AF15">
            <v>69.452118773245545</v>
          </cell>
          <cell r="AG15">
            <v>70.602028118089194</v>
          </cell>
          <cell r="AH15">
            <v>51.326298536999744</v>
          </cell>
          <cell r="AI15">
            <v>58.375134757666046</v>
          </cell>
          <cell r="AJ15">
            <v>75.724547043315823</v>
          </cell>
          <cell r="AK15">
            <v>60.094985873819972</v>
          </cell>
          <cell r="AL15">
            <v>72.583856057547905</v>
          </cell>
          <cell r="AM15">
            <v>54.896414472448832</v>
          </cell>
          <cell r="AN15">
            <v>62.905032915405457</v>
          </cell>
          <cell r="AO15">
            <v>73.250888218601503</v>
          </cell>
          <cell r="AP15">
            <v>61.004280399164706</v>
          </cell>
          <cell r="AQ15">
            <v>77.971254168047352</v>
          </cell>
          <cell r="AR15">
            <v>48.855037291463525</v>
          </cell>
          <cell r="AS15">
            <v>58.250277903673329</v>
          </cell>
          <cell r="AT15">
            <v>61.271751381368688</v>
          </cell>
          <cell r="AU15">
            <v>41.007098510271433</v>
          </cell>
          <cell r="AV15">
            <v>55.092596675434756</v>
          </cell>
          <cell r="AW15">
            <v>51.225596169142939</v>
          </cell>
        </row>
        <row r="16">
          <cell r="A16">
            <v>2</v>
          </cell>
          <cell r="B16">
            <v>9</v>
          </cell>
          <cell r="C16">
            <v>0</v>
          </cell>
          <cell r="D16">
            <v>1.1466906141062156</v>
          </cell>
          <cell r="E16">
            <v>1.471147536174009</v>
          </cell>
          <cell r="F16">
            <v>0</v>
          </cell>
          <cell r="G16">
            <v>0.18934912332181963</v>
          </cell>
          <cell r="H16">
            <v>0</v>
          </cell>
          <cell r="I16">
            <v>0</v>
          </cell>
          <cell r="J16">
            <v>0.9605849411453703</v>
          </cell>
          <cell r="K16">
            <v>0</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0</v>
          </cell>
          <cell r="AF16">
            <v>0</v>
          </cell>
          <cell r="AG16">
            <v>0</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3.5465880387732089</v>
          </cell>
          <cell r="AT17">
            <v>3.2395485068182714</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13.162247565301032</v>
          </cell>
          <cell r="AS18">
            <v>9.7620088400570797</v>
          </cell>
          <cell r="AT18">
            <v>10.094409312859156</v>
          </cell>
          <cell r="AU18">
            <v>4.8336645086701813</v>
          </cell>
          <cell r="AV18">
            <v>12.549477633919553</v>
          </cell>
          <cell r="AW18">
            <v>6.1239144480169472</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1.0257226069781988</v>
          </cell>
          <cell r="AW20">
            <v>0.63650147050998229</v>
          </cell>
        </row>
        <row r="21">
          <cell r="A21">
            <v>9</v>
          </cell>
          <cell r="C21">
            <v>3.0244847298928694</v>
          </cell>
          <cell r="D21">
            <v>2.1544482523608379</v>
          </cell>
          <cell r="E21">
            <v>0.18897011167774641</v>
          </cell>
          <cell r="F21">
            <v>0.16078019565672028</v>
          </cell>
          <cell r="G21">
            <v>0</v>
          </cell>
          <cell r="H21">
            <v>0.36049063480468102</v>
          </cell>
          <cell r="I21">
            <v>0</v>
          </cell>
          <cell r="J21">
            <v>0</v>
          </cell>
          <cell r="K21">
            <v>0</v>
          </cell>
          <cell r="L21">
            <v>0.80306808603333268</v>
          </cell>
          <cell r="M21">
            <v>0</v>
          </cell>
          <cell r="N21">
            <v>0</v>
          </cell>
          <cell r="O21">
            <v>0</v>
          </cell>
          <cell r="P21">
            <v>0.22320783015751797</v>
          </cell>
          <cell r="Q21">
            <v>0</v>
          </cell>
          <cell r="R21">
            <v>0.66962311856738954</v>
          </cell>
          <cell r="S21">
            <v>0</v>
          </cell>
          <cell r="T21">
            <v>0.11456784815245076</v>
          </cell>
          <cell r="U21">
            <v>0</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9.6173469532995846</v>
          </cell>
          <cell r="D22">
            <v>13.903552544278933</v>
          </cell>
          <cell r="E22">
            <v>6.1913398309196221</v>
          </cell>
          <cell r="F22">
            <v>8.0651436163322021</v>
          </cell>
          <cell r="G22">
            <v>1.9655618919796927</v>
          </cell>
          <cell r="H22">
            <v>1.6236445574569449</v>
          </cell>
          <cell r="I22">
            <v>1.8234770261127542</v>
          </cell>
          <cell r="J22">
            <v>9.1514211109074832</v>
          </cell>
          <cell r="K22">
            <v>0</v>
          </cell>
          <cell r="L22">
            <v>6.4072339243992378</v>
          </cell>
          <cell r="M22">
            <v>0.96041319984853502</v>
          </cell>
          <cell r="N22">
            <v>0</v>
          </cell>
          <cell r="O22">
            <v>1.5754936255058591</v>
          </cell>
          <cell r="P22">
            <v>2.0198311270058689</v>
          </cell>
          <cell r="Q22">
            <v>3.6417027654911736</v>
          </cell>
          <cell r="R22">
            <v>2.3539117066071751</v>
          </cell>
          <cell r="S22">
            <v>1.1903514194934037</v>
          </cell>
          <cell r="T22">
            <v>3.1655965226540448</v>
          </cell>
          <cell r="U22">
            <v>0.7713615757740675</v>
          </cell>
          <cell r="V22">
            <v>6.1890114767425297</v>
          </cell>
          <cell r="W22">
            <v>0.47557170931427123</v>
          </cell>
          <cell r="X22">
            <v>0.68780487678004099</v>
          </cell>
          <cell r="Y22">
            <v>0</v>
          </cell>
          <cell r="Z22">
            <v>0</v>
          </cell>
          <cell r="AA22">
            <v>0</v>
          </cell>
          <cell r="AB22">
            <v>0</v>
          </cell>
          <cell r="AC22">
            <v>0</v>
          </cell>
          <cell r="AD22">
            <v>0</v>
          </cell>
          <cell r="AE22">
            <v>0</v>
          </cell>
          <cell r="AF22">
            <v>0</v>
          </cell>
          <cell r="AG22">
            <v>0</v>
          </cell>
          <cell r="AH22">
            <v>0</v>
          </cell>
          <cell r="AI22">
            <v>0</v>
          </cell>
          <cell r="AJ22">
            <v>0</v>
          </cell>
          <cell r="AK22">
            <v>0</v>
          </cell>
          <cell r="AL22">
            <v>1.9214084991218914</v>
          </cell>
          <cell r="AM22">
            <v>2.221745328958566</v>
          </cell>
          <cell r="AN22">
            <v>1.6321616584609815</v>
          </cell>
          <cell r="AO22">
            <v>2.2237093724057666</v>
          </cell>
          <cell r="AP22">
            <v>2.6018157928842593</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row>
        <row r="24">
          <cell r="A24">
            <v>9</v>
          </cell>
          <cell r="B24">
            <v>3</v>
          </cell>
          <cell r="C24">
            <v>1.0059148525854784</v>
          </cell>
          <cell r="D24">
            <v>1.365537122242285</v>
          </cell>
          <cell r="E24">
            <v>0.23032098403334703</v>
          </cell>
          <cell r="F24">
            <v>3.8123509621510423</v>
          </cell>
          <cell r="G24">
            <v>0.19883446699391474</v>
          </cell>
          <cell r="H24">
            <v>0</v>
          </cell>
          <cell r="I24">
            <v>9.9907538162680068E-2</v>
          </cell>
          <cell r="J24">
            <v>0</v>
          </cell>
          <cell r="K24">
            <v>0</v>
          </cell>
          <cell r="L24">
            <v>0.28708983657807913</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0.93381644301797961</v>
          </cell>
          <cell r="AM24">
            <v>0</v>
          </cell>
          <cell r="AN24">
            <v>0</v>
          </cell>
          <cell r="AO24">
            <v>0</v>
          </cell>
          <cell r="AP24">
            <v>2.7690807667035138</v>
          </cell>
          <cell r="AQ24">
            <v>0</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v>
          </cell>
          <cell r="J25">
            <v>2.199195434072144</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a"/>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3071.9350962198564</v>
          </cell>
          <cell r="D2">
            <v>2584.5999558839521</v>
          </cell>
          <cell r="E2">
            <v>2639.765868065735</v>
          </cell>
          <cell r="F2">
            <v>2474.5619957438962</v>
          </cell>
          <cell r="G2">
            <v>2167.3831231472959</v>
          </cell>
          <cell r="H2">
            <v>2413.7946763365358</v>
          </cell>
          <cell r="I2">
            <v>2846.226274983544</v>
          </cell>
          <cell r="J2">
            <v>1962.7884911860203</v>
          </cell>
          <cell r="K2">
            <v>2380.8240831614921</v>
          </cell>
          <cell r="L2">
            <v>2392.0030245229768</v>
          </cell>
          <cell r="M2">
            <v>2259.9482810479649</v>
          </cell>
          <cell r="N2">
            <v>2304.2711962035414</v>
          </cell>
          <cell r="O2">
            <v>2494.0897282374808</v>
          </cell>
          <cell r="P2">
            <v>2398.6816577966447</v>
          </cell>
          <cell r="Q2">
            <v>2224.1833093084128</v>
          </cell>
          <cell r="R2">
            <v>2076.3276034950063</v>
          </cell>
          <cell r="S2">
            <v>2214.1811995647845</v>
          </cell>
          <cell r="T2">
            <v>2210.8498251385049</v>
          </cell>
          <cell r="U2">
            <v>2357.8668664144298</v>
          </cell>
          <cell r="V2">
            <v>2108.8698914277297</v>
          </cell>
          <cell r="W2">
            <v>1850.60247193686</v>
          </cell>
          <cell r="X2">
            <v>2073.065767386558</v>
          </cell>
          <cell r="Y2">
            <v>2123.1417118692802</v>
          </cell>
          <cell r="Z2">
            <v>1803.8740327245296</v>
          </cell>
          <cell r="AA2">
            <v>2070.8831400960535</v>
          </cell>
          <cell r="AB2">
            <v>1976.0032001352602</v>
          </cell>
          <cell r="AC2">
            <v>1848.4682484472346</v>
          </cell>
          <cell r="AD2">
            <v>1850.1717331503564</v>
          </cell>
          <cell r="AE2">
            <v>1918.7207444491296</v>
          </cell>
          <cell r="AF2">
            <v>2108.5375113746504</v>
          </cell>
          <cell r="AG2">
            <v>2046.7116124314787</v>
          </cell>
          <cell r="AH2">
            <v>1987.0357886516206</v>
          </cell>
          <cell r="AI2">
            <v>1966.0163912523819</v>
          </cell>
          <cell r="AJ2">
            <v>1882.8321741744646</v>
          </cell>
          <cell r="AK2">
            <v>1713.2115524505359</v>
          </cell>
          <cell r="AL2">
            <v>1721.2098775944601</v>
          </cell>
          <cell r="AM2">
            <v>2061.8888197376009</v>
          </cell>
          <cell r="AN2">
            <v>1713.1307233028945</v>
          </cell>
          <cell r="AO2">
            <v>1797.7226647239745</v>
          </cell>
          <cell r="AP2">
            <v>1758.1800887158104</v>
          </cell>
          <cell r="AQ2">
            <v>1649.3148532405851</v>
          </cell>
          <cell r="AR2">
            <v>1752.9638155669995</v>
          </cell>
          <cell r="AS2">
            <v>1648.1567737906628</v>
          </cell>
          <cell r="AT2">
            <v>1720.8855381253722</v>
          </cell>
          <cell r="AU2">
            <v>1612.8193556425424</v>
          </cell>
          <cell r="AV2">
            <v>1340.7056437654419</v>
          </cell>
          <cell r="AW2">
            <v>1238.6121554883057</v>
          </cell>
        </row>
        <row r="3">
          <cell r="B3">
            <v>1</v>
          </cell>
          <cell r="C3">
            <v>3040.3727045798655</v>
          </cell>
          <cell r="D3">
            <v>3088.0767017907033</v>
          </cell>
          <cell r="E3">
            <v>3103.3067242095981</v>
          </cell>
          <cell r="F3">
            <v>2847.2229374916042</v>
          </cell>
          <cell r="G3">
            <v>3038.5254059574013</v>
          </cell>
          <cell r="H3">
            <v>3027.8233872837773</v>
          </cell>
          <cell r="I3">
            <v>3171.0723523855868</v>
          </cell>
          <cell r="J3">
            <v>3167.4391337695893</v>
          </cell>
          <cell r="K3">
            <v>2969.429335115401</v>
          </cell>
          <cell r="L3">
            <v>3038.4882934523275</v>
          </cell>
          <cell r="M3">
            <v>3139.399190025812</v>
          </cell>
          <cell r="N3">
            <v>3143.7723936670659</v>
          </cell>
          <cell r="O3">
            <v>3075.4764834589</v>
          </cell>
          <cell r="P3">
            <v>3367.1547304826195</v>
          </cell>
          <cell r="Q3">
            <v>3150.6867470987263</v>
          </cell>
          <cell r="R3">
            <v>2999.7353895924443</v>
          </cell>
          <cell r="S3">
            <v>3015.6004418972252</v>
          </cell>
          <cell r="T3">
            <v>3075.1780781237485</v>
          </cell>
          <cell r="U3">
            <v>3503.1942383895885</v>
          </cell>
          <cell r="V3">
            <v>3231.4762313261749</v>
          </cell>
          <cell r="W3">
            <v>3162.1970141044167</v>
          </cell>
          <cell r="X3">
            <v>3348.4547600041478</v>
          </cell>
          <cell r="Y3">
            <v>3281.498056784028</v>
          </cell>
          <cell r="Z3">
            <v>3243.6391007272418</v>
          </cell>
          <cell r="AA3">
            <v>3112.8316214729516</v>
          </cell>
          <cell r="AB3">
            <v>3361.3398063690674</v>
          </cell>
          <cell r="AC3">
            <v>3226.3258733677249</v>
          </cell>
          <cell r="AD3">
            <v>2904.3034848549291</v>
          </cell>
          <cell r="AE3">
            <v>3003.9109750162575</v>
          </cell>
          <cell r="AF3">
            <v>3061.2795138739511</v>
          </cell>
          <cell r="AG3">
            <v>3111.266904915959</v>
          </cell>
          <cell r="AH3">
            <v>3237.6597692892901</v>
          </cell>
          <cell r="AI3">
            <v>3091.4552264925751</v>
          </cell>
          <cell r="AJ3">
            <v>2982.1946533613382</v>
          </cell>
          <cell r="AK3">
            <v>3040.4336457925574</v>
          </cell>
          <cell r="AL3">
            <v>2895.7770210162184</v>
          </cell>
          <cell r="AM3">
            <v>3383.9306119982084</v>
          </cell>
          <cell r="AN3">
            <v>3327.8240227556503</v>
          </cell>
          <cell r="AO3">
            <v>3104.8287355512625</v>
          </cell>
          <cell r="AP3">
            <v>3102.4046898104998</v>
          </cell>
          <cell r="AQ3">
            <v>3082.9149846540013</v>
          </cell>
          <cell r="AR3">
            <v>3007.8415536070565</v>
          </cell>
          <cell r="AS3">
            <v>2869.5348464547051</v>
          </cell>
          <cell r="AT3">
            <v>2864.8283582428653</v>
          </cell>
          <cell r="AU3">
            <v>2724.9892589456313</v>
          </cell>
          <cell r="AV3">
            <v>2303.2248856276506</v>
          </cell>
          <cell r="AW3">
            <v>2382.2603485346663</v>
          </cell>
        </row>
        <row r="4">
          <cell r="B4">
            <v>2</v>
          </cell>
          <cell r="C4">
            <v>111.48717323486794</v>
          </cell>
          <cell r="D4">
            <v>121.11162201579141</v>
          </cell>
          <cell r="E4">
            <v>83.381594952415199</v>
          </cell>
          <cell r="F4">
            <v>100.93336949423144</v>
          </cell>
          <cell r="G4">
            <v>98.183309009692351</v>
          </cell>
          <cell r="H4">
            <v>108.35766199150694</v>
          </cell>
          <cell r="I4">
            <v>70.360975824899754</v>
          </cell>
          <cell r="J4">
            <v>76.895440164971546</v>
          </cell>
          <cell r="K4">
            <v>92.928730654684813</v>
          </cell>
          <cell r="L4">
            <v>66.940592257133915</v>
          </cell>
          <cell r="M4">
            <v>101.27573482359806</v>
          </cell>
          <cell r="N4">
            <v>87.594956316007512</v>
          </cell>
          <cell r="O4">
            <v>136.79408680738391</v>
          </cell>
          <cell r="P4">
            <v>126.2383838321807</v>
          </cell>
          <cell r="Q4">
            <v>97.774672260756333</v>
          </cell>
          <cell r="R4">
            <v>97.729560286245402</v>
          </cell>
          <cell r="S4">
            <v>106.82280636304901</v>
          </cell>
          <cell r="T4">
            <v>86.569134465439348</v>
          </cell>
          <cell r="U4">
            <v>106.92587209588478</v>
          </cell>
          <cell r="V4">
            <v>124.32176595556763</v>
          </cell>
          <cell r="W4">
            <v>100.19377135122087</v>
          </cell>
          <cell r="X4">
            <v>126.85683617658623</v>
          </cell>
          <cell r="Y4">
            <v>109.99929512869753</v>
          </cell>
          <cell r="Z4">
            <v>78.283781056292213</v>
          </cell>
          <cell r="AA4">
            <v>90.372731762522875</v>
          </cell>
          <cell r="AB4">
            <v>132.42185089070745</v>
          </cell>
          <cell r="AC4">
            <v>76.325337415735149</v>
          </cell>
          <cell r="AD4">
            <v>124.59793283783381</v>
          </cell>
          <cell r="AE4">
            <v>125.4196272725212</v>
          </cell>
          <cell r="AF4">
            <v>121.63827894041222</v>
          </cell>
          <cell r="AG4">
            <v>104.7371712324333</v>
          </cell>
          <cell r="AH4">
            <v>111.48176827441546</v>
          </cell>
          <cell r="AI4">
            <v>135.94728671096809</v>
          </cell>
          <cell r="AJ4">
            <v>112.28655068945645</v>
          </cell>
          <cell r="AK4">
            <v>100.84454432898751</v>
          </cell>
          <cell r="AL4">
            <v>126.6996983683327</v>
          </cell>
          <cell r="AM4">
            <v>116.79352861367616</v>
          </cell>
          <cell r="AN4">
            <v>143.32468999090744</v>
          </cell>
          <cell r="AO4">
            <v>145.42932157455431</v>
          </cell>
          <cell r="AP4">
            <v>119.67499514603634</v>
          </cell>
          <cell r="AQ4">
            <v>158.07653804844108</v>
          </cell>
          <cell r="AR4">
            <v>120.98065076912317</v>
          </cell>
          <cell r="AS4">
            <v>126.51232666228205</v>
          </cell>
          <cell r="AT4">
            <v>135.16542945604431</v>
          </cell>
          <cell r="AU4">
            <v>140.04350922585755</v>
          </cell>
          <cell r="AV4">
            <v>93.291083373590766</v>
          </cell>
          <cell r="AW4">
            <v>136.90920562983516</v>
          </cell>
        </row>
        <row r="5">
          <cell r="B5">
            <v>3</v>
          </cell>
          <cell r="C5">
            <v>5263.9398164336244</v>
          </cell>
          <cell r="D5">
            <v>4970.0138675746593</v>
          </cell>
          <cell r="E5">
            <v>5659.4194759754673</v>
          </cell>
          <cell r="F5">
            <v>5392.0616905634679</v>
          </cell>
          <cell r="G5">
            <v>5540.3485648306414</v>
          </cell>
          <cell r="H5">
            <v>5115.829640349446</v>
          </cell>
          <cell r="I5">
            <v>5199.0756704722053</v>
          </cell>
          <cell r="J5">
            <v>5180.369031942626</v>
          </cell>
          <cell r="K5">
            <v>5407.1786918869957</v>
          </cell>
          <cell r="L5">
            <v>5146.0896346915415</v>
          </cell>
          <cell r="M5">
            <v>5303.1114817175685</v>
          </cell>
          <cell r="N5">
            <v>5263.1692813720629</v>
          </cell>
          <cell r="O5">
            <v>5703.2684075781417</v>
          </cell>
          <cell r="P5">
            <v>4883.9233859363849</v>
          </cell>
          <cell r="Q5">
            <v>5575.9106043518377</v>
          </cell>
          <cell r="R5">
            <v>5056.7918892804</v>
          </cell>
          <cell r="S5">
            <v>5654.3183493368924</v>
          </cell>
          <cell r="T5">
            <v>5797.0147481255344</v>
          </cell>
          <cell r="U5">
            <v>5621.7275582724978</v>
          </cell>
          <cell r="V5">
            <v>5674.6134138459038</v>
          </cell>
          <cell r="W5">
            <v>5469.85066003462</v>
          </cell>
          <cell r="X5">
            <v>5162.8918882642465</v>
          </cell>
          <cell r="Y5">
            <v>5548.2655210789708</v>
          </cell>
          <cell r="Z5">
            <v>5883.026806682924</v>
          </cell>
          <cell r="AA5">
            <v>6030.2001047555095</v>
          </cell>
          <cell r="AB5">
            <v>5181.4161119859655</v>
          </cell>
          <cell r="AC5">
            <v>5943.559501160833</v>
          </cell>
          <cell r="AD5">
            <v>6044.419060160998</v>
          </cell>
          <cell r="AE5">
            <v>6000.1157530810224</v>
          </cell>
          <cell r="AF5">
            <v>6123.4486731681518</v>
          </cell>
          <cell r="AG5">
            <v>5966.7372584479253</v>
          </cell>
          <cell r="AH5">
            <v>6155.4934221393623</v>
          </cell>
          <cell r="AI5">
            <v>6436.793698087994</v>
          </cell>
          <cell r="AJ5">
            <v>6018.6684195043345</v>
          </cell>
          <cell r="AK5">
            <v>6259.0005585987919</v>
          </cell>
          <cell r="AL5">
            <v>6193.1225884749683</v>
          </cell>
          <cell r="AM5">
            <v>6736.2335314380898</v>
          </cell>
          <cell r="AN5">
            <v>6541.4438353640016</v>
          </cell>
          <cell r="AO5">
            <v>7069.2544955801577</v>
          </cell>
          <cell r="AP5">
            <v>6375.8651052491323</v>
          </cell>
          <cell r="AQ5">
            <v>6325.5285682928297</v>
          </cell>
          <cell r="AR5">
            <v>6294.0076073838</v>
          </cell>
          <cell r="AS5">
            <v>6031.6857504516365</v>
          </cell>
          <cell r="AT5">
            <v>5665.5393712368914</v>
          </cell>
          <cell r="AU5">
            <v>6056.2064945337779</v>
          </cell>
          <cell r="AV5">
            <v>5020.2603825143124</v>
          </cell>
          <cell r="AW5">
            <v>5256.0073519677053</v>
          </cell>
        </row>
        <row r="6">
          <cell r="B6">
            <v>9</v>
          </cell>
          <cell r="C6">
            <v>6.136728135332894</v>
          </cell>
          <cell r="D6">
            <v>3.0656001426614297</v>
          </cell>
          <cell r="E6">
            <v>3.7298924640105522</v>
          </cell>
          <cell r="F6">
            <v>8.9578539050652051</v>
          </cell>
          <cell r="G6">
            <v>5.8559735090856941</v>
          </cell>
          <cell r="H6">
            <v>4.8171469842405914</v>
          </cell>
          <cell r="I6">
            <v>2.6256215799368818</v>
          </cell>
          <cell r="J6">
            <v>15.21664171839473</v>
          </cell>
          <cell r="K6">
            <v>4.7955680854523237</v>
          </cell>
          <cell r="L6">
            <v>5.2168293257103509</v>
          </cell>
          <cell r="M6">
            <v>4.3579218797208483</v>
          </cell>
          <cell r="N6">
            <v>0.14739630799378634</v>
          </cell>
          <cell r="O6">
            <v>0</v>
          </cell>
          <cell r="P6">
            <v>15.81830696471893</v>
          </cell>
          <cell r="Q6">
            <v>2.4304839532711457</v>
          </cell>
          <cell r="R6">
            <v>4.8905675134709421</v>
          </cell>
          <cell r="S6">
            <v>1.7979078335521566</v>
          </cell>
          <cell r="T6">
            <v>1.1668336244990856</v>
          </cell>
          <cell r="U6">
            <v>1.5796006432260714</v>
          </cell>
          <cell r="V6">
            <v>1.1097487550251526</v>
          </cell>
          <cell r="W6">
            <v>2.7777841358387594</v>
          </cell>
          <cell r="X6">
            <v>3.4997306935747288</v>
          </cell>
          <cell r="Y6">
            <v>0.67135045558993789</v>
          </cell>
          <cell r="Z6">
            <v>1.4893021006162792</v>
          </cell>
          <cell r="AA6">
            <v>4.4148948262915573</v>
          </cell>
          <cell r="AB6">
            <v>0.21244407193379522</v>
          </cell>
          <cell r="AC6">
            <v>1.2942218651464439</v>
          </cell>
          <cell r="AD6">
            <v>1.3256792537009321</v>
          </cell>
          <cell r="AE6">
            <v>0.21621579201233124</v>
          </cell>
          <cell r="AF6">
            <v>0</v>
          </cell>
          <cell r="AG6">
            <v>3.949987080334628</v>
          </cell>
          <cell r="AH6">
            <v>0.51336776985847044</v>
          </cell>
          <cell r="AI6">
            <v>2.5545996052221827</v>
          </cell>
          <cell r="AJ6">
            <v>2.9116382211949765</v>
          </cell>
          <cell r="AK6">
            <v>1.4952928208384046</v>
          </cell>
          <cell r="AL6">
            <v>0.81797609425231443</v>
          </cell>
          <cell r="AM6">
            <v>0.28219470010586384</v>
          </cell>
          <cell r="AN6">
            <v>0.4788596179126906</v>
          </cell>
          <cell r="AO6">
            <v>5.966441196675115</v>
          </cell>
          <cell r="AP6">
            <v>2.6514334537888207</v>
          </cell>
          <cell r="AQ6">
            <v>1.5466784932398816</v>
          </cell>
          <cell r="AR6">
            <v>0.39001070825021239</v>
          </cell>
          <cell r="AS6">
            <v>1.3671803269693976</v>
          </cell>
          <cell r="AT6">
            <v>0</v>
          </cell>
          <cell r="AU6">
            <v>3.9574587381894126</v>
          </cell>
          <cell r="AV6">
            <v>0.32331412231266565</v>
          </cell>
          <cell r="AW6">
            <v>0.85083540167700333</v>
          </cell>
        </row>
        <row r="7">
          <cell r="A7">
            <v>1</v>
          </cell>
          <cell r="C7">
            <v>168.08619670238969</v>
          </cell>
          <cell r="D7">
            <v>203.27241596096312</v>
          </cell>
          <cell r="E7">
            <v>128.16863534671666</v>
          </cell>
          <cell r="F7">
            <v>203.49590216166635</v>
          </cell>
          <cell r="G7">
            <v>247.01870448251472</v>
          </cell>
          <cell r="H7">
            <v>244.97023609934459</v>
          </cell>
          <cell r="I7">
            <v>277.72041585281363</v>
          </cell>
          <cell r="J7">
            <v>290.61689796912322</v>
          </cell>
          <cell r="K7">
            <v>259.3381271769681</v>
          </cell>
          <cell r="L7">
            <v>313.53010187103774</v>
          </cell>
          <cell r="M7">
            <v>204.9490978137664</v>
          </cell>
          <cell r="N7">
            <v>292.72724443555057</v>
          </cell>
          <cell r="O7">
            <v>295.53568283838638</v>
          </cell>
          <cell r="P7">
            <v>406.58908037715929</v>
          </cell>
          <cell r="Q7">
            <v>294.25806200201816</v>
          </cell>
          <cell r="R7">
            <v>264.34018048740944</v>
          </cell>
          <cell r="S7">
            <v>273.32058069555842</v>
          </cell>
          <cell r="T7">
            <v>354.6142491743953</v>
          </cell>
          <cell r="U7">
            <v>264.89621936837358</v>
          </cell>
          <cell r="V7">
            <v>237.02163013375954</v>
          </cell>
          <cell r="W7">
            <v>215.58699617400558</v>
          </cell>
          <cell r="X7">
            <v>187.54759527671399</v>
          </cell>
          <cell r="Y7">
            <v>173.24669590082854</v>
          </cell>
          <cell r="Z7">
            <v>239.26791936224788</v>
          </cell>
          <cell r="AA7">
            <v>185.43962263374087</v>
          </cell>
          <cell r="AB7">
            <v>280.06610833146823</v>
          </cell>
          <cell r="AC7">
            <v>232.43221734935787</v>
          </cell>
          <cell r="AD7">
            <v>311.34029643562508</v>
          </cell>
          <cell r="AE7">
            <v>265.43295915917258</v>
          </cell>
          <cell r="AF7">
            <v>242.7687593699072</v>
          </cell>
          <cell r="AG7">
            <v>341.18887561519</v>
          </cell>
          <cell r="AH7">
            <v>264.54539360451975</v>
          </cell>
          <cell r="AI7">
            <v>251.16266388989717</v>
          </cell>
          <cell r="AJ7">
            <v>312.74949770370586</v>
          </cell>
          <cell r="AK7">
            <v>344.41636690256746</v>
          </cell>
          <cell r="AL7">
            <v>281.19445843163157</v>
          </cell>
          <cell r="AM7">
            <v>274.60550340075793</v>
          </cell>
          <cell r="AN7">
            <v>292.69409142987325</v>
          </cell>
          <cell r="AO7">
            <v>262.64887991871331</v>
          </cell>
          <cell r="AP7">
            <v>277.65136933604691</v>
          </cell>
          <cell r="AQ7">
            <v>306.04513299883791</v>
          </cell>
          <cell r="AR7">
            <v>318.96756678705657</v>
          </cell>
          <cell r="AS7">
            <v>413.84005601394762</v>
          </cell>
          <cell r="AT7">
            <v>543.95635139484614</v>
          </cell>
          <cell r="AU7">
            <v>448.52762004401615</v>
          </cell>
          <cell r="AV7">
            <v>882.12718825719901</v>
          </cell>
          <cell r="AW7">
            <v>881.51922399297939</v>
          </cell>
        </row>
        <row r="8">
          <cell r="A8">
            <v>1</v>
          </cell>
          <cell r="B8">
            <v>1</v>
          </cell>
          <cell r="C8">
            <v>267.82036568504401</v>
          </cell>
          <cell r="D8">
            <v>323.61754925469722</v>
          </cell>
          <cell r="E8">
            <v>248.325028997445</v>
          </cell>
          <cell r="F8">
            <v>261.90930250408741</v>
          </cell>
          <cell r="G8">
            <v>287.83052353074333</v>
          </cell>
          <cell r="H8">
            <v>274.67944749757925</v>
          </cell>
          <cell r="I8">
            <v>449.86269972495063</v>
          </cell>
          <cell r="J8">
            <v>375.17935318062626</v>
          </cell>
          <cell r="K8">
            <v>409.28880839840252</v>
          </cell>
          <cell r="L8">
            <v>378.84546368397173</v>
          </cell>
          <cell r="M8">
            <v>340.95127293803438</v>
          </cell>
          <cell r="N8">
            <v>343.32182555929268</v>
          </cell>
          <cell r="O8">
            <v>463.91879618971575</v>
          </cell>
          <cell r="P8">
            <v>373.18575772209994</v>
          </cell>
          <cell r="Q8">
            <v>403.00484858935027</v>
          </cell>
          <cell r="R8">
            <v>338.1354558508524</v>
          </cell>
          <cell r="S8">
            <v>307.06165739681506</v>
          </cell>
          <cell r="T8">
            <v>322.02485505380429</v>
          </cell>
          <cell r="U8">
            <v>336.59164845450437</v>
          </cell>
          <cell r="V8">
            <v>317.31444504458881</v>
          </cell>
          <cell r="W8">
            <v>334.26996539052851</v>
          </cell>
          <cell r="X8">
            <v>326.59776257149946</v>
          </cell>
          <cell r="Y8">
            <v>259.10024384906984</v>
          </cell>
          <cell r="Z8">
            <v>313.22259562242255</v>
          </cell>
          <cell r="AA8">
            <v>317.94822027971617</v>
          </cell>
          <cell r="AB8">
            <v>328.83343590255924</v>
          </cell>
          <cell r="AC8">
            <v>325.06658835809617</v>
          </cell>
          <cell r="AD8">
            <v>259.06989179167533</v>
          </cell>
          <cell r="AE8">
            <v>424.54152242803724</v>
          </cell>
          <cell r="AF8">
            <v>440.93783277054143</v>
          </cell>
          <cell r="AG8">
            <v>430.29417199984471</v>
          </cell>
          <cell r="AH8">
            <v>492.0904589409248</v>
          </cell>
          <cell r="AI8">
            <v>379.07630819753433</v>
          </cell>
          <cell r="AJ8">
            <v>479.98016957357549</v>
          </cell>
          <cell r="AK8">
            <v>446.60945281036032</v>
          </cell>
          <cell r="AL8">
            <v>468.77287410094459</v>
          </cell>
          <cell r="AM8">
            <v>454.30685544359329</v>
          </cell>
          <cell r="AN8">
            <v>480.94840894883021</v>
          </cell>
          <cell r="AO8">
            <v>424.30522985142858</v>
          </cell>
          <cell r="AP8">
            <v>461.55828671646259</v>
          </cell>
          <cell r="AQ8">
            <v>473.5792629219157</v>
          </cell>
          <cell r="AR8">
            <v>514.77384158141194</v>
          </cell>
          <cell r="AS8">
            <v>707.44928851377153</v>
          </cell>
          <cell r="AT8">
            <v>857.18591894849965</v>
          </cell>
          <cell r="AU8">
            <v>925.33145426192084</v>
          </cell>
          <cell r="AV8">
            <v>1154.0001007632336</v>
          </cell>
          <cell r="AW8">
            <v>1170.6261733198453</v>
          </cell>
        </row>
        <row r="9">
          <cell r="A9">
            <v>1</v>
          </cell>
          <cell r="B9">
            <v>2</v>
          </cell>
          <cell r="C9">
            <v>4.530153688898225</v>
          </cell>
          <cell r="D9">
            <v>9.0393576257177841</v>
          </cell>
          <cell r="E9">
            <v>2.5215056214888931</v>
          </cell>
          <cell r="F9">
            <v>2.3648529971512127</v>
          </cell>
          <cell r="G9">
            <v>3.6059744250012868</v>
          </cell>
          <cell r="H9">
            <v>4.5217831287529089</v>
          </cell>
          <cell r="I9">
            <v>2.6126728424881462</v>
          </cell>
          <cell r="J9">
            <v>5.1325356104132567</v>
          </cell>
          <cell r="K9">
            <v>7.1115820155569152</v>
          </cell>
          <cell r="L9">
            <v>5.9424136723429859</v>
          </cell>
          <cell r="M9">
            <v>3.8676008739386205</v>
          </cell>
          <cell r="N9">
            <v>12.081395129688177</v>
          </cell>
          <cell r="O9">
            <v>14.470244408602609</v>
          </cell>
          <cell r="P9">
            <v>7.5794325967375862</v>
          </cell>
          <cell r="Q9">
            <v>4.6063375451608479</v>
          </cell>
          <cell r="R9">
            <v>4.0976569761598727</v>
          </cell>
          <cell r="S9">
            <v>4.9054251549799091</v>
          </cell>
          <cell r="T9">
            <v>6.3591131936488585</v>
          </cell>
          <cell r="U9">
            <v>10.093169402947446</v>
          </cell>
          <cell r="V9">
            <v>5.6501323817938616</v>
          </cell>
          <cell r="W9">
            <v>3.5711279514390655</v>
          </cell>
          <cell r="X9">
            <v>5.6016018152648597</v>
          </cell>
          <cell r="Y9">
            <v>6.1615087534113755</v>
          </cell>
          <cell r="Z9">
            <v>5.6564408934929515</v>
          </cell>
          <cell r="AA9">
            <v>6.0027212587502996</v>
          </cell>
          <cell r="AB9">
            <v>8.0946820062791733</v>
          </cell>
          <cell r="AC9">
            <v>6.5502933382406674</v>
          </cell>
          <cell r="AD9">
            <v>3.6454212313871488</v>
          </cell>
          <cell r="AE9">
            <v>3.1133669919683662</v>
          </cell>
          <cell r="AF9">
            <v>6.792706556961952</v>
          </cell>
          <cell r="AG9">
            <v>3.5360919091262097</v>
          </cell>
          <cell r="AH9">
            <v>5.8444184766403531</v>
          </cell>
          <cell r="AI9">
            <v>4.1768710594002592</v>
          </cell>
          <cell r="AJ9">
            <v>9.5125127080486216</v>
          </cell>
          <cell r="AK9">
            <v>9.4434070214221606</v>
          </cell>
          <cell r="AL9">
            <v>6.2755434716377723</v>
          </cell>
          <cell r="AM9">
            <v>5.2068142190224744</v>
          </cell>
          <cell r="AN9">
            <v>11.586220483280441</v>
          </cell>
          <cell r="AO9">
            <v>13.643811665300053</v>
          </cell>
          <cell r="AP9">
            <v>6.6357970952467884</v>
          </cell>
          <cell r="AQ9">
            <v>5.8450014501789918</v>
          </cell>
          <cell r="AR9">
            <v>18.783344254625288</v>
          </cell>
          <cell r="AS9">
            <v>17.495545423414953</v>
          </cell>
          <cell r="AT9">
            <v>12.127116516145847</v>
          </cell>
          <cell r="AU9">
            <v>26.444049707326776</v>
          </cell>
          <cell r="AV9">
            <v>23.160152925518137</v>
          </cell>
          <cell r="AW9">
            <v>28.633426599513228</v>
          </cell>
        </row>
        <row r="10">
          <cell r="A10">
            <v>1</v>
          </cell>
          <cell r="B10">
            <v>3</v>
          </cell>
          <cell r="C10">
            <v>332.654217702013</v>
          </cell>
          <cell r="D10">
            <v>352.7756692642983</v>
          </cell>
          <cell r="E10">
            <v>309.92913418365868</v>
          </cell>
          <cell r="F10">
            <v>450.27161727081881</v>
          </cell>
          <cell r="G10">
            <v>704.32328474316751</v>
          </cell>
          <cell r="H10">
            <v>549.38276638771924</v>
          </cell>
          <cell r="I10">
            <v>579.1230477974392</v>
          </cell>
          <cell r="J10">
            <v>675.29767146679853</v>
          </cell>
          <cell r="K10">
            <v>611.55463325311587</v>
          </cell>
          <cell r="L10">
            <v>593.58718796622816</v>
          </cell>
          <cell r="M10">
            <v>591.36217948849117</v>
          </cell>
          <cell r="N10">
            <v>691.60758784393033</v>
          </cell>
          <cell r="O10">
            <v>968.2499243640267</v>
          </cell>
          <cell r="P10">
            <v>958.24541427358554</v>
          </cell>
          <cell r="Q10">
            <v>871.61322050583283</v>
          </cell>
          <cell r="R10">
            <v>881.82790321161633</v>
          </cell>
          <cell r="S10">
            <v>962.23749072144778</v>
          </cell>
          <cell r="T10">
            <v>1010.5514295664369</v>
          </cell>
          <cell r="U10">
            <v>728.4274171770503</v>
          </cell>
          <cell r="V10">
            <v>781.90995065129994</v>
          </cell>
          <cell r="W10">
            <v>805.79982595565139</v>
          </cell>
          <cell r="X10">
            <v>772.0998910950758</v>
          </cell>
          <cell r="Y10">
            <v>688.5887658977216</v>
          </cell>
          <cell r="Z10">
            <v>748.23002288746022</v>
          </cell>
          <cell r="AA10">
            <v>1035.3834823675024</v>
          </cell>
          <cell r="AB10">
            <v>950.44954684451341</v>
          </cell>
          <cell r="AC10">
            <v>878.25785511744994</v>
          </cell>
          <cell r="AD10">
            <v>738.8237743173479</v>
          </cell>
          <cell r="AE10">
            <v>946.99198720478398</v>
          </cell>
          <cell r="AF10">
            <v>939.88688675535298</v>
          </cell>
          <cell r="AG10">
            <v>1017.1714540267737</v>
          </cell>
          <cell r="AH10">
            <v>948.40245870986917</v>
          </cell>
          <cell r="AI10">
            <v>998.68903662369814</v>
          </cell>
          <cell r="AJ10">
            <v>1055.7995457506609</v>
          </cell>
          <cell r="AK10">
            <v>1058.6622790345523</v>
          </cell>
          <cell r="AL10">
            <v>1163.5514199843976</v>
          </cell>
          <cell r="AM10">
            <v>1077.1085985702762</v>
          </cell>
          <cell r="AN10">
            <v>1393.1872083246458</v>
          </cell>
          <cell r="AO10">
            <v>960.23470964585954</v>
          </cell>
          <cell r="AP10">
            <v>1112.5974721101852</v>
          </cell>
          <cell r="AQ10">
            <v>1353.5003393671986</v>
          </cell>
          <cell r="AR10">
            <v>1343.8264257334263</v>
          </cell>
          <cell r="AS10">
            <v>1670.6721092652117</v>
          </cell>
          <cell r="AT10">
            <v>1515.2896413214958</v>
          </cell>
          <cell r="AU10">
            <v>1835.8058363934765</v>
          </cell>
          <cell r="AV10">
            <v>2488.0640008530718</v>
          </cell>
          <cell r="AW10">
            <v>2558.2261541954058</v>
          </cell>
        </row>
        <row r="11">
          <cell r="A11">
            <v>1</v>
          </cell>
          <cell r="B11">
            <v>9</v>
          </cell>
          <cell r="C11">
            <v>3.1174365313923591E-2</v>
          </cell>
          <cell r="D11">
            <v>0.86142045466877992</v>
          </cell>
          <cell r="E11">
            <v>0</v>
          </cell>
          <cell r="F11">
            <v>0.1712477917406669</v>
          </cell>
          <cell r="G11">
            <v>0</v>
          </cell>
          <cell r="H11">
            <v>0</v>
          </cell>
          <cell r="I11">
            <v>0.12998263434043636</v>
          </cell>
          <cell r="J11">
            <v>0</v>
          </cell>
          <cell r="K11">
            <v>2.7949892699060594</v>
          </cell>
          <cell r="L11">
            <v>0</v>
          </cell>
          <cell r="M11">
            <v>0</v>
          </cell>
          <cell r="N11">
            <v>0</v>
          </cell>
          <cell r="O11">
            <v>1.3074941389651664</v>
          </cell>
          <cell r="P11">
            <v>0</v>
          </cell>
          <cell r="Q11">
            <v>0</v>
          </cell>
          <cell r="R11">
            <v>0</v>
          </cell>
          <cell r="S11">
            <v>0</v>
          </cell>
          <cell r="T11">
            <v>0</v>
          </cell>
          <cell r="U11">
            <v>0</v>
          </cell>
          <cell r="V11">
            <v>0</v>
          </cell>
          <cell r="W11">
            <v>0</v>
          </cell>
          <cell r="X11">
            <v>0</v>
          </cell>
          <cell r="Y11">
            <v>0</v>
          </cell>
          <cell r="Z11">
            <v>0</v>
          </cell>
          <cell r="AA11">
            <v>0</v>
          </cell>
          <cell r="AB11">
            <v>0</v>
          </cell>
          <cell r="AC11">
            <v>1.3400971375168154</v>
          </cell>
          <cell r="AD11">
            <v>0</v>
          </cell>
          <cell r="AE11">
            <v>0</v>
          </cell>
          <cell r="AF11">
            <v>0.13768064318493006</v>
          </cell>
          <cell r="AG11">
            <v>0</v>
          </cell>
          <cell r="AH11">
            <v>0.51721894668718016</v>
          </cell>
          <cell r="AI11">
            <v>0.54369175796834746</v>
          </cell>
          <cell r="AJ11">
            <v>0.2538009331810297</v>
          </cell>
          <cell r="AK11">
            <v>0</v>
          </cell>
          <cell r="AL11">
            <v>0</v>
          </cell>
          <cell r="AM11">
            <v>0</v>
          </cell>
          <cell r="AN11">
            <v>0</v>
          </cell>
          <cell r="AO11">
            <v>0.25054959949609146</v>
          </cell>
          <cell r="AP11">
            <v>0.28914657572872299</v>
          </cell>
          <cell r="AQ11">
            <v>0</v>
          </cell>
          <cell r="AR11">
            <v>0</v>
          </cell>
          <cell r="AS11">
            <v>0</v>
          </cell>
          <cell r="AT11">
            <v>0.8834546624581181</v>
          </cell>
          <cell r="AU11">
            <v>0</v>
          </cell>
          <cell r="AV11">
            <v>0</v>
          </cell>
          <cell r="AW11">
            <v>0.18080901840173358</v>
          </cell>
        </row>
        <row r="12">
          <cell r="A12">
            <v>2</v>
          </cell>
          <cell r="C12">
            <v>83.053408999394179</v>
          </cell>
          <cell r="D12">
            <v>96.163251937578849</v>
          </cell>
          <cell r="E12">
            <v>93.813869643417036</v>
          </cell>
          <cell r="F12">
            <v>77.055427482327985</v>
          </cell>
          <cell r="G12">
            <v>69.905582243809789</v>
          </cell>
          <cell r="H12">
            <v>92.555132668999107</v>
          </cell>
          <cell r="I12">
            <v>62.543428424130653</v>
          </cell>
          <cell r="J12">
            <v>67.298969493790651</v>
          </cell>
          <cell r="K12">
            <v>107.08534559651653</v>
          </cell>
          <cell r="L12">
            <v>74.972289728003332</v>
          </cell>
          <cell r="M12">
            <v>76.902015175803257</v>
          </cell>
          <cell r="N12">
            <v>86.215314900641857</v>
          </cell>
          <cell r="O12">
            <v>101.63521910876688</v>
          </cell>
          <cell r="P12">
            <v>88.098879522167451</v>
          </cell>
          <cell r="Q12">
            <v>70.441306010061012</v>
          </cell>
          <cell r="R12">
            <v>68.830476839804248</v>
          </cell>
          <cell r="S12">
            <v>85.19979297525137</v>
          </cell>
          <cell r="T12">
            <v>75.104183463917806</v>
          </cell>
          <cell r="U12">
            <v>63.699639927494403</v>
          </cell>
          <cell r="V12">
            <v>61.929561617670949</v>
          </cell>
          <cell r="W12">
            <v>70.940362046101114</v>
          </cell>
          <cell r="X12">
            <v>93.291526479934603</v>
          </cell>
          <cell r="Y12">
            <v>83.862534350011941</v>
          </cell>
          <cell r="Z12">
            <v>100.93233414518318</v>
          </cell>
          <cell r="AA12">
            <v>59.888026406569935</v>
          </cell>
          <cell r="AB12">
            <v>57.361393913449703</v>
          </cell>
          <cell r="AC12">
            <v>69.821935321010528</v>
          </cell>
          <cell r="AD12">
            <v>66.866832060970452</v>
          </cell>
          <cell r="AE12">
            <v>75.730618178052168</v>
          </cell>
          <cell r="AF12">
            <v>67.837385878760543</v>
          </cell>
          <cell r="AG12">
            <v>73.234409039034063</v>
          </cell>
          <cell r="AH12">
            <v>83.382187869567659</v>
          </cell>
          <cell r="AI12">
            <v>70.591339748920888</v>
          </cell>
          <cell r="AJ12">
            <v>115.58727099639881</v>
          </cell>
          <cell r="AK12">
            <v>61.516548121263</v>
          </cell>
          <cell r="AL12">
            <v>71.333356310279299</v>
          </cell>
          <cell r="AM12">
            <v>82.381278608521313</v>
          </cell>
          <cell r="AN12">
            <v>88.608706725459825</v>
          </cell>
          <cell r="AO12">
            <v>70.73742775670398</v>
          </cell>
          <cell r="AP12">
            <v>62.693369189565686</v>
          </cell>
          <cell r="AQ12">
            <v>63.886672605468959</v>
          </cell>
          <cell r="AR12">
            <v>68.049642669146806</v>
          </cell>
          <cell r="AS12">
            <v>69.858068528192035</v>
          </cell>
          <cell r="AT12">
            <v>74.875468171936802</v>
          </cell>
          <cell r="AU12">
            <v>65.672760071092981</v>
          </cell>
          <cell r="AV12">
            <v>60.358751014370895</v>
          </cell>
          <cell r="AW12">
            <v>65.213214393195869</v>
          </cell>
        </row>
        <row r="13">
          <cell r="A13">
            <v>2</v>
          </cell>
          <cell r="B13">
            <v>1</v>
          </cell>
          <cell r="C13">
            <v>3927.2357883857676</v>
          </cell>
          <cell r="D13">
            <v>4422.4509520696747</v>
          </cell>
          <cell r="E13">
            <v>4017.5383540581947</v>
          </cell>
          <cell r="F13">
            <v>3895.9203479725238</v>
          </cell>
          <cell r="G13">
            <v>4239.9215509965388</v>
          </cell>
          <cell r="H13">
            <v>4387.409823469724</v>
          </cell>
          <cell r="I13">
            <v>4213.2033451645657</v>
          </cell>
          <cell r="J13">
            <v>4630.2725068376094</v>
          </cell>
          <cell r="K13">
            <v>4405.4427372915552</v>
          </cell>
          <cell r="L13">
            <v>4599.8754905406877</v>
          </cell>
          <cell r="M13">
            <v>4568.4286001010805</v>
          </cell>
          <cell r="N13">
            <v>4709.3153731402144</v>
          </cell>
          <cell r="O13">
            <v>4457.9053312777378</v>
          </cell>
          <cell r="P13">
            <v>4852.7916579151752</v>
          </cell>
          <cell r="Q13">
            <v>4364.4340423114108</v>
          </cell>
          <cell r="R13">
            <v>4455.7653785838102</v>
          </cell>
          <cell r="S13">
            <v>4263.8399877895736</v>
          </cell>
          <cell r="T13">
            <v>4334.6709311750637</v>
          </cell>
          <cell r="U13">
            <v>4389.5738754660406</v>
          </cell>
          <cell r="V13">
            <v>4750.5738860216734</v>
          </cell>
          <cell r="W13">
            <v>4638.6070774668751</v>
          </cell>
          <cell r="X13">
            <v>4839.320841739509</v>
          </cell>
          <cell r="Y13">
            <v>4707.1595840141999</v>
          </cell>
          <cell r="Z13">
            <v>4669.9376925013257</v>
          </cell>
          <cell r="AA13">
            <v>4446.4728470727159</v>
          </cell>
          <cell r="AB13">
            <v>4685.7803039250175</v>
          </cell>
          <cell r="AC13">
            <v>4560.5812383262883</v>
          </cell>
          <cell r="AD13">
            <v>4319.2518041824869</v>
          </cell>
          <cell r="AE13">
            <v>4560.5769733440129</v>
          </cell>
          <cell r="AF13">
            <v>4594.4544405328697</v>
          </cell>
          <cell r="AG13">
            <v>4844.4946980013638</v>
          </cell>
          <cell r="AH13">
            <v>4801.0858973278328</v>
          </cell>
          <cell r="AI13">
            <v>4665.3631149374778</v>
          </cell>
          <cell r="AJ13">
            <v>4988.8787521092745</v>
          </cell>
          <cell r="AK13">
            <v>4830.6696765728948</v>
          </cell>
          <cell r="AL13">
            <v>4881.0144490843122</v>
          </cell>
          <cell r="AM13">
            <v>4790.4890040637083</v>
          </cell>
          <cell r="AN13">
            <v>4735.9001398926157</v>
          </cell>
          <cell r="AO13">
            <v>4754.0266860091797</v>
          </cell>
          <cell r="AP13">
            <v>4536.7959458224104</v>
          </cell>
          <cell r="AQ13">
            <v>4935.1381857230062</v>
          </cell>
          <cell r="AR13">
            <v>4800.5057400288379</v>
          </cell>
          <cell r="AS13">
            <v>5145.604400236155</v>
          </cell>
          <cell r="AT13">
            <v>5124.2600077154029</v>
          </cell>
          <cell r="AU13">
            <v>4765.2561738793802</v>
          </cell>
          <cell r="AV13">
            <v>5035.5738479433994</v>
          </cell>
          <cell r="AW13">
            <v>5045.9347412687039</v>
          </cell>
        </row>
        <row r="14">
          <cell r="A14">
            <v>2</v>
          </cell>
          <cell r="B14">
            <v>2</v>
          </cell>
          <cell r="C14">
            <v>228.79926088380836</v>
          </cell>
          <cell r="D14">
            <v>230.79482478502479</v>
          </cell>
          <cell r="E14">
            <v>176.78832376227035</v>
          </cell>
          <cell r="F14">
            <v>160.05444128466507</v>
          </cell>
          <cell r="G14">
            <v>221.93066228758369</v>
          </cell>
          <cell r="H14">
            <v>173.10800094754077</v>
          </cell>
          <cell r="I14">
            <v>150.34736582614042</v>
          </cell>
          <cell r="J14">
            <v>200.84647550964669</v>
          </cell>
          <cell r="K14">
            <v>181.56326985724647</v>
          </cell>
          <cell r="L14">
            <v>202.25936353546632</v>
          </cell>
          <cell r="M14">
            <v>233.37916046532595</v>
          </cell>
          <cell r="N14">
            <v>167.08594126989993</v>
          </cell>
          <cell r="O14">
            <v>273.35381411342092</v>
          </cell>
          <cell r="P14">
            <v>304.49709072138677</v>
          </cell>
          <cell r="Q14">
            <v>197.20606818089018</v>
          </cell>
          <cell r="R14">
            <v>246.36458763578361</v>
          </cell>
          <cell r="S14">
            <v>232.66012861508028</v>
          </cell>
          <cell r="T14">
            <v>199.53165083898926</v>
          </cell>
          <cell r="U14">
            <v>204.58911451170337</v>
          </cell>
          <cell r="V14">
            <v>205.92459174380886</v>
          </cell>
          <cell r="W14">
            <v>231.21334104161849</v>
          </cell>
          <cell r="X14">
            <v>254.69583812235877</v>
          </cell>
          <cell r="Y14">
            <v>207.40429531484304</v>
          </cell>
          <cell r="Z14">
            <v>296.28621419650995</v>
          </cell>
          <cell r="AA14">
            <v>253.20091443667826</v>
          </cell>
          <cell r="AB14">
            <v>221.58977697891467</v>
          </cell>
          <cell r="AC14">
            <v>284.01555902682435</v>
          </cell>
          <cell r="AD14">
            <v>256.10894143197214</v>
          </cell>
          <cell r="AE14">
            <v>251.78859186443492</v>
          </cell>
          <cell r="AF14">
            <v>273.0317394506738</v>
          </cell>
          <cell r="AG14">
            <v>303.17296224907443</v>
          </cell>
          <cell r="AH14">
            <v>308.34653919474783</v>
          </cell>
          <cell r="AI14">
            <v>317.91341744660542</v>
          </cell>
          <cell r="AJ14">
            <v>270.49148966157895</v>
          </cell>
          <cell r="AK14">
            <v>254.81455814431408</v>
          </cell>
          <cell r="AL14">
            <v>288.30250174215126</v>
          </cell>
          <cell r="AM14">
            <v>246.74136663572756</v>
          </cell>
          <cell r="AN14">
            <v>296.68320719049916</v>
          </cell>
          <cell r="AO14">
            <v>280.30707537858149</v>
          </cell>
          <cell r="AP14">
            <v>299.4781169409776</v>
          </cell>
          <cell r="AQ14">
            <v>296.7356346852776</v>
          </cell>
          <cell r="AR14">
            <v>346.99843628090315</v>
          </cell>
          <cell r="AS14">
            <v>281.28342106364443</v>
          </cell>
          <cell r="AT14">
            <v>340.61750849054886</v>
          </cell>
          <cell r="AU14">
            <v>353.40806776698116</v>
          </cell>
          <cell r="AV14">
            <v>376.90605000425239</v>
          </cell>
          <cell r="AW14">
            <v>385.37582394612247</v>
          </cell>
        </row>
        <row r="15">
          <cell r="A15">
            <v>2</v>
          </cell>
          <cell r="B15">
            <v>3</v>
          </cell>
          <cell r="C15">
            <v>167.99626810272252</v>
          </cell>
          <cell r="D15">
            <v>177.89801622247657</v>
          </cell>
          <cell r="E15">
            <v>171.04104674111898</v>
          </cell>
          <cell r="F15">
            <v>168.08150021851367</v>
          </cell>
          <cell r="G15">
            <v>184.74297105854487</v>
          </cell>
          <cell r="H15">
            <v>185.71569208200418</v>
          </cell>
          <cell r="I15">
            <v>183.8521617524782</v>
          </cell>
          <cell r="J15">
            <v>186.86154497480376</v>
          </cell>
          <cell r="K15">
            <v>170.81347669918441</v>
          </cell>
          <cell r="L15">
            <v>154.83725924297892</v>
          </cell>
          <cell r="M15">
            <v>146.21954727581306</v>
          </cell>
          <cell r="N15">
            <v>162.67053830895608</v>
          </cell>
          <cell r="O15">
            <v>127.72552209360786</v>
          </cell>
          <cell r="P15">
            <v>182.59820697547781</v>
          </cell>
          <cell r="Q15">
            <v>199.38898964490502</v>
          </cell>
          <cell r="R15">
            <v>216.4835521783636</v>
          </cell>
          <cell r="S15">
            <v>200.65263142990804</v>
          </cell>
          <cell r="T15">
            <v>244.60240951152346</v>
          </cell>
          <cell r="U15">
            <v>142.8444167051216</v>
          </cell>
          <cell r="V15">
            <v>184.46534626564497</v>
          </cell>
          <cell r="W15">
            <v>167.07802464523306</v>
          </cell>
          <cell r="X15">
            <v>163.17639702705048</v>
          </cell>
          <cell r="Y15">
            <v>151.93043481083956</v>
          </cell>
          <cell r="Z15">
            <v>192.73246076767785</v>
          </cell>
          <cell r="AA15">
            <v>184.56684848402892</v>
          </cell>
          <cell r="AB15">
            <v>180.31426795788582</v>
          </cell>
          <cell r="AC15">
            <v>230.73674390781116</v>
          </cell>
          <cell r="AD15">
            <v>178.90339952886549</v>
          </cell>
          <cell r="AE15">
            <v>154.71480660008092</v>
          </cell>
          <cell r="AF15">
            <v>174.78605818180583</v>
          </cell>
          <cell r="AG15">
            <v>176.80434962579801</v>
          </cell>
          <cell r="AH15">
            <v>149.30970743713036</v>
          </cell>
          <cell r="AI15">
            <v>182.41365984198188</v>
          </cell>
          <cell r="AJ15">
            <v>185.90504698739994</v>
          </cell>
          <cell r="AK15">
            <v>145.61548858349053</v>
          </cell>
          <cell r="AL15">
            <v>163.23746497672542</v>
          </cell>
          <cell r="AM15">
            <v>184.69621466055776</v>
          </cell>
          <cell r="AN15">
            <v>193.92895502441777</v>
          </cell>
          <cell r="AO15">
            <v>207.00807324156833</v>
          </cell>
          <cell r="AP15">
            <v>151.40126561309708</v>
          </cell>
          <cell r="AQ15">
            <v>192.54785070888411</v>
          </cell>
          <cell r="AR15">
            <v>143.75732697777897</v>
          </cell>
          <cell r="AS15">
            <v>167.88645543503554</v>
          </cell>
          <cell r="AT15">
            <v>141.33626119295877</v>
          </cell>
          <cell r="AU15">
            <v>163.48107115431293</v>
          </cell>
          <cell r="AV15">
            <v>183.0935584410675</v>
          </cell>
          <cell r="AW15">
            <v>156.81515683755046</v>
          </cell>
        </row>
        <row r="16">
          <cell r="A16">
            <v>2</v>
          </cell>
          <cell r="B16">
            <v>9</v>
          </cell>
          <cell r="C16">
            <v>0.13094731823762268</v>
          </cell>
          <cell r="D16">
            <v>4.99879665224109</v>
          </cell>
          <cell r="E16">
            <v>4.9018279554517123</v>
          </cell>
          <cell r="F16">
            <v>0.96592581186459237</v>
          </cell>
          <cell r="G16">
            <v>2.1391823121913678</v>
          </cell>
          <cell r="H16">
            <v>0</v>
          </cell>
          <cell r="I16">
            <v>0</v>
          </cell>
          <cell r="J16">
            <v>0.9605849411453703</v>
          </cell>
          <cell r="K16">
            <v>0.20605322446961927</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9.1589895911995192E-2</v>
          </cell>
          <cell r="AF16">
            <v>0</v>
          </cell>
          <cell r="AG16">
            <v>0.11227600095369029</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5.9283619816229125</v>
          </cell>
          <cell r="AT17">
            <v>3.2395485068182719</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15.438443732372521</v>
          </cell>
          <cell r="AS18">
            <v>9.8567867857605105</v>
          </cell>
          <cell r="AT18">
            <v>11.427121711922032</v>
          </cell>
          <cell r="AU18">
            <v>5.5311871997363156</v>
          </cell>
          <cell r="AV18">
            <v>12.549477633919553</v>
          </cell>
          <cell r="AW18">
            <v>6.9030754927732625</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0.92354287848384009</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0.99263314008463077</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10.291921560970128</v>
          </cell>
          <cell r="AW20">
            <v>2.0538216935249651</v>
          </cell>
        </row>
        <row r="21">
          <cell r="A21">
            <v>9</v>
          </cell>
          <cell r="C21">
            <v>3.0244847298928694</v>
          </cell>
          <cell r="D21">
            <v>2.1544482523608379</v>
          </cell>
          <cell r="E21">
            <v>1.3640730861432266</v>
          </cell>
          <cell r="F21">
            <v>0.16078019565672028</v>
          </cell>
          <cell r="G21">
            <v>0.26855040881808712</v>
          </cell>
          <cell r="H21">
            <v>0.36049063480468102</v>
          </cell>
          <cell r="I21">
            <v>0.15339866330172608</v>
          </cell>
          <cell r="J21">
            <v>0</v>
          </cell>
          <cell r="K21">
            <v>0.27393518997948219</v>
          </cell>
          <cell r="L21">
            <v>0.80306808603333268</v>
          </cell>
          <cell r="M21">
            <v>0</v>
          </cell>
          <cell r="N21">
            <v>0</v>
          </cell>
          <cell r="O21">
            <v>9.4103278675408242E-2</v>
          </cell>
          <cell r="P21">
            <v>0.3021507158272097</v>
          </cell>
          <cell r="Q21">
            <v>0</v>
          </cell>
          <cell r="R21">
            <v>0.66962311856738954</v>
          </cell>
          <cell r="S21">
            <v>0</v>
          </cell>
          <cell r="T21">
            <v>0.11456784815245076</v>
          </cell>
          <cell r="U21">
            <v>0.78187717515756883</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33.87099731594666</v>
          </cell>
          <cell r="D22">
            <v>20.298910075858302</v>
          </cell>
          <cell r="E22">
            <v>14.248955870745283</v>
          </cell>
          <cell r="F22">
            <v>12.313668265148761</v>
          </cell>
          <cell r="G22">
            <v>2.3994224796712387</v>
          </cell>
          <cell r="H22">
            <v>2.0321695237468385</v>
          </cell>
          <cell r="I22">
            <v>11.648053466621064</v>
          </cell>
          <cell r="J22">
            <v>9.1514211109074832</v>
          </cell>
          <cell r="K22">
            <v>12.877486725872888</v>
          </cell>
          <cell r="L22">
            <v>9.4016648766310613</v>
          </cell>
          <cell r="M22">
            <v>3.6567436757637273</v>
          </cell>
          <cell r="N22">
            <v>0.49586274224274313</v>
          </cell>
          <cell r="O22">
            <v>2.1051391198604432</v>
          </cell>
          <cell r="P22">
            <v>15.035493472957357</v>
          </cell>
          <cell r="Q22">
            <v>5.4562271576695496</v>
          </cell>
          <cell r="R22">
            <v>2.5573881027140324</v>
          </cell>
          <cell r="S22">
            <v>6.3885735219264763</v>
          </cell>
          <cell r="T22">
            <v>8.1258013230067778</v>
          </cell>
          <cell r="U22">
            <v>1.1534417435051123</v>
          </cell>
          <cell r="V22">
            <v>6.4375109095415208</v>
          </cell>
          <cell r="W22">
            <v>2.2371234530679884</v>
          </cell>
          <cell r="X22">
            <v>0.85735306230709762</v>
          </cell>
          <cell r="Y22">
            <v>0</v>
          </cell>
          <cell r="Z22">
            <v>0</v>
          </cell>
          <cell r="AA22">
            <v>0</v>
          </cell>
          <cell r="AB22">
            <v>0</v>
          </cell>
          <cell r="AC22">
            <v>0</v>
          </cell>
          <cell r="AD22">
            <v>0</v>
          </cell>
          <cell r="AE22">
            <v>0</v>
          </cell>
          <cell r="AF22">
            <v>0</v>
          </cell>
          <cell r="AG22">
            <v>0</v>
          </cell>
          <cell r="AH22">
            <v>0</v>
          </cell>
          <cell r="AI22">
            <v>0</v>
          </cell>
          <cell r="AJ22">
            <v>0</v>
          </cell>
          <cell r="AK22">
            <v>0</v>
          </cell>
          <cell r="AL22">
            <v>13.374915320427833</v>
          </cell>
          <cell r="AM22">
            <v>2.3497785590709936</v>
          </cell>
          <cell r="AN22">
            <v>1.6321616584609815</v>
          </cell>
          <cell r="AO22">
            <v>4.2866479843817586</v>
          </cell>
          <cell r="AP22">
            <v>4.5805997655497892</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0.11500873996686399</v>
          </cell>
          <cell r="G23">
            <v>0</v>
          </cell>
          <cell r="H23">
            <v>0</v>
          </cell>
          <cell r="I23">
            <v>0</v>
          </cell>
          <cell r="J23">
            <v>0</v>
          </cell>
          <cell r="K23">
            <v>0</v>
          </cell>
          <cell r="L23">
            <v>0</v>
          </cell>
          <cell r="M23">
            <v>0</v>
          </cell>
          <cell r="N23">
            <v>1.450488404677601</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3.0318508923953713</v>
          </cell>
          <cell r="AO23">
            <v>0</v>
          </cell>
          <cell r="AP23">
            <v>0</v>
          </cell>
          <cell r="AQ23">
            <v>0</v>
          </cell>
          <cell r="AR23">
            <v>0</v>
          </cell>
          <cell r="AS23">
            <v>0</v>
          </cell>
          <cell r="AT23">
            <v>0</v>
          </cell>
          <cell r="AU23">
            <v>0</v>
          </cell>
          <cell r="AV23">
            <v>0</v>
          </cell>
          <cell r="AW23">
            <v>0</v>
          </cell>
        </row>
        <row r="24">
          <cell r="A24">
            <v>9</v>
          </cell>
          <cell r="B24">
            <v>3</v>
          </cell>
          <cell r="C24">
            <v>7.671270230168747</v>
          </cell>
          <cell r="D24">
            <v>6.1185177030495614</v>
          </cell>
          <cell r="E24">
            <v>0.23032098403334703</v>
          </cell>
          <cell r="F24">
            <v>3.8123509621510423</v>
          </cell>
          <cell r="G24">
            <v>0.22358414226338341</v>
          </cell>
          <cell r="H24">
            <v>0</v>
          </cell>
          <cell r="I24">
            <v>2.7449774953922019</v>
          </cell>
          <cell r="J24">
            <v>0</v>
          </cell>
          <cell r="K24">
            <v>0.86908436821693891</v>
          </cell>
          <cell r="L24">
            <v>0.9649441350580904</v>
          </cell>
          <cell r="M24">
            <v>0</v>
          </cell>
          <cell r="N24">
            <v>1.0071334630021165</v>
          </cell>
          <cell r="O24">
            <v>0.41247770203962753</v>
          </cell>
          <cell r="P24">
            <v>0</v>
          </cell>
          <cell r="Q24">
            <v>0</v>
          </cell>
          <cell r="R24">
            <v>0.15213161766211078</v>
          </cell>
          <cell r="S24">
            <v>0</v>
          </cell>
          <cell r="T24">
            <v>0</v>
          </cell>
          <cell r="U24">
            <v>1.0083531263169734</v>
          </cell>
          <cell r="V24">
            <v>1.4579826713213371</v>
          </cell>
          <cell r="W24">
            <v>1.6217076525156016</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4.2242844823840269</v>
          </cell>
          <cell r="AM24">
            <v>1.0992152025202757</v>
          </cell>
          <cell r="AN24">
            <v>0</v>
          </cell>
          <cell r="AO24">
            <v>0</v>
          </cell>
          <cell r="AP24">
            <v>3.5819496177692689</v>
          </cell>
          <cell r="AQ24">
            <v>2.2659105999452045</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0.12150844654474105</v>
          </cell>
          <cell r="J25">
            <v>2.199195434072144</v>
          </cell>
          <cell r="K25">
            <v>0</v>
          </cell>
          <cell r="L25">
            <v>0</v>
          </cell>
          <cell r="M25">
            <v>0.52567746432070483</v>
          </cell>
          <cell r="N25">
            <v>0</v>
          </cell>
          <cell r="O25">
            <v>0</v>
          </cell>
          <cell r="P25">
            <v>0</v>
          </cell>
          <cell r="Q25">
            <v>0</v>
          </cell>
          <cell r="R25">
            <v>0</v>
          </cell>
          <cell r="S25">
            <v>0</v>
          </cell>
          <cell r="T25">
            <v>0</v>
          </cell>
          <cell r="U25">
            <v>2.7677623943758726E-2</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N LUI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1993"/>
      <sheetName val="Consolidado 1994"/>
      <sheetName val="Consolidado 1995"/>
      <sheetName val="Consolidado 1996"/>
      <sheetName val="Gral."/>
      <sheetName val="Consolidación"/>
      <sheetName val="C y T"/>
      <sheetName val="Cult, Educ y C y T"/>
      <sheetName val="Cult, Educ y C y T (%)"/>
      <sheetName val="Gráfico4"/>
      <sheetName val="Gráfico1"/>
      <sheetName val="Gráfico2"/>
      <sheetName val="Gráfico3"/>
      <sheetName val="Salud (sin O.S.)"/>
      <sheetName val="Salud (sin O.S.) (%)"/>
      <sheetName val="Salud (con O.S.)"/>
      <sheetName val="Salud Marcela"/>
      <sheetName val="VIVIENDA"/>
      <sheetName val="Vivienda (%)"/>
      <sheetName val="Bienestar Soc."/>
      <sheetName val="Bien.Soc. (%)"/>
      <sheetName val="Prev.SOC."/>
      <sheetName val="Trabajo"/>
      <sheetName val="Trabajo (%)"/>
      <sheetName val="Seg. Social"/>
      <sheetName val="Apoyo Gob.Mun."/>
      <sheetName val="Educ. Elem."/>
      <sheetName val="Educ. Media"/>
      <sheetName val="Atención Medica"/>
      <sheetName val="San.Amb."/>
      <sheetName val="Energía y Comb."/>
      <sheetName val="Buenos Aires"/>
      <sheetName val="Buenos Aires-EP"/>
      <sheetName val="Capital Federal"/>
      <sheetName val="Capital Federal (2)"/>
      <sheetName val="Catamarca"/>
      <sheetName val="Cordoba"/>
      <sheetName val="CORRIENTES"/>
      <sheetName val="CORRIENTES (2)"/>
      <sheetName val="CORRIENTES-EP"/>
      <sheetName val="CHACO"/>
      <sheetName val="Chubut"/>
      <sheetName val="Entre Rios"/>
      <sheetName val="Entre Rios (2)"/>
      <sheetName val="Formosa"/>
      <sheetName val="JUJUY"/>
      <sheetName val="La Pampa"/>
      <sheetName val="La Rioja"/>
      <sheetName val="MENDOZA"/>
      <sheetName val="MENDOZA (2)"/>
      <sheetName val="Misiones"/>
      <sheetName val="Misiones-EP"/>
      <sheetName val="Neuquen"/>
      <sheetName val="Neuquen-EP"/>
      <sheetName val="Rio Negro"/>
      <sheetName val="SALTA"/>
      <sheetName val="SALTA-EP"/>
      <sheetName val="San Juan"/>
      <sheetName val="SAN LUIS"/>
      <sheetName val="SANTA CRUZ"/>
      <sheetName val="SANTA CRUZ-EP"/>
      <sheetName val="SANTA FE"/>
      <sheetName val="SANTA FE-EP"/>
      <sheetName val="Santiago del Estero"/>
      <sheetName val="Tierra del Fuego"/>
      <sheetName val="Tierra del Fuego (2)"/>
      <sheetName val="TUCUMAN"/>
      <sheetName val="TUCUMAN-EP"/>
      <sheetName val="GPC"/>
      <sheetName val="Bs. A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3">
          <cell r="A3" t="str">
            <v>PROVINCIA DE SAN LUIS</v>
          </cell>
        </row>
        <row r="4">
          <cell r="A4" t="str">
            <v>Ejecución en millones de pesos</v>
          </cell>
        </row>
        <row r="6">
          <cell r="A6" t="str">
            <v>FINALIDAD - FUNCION</v>
          </cell>
        </row>
        <row r="8">
          <cell r="A8" t="str">
            <v>EROGACIONES TOTALES</v>
          </cell>
        </row>
        <row r="10">
          <cell r="A10" t="str">
            <v>I. FUNCIONAMIENTO DEL ESTADO</v>
          </cell>
        </row>
        <row r="12">
          <cell r="A12" t="str">
            <v>I.1. Administración General</v>
          </cell>
        </row>
        <row r="13">
          <cell r="A13" t="str">
            <v>I.1.1.   Conducción ejecutiva</v>
          </cell>
        </row>
        <row r="14">
          <cell r="A14" t="str">
            <v>I.1.2.   Administración fiscal</v>
          </cell>
        </row>
        <row r="15">
          <cell r="A15" t="str">
            <v>I.1.3.   Control Fiscal</v>
          </cell>
        </row>
        <row r="16">
          <cell r="A16" t="str">
            <v>I.1.4.   Legislación</v>
          </cell>
        </row>
        <row r="17">
          <cell r="A17" t="str">
            <v>I.1.5.   Asuntos Exteriores</v>
          </cell>
        </row>
        <row r="18">
          <cell r="A18" t="str">
            <v>I.1.6.   Culto</v>
          </cell>
        </row>
        <row r="19">
          <cell r="A19" t="str">
            <v>I.1.7.   Apoyo a Gob. Municipales</v>
          </cell>
        </row>
        <row r="20">
          <cell r="A20" t="str">
            <v>I.1.8.   Administ. Gral. sin discriminar</v>
          </cell>
        </row>
        <row r="21">
          <cell r="A21" t="str">
            <v>I.2. Justicia</v>
          </cell>
        </row>
        <row r="22">
          <cell r="A22" t="str">
            <v>I.3. Defensa</v>
          </cell>
        </row>
        <row r="23">
          <cell r="A23" t="str">
            <v>I.3.1.   Ejército</v>
          </cell>
        </row>
        <row r="24">
          <cell r="A24" t="str">
            <v>I.3.2.   Armada</v>
          </cell>
        </row>
        <row r="25">
          <cell r="A25" t="str">
            <v>I.3.2.   Aeronáutica</v>
          </cell>
        </row>
        <row r="26">
          <cell r="A26" t="str">
            <v>I.3.4.   Defensa sin Discriminar</v>
          </cell>
        </row>
        <row r="27">
          <cell r="A27" t="str">
            <v>I.4. Seguridad</v>
          </cell>
        </row>
        <row r="28">
          <cell r="A28" t="str">
            <v>I.4.1.   Policía Interior</v>
          </cell>
        </row>
        <row r="29">
          <cell r="A29" t="str">
            <v>I.4.2.   Policía de Frontera</v>
          </cell>
        </row>
        <row r="30">
          <cell r="A30" t="str">
            <v>I.4.3.   Policía Marítima</v>
          </cell>
        </row>
        <row r="31">
          <cell r="A31" t="str">
            <v>I.4.4.   Reclusión y Corrección</v>
          </cell>
        </row>
        <row r="32">
          <cell r="A32" t="str">
            <v>I.4.5.   Policía Aeronáutica</v>
          </cell>
        </row>
        <row r="33">
          <cell r="A33" t="str">
            <v>I.4.6.   Seguridad sin discriminar</v>
          </cell>
        </row>
        <row r="35">
          <cell r="A35" t="str">
            <v>II. GASTO PUBLICO SOCIAL Y EN RECURSOS HUMANOS</v>
          </cell>
        </row>
        <row r="37">
          <cell r="A37" t="str">
            <v>II.1. Cultura, Educación y Ciencia y Técnica</v>
          </cell>
        </row>
        <row r="38">
          <cell r="A38" t="str">
            <v>II.1.1. Educación Básica</v>
          </cell>
        </row>
        <row r="39">
          <cell r="A39" t="str">
            <v>II.1.1.1.  Educación elemental</v>
          </cell>
        </row>
        <row r="40">
          <cell r="A40" t="str">
            <v>II.1.1.2.  Educación media y técnica</v>
          </cell>
        </row>
        <row r="41">
          <cell r="A41" t="str">
            <v>II.1.2. Educación Superior y Ciencia y Técnica</v>
          </cell>
        </row>
        <row r="42">
          <cell r="A42" t="str">
            <v>II.1.2.1.  Educación superior y universitaria</v>
          </cell>
        </row>
        <row r="43">
          <cell r="A43" t="str">
            <v>II.1.2.2.  Ciencia y Técnica</v>
          </cell>
        </row>
        <row r="44">
          <cell r="A44" t="str">
            <v>II.1.2.2.1.  Capacitación y Promoción Científico-Técnica</v>
          </cell>
        </row>
        <row r="45">
          <cell r="A45" t="str">
            <v>II.1.2.2.2.  Investigación y Desarrollo</v>
          </cell>
        </row>
        <row r="46">
          <cell r="A46" t="str">
            <v>II.1.2.2.3.  Ciencia y técnica sin discriminar</v>
          </cell>
        </row>
        <row r="47">
          <cell r="A47" t="str">
            <v>II.1.3.  Cultura</v>
          </cell>
        </row>
        <row r="48">
          <cell r="A48" t="str">
            <v>II.1.4.  Cultura y educación sin discriminar</v>
          </cell>
        </row>
        <row r="49">
          <cell r="A49" t="str">
            <v>II.2. Salud</v>
          </cell>
        </row>
        <row r="50">
          <cell r="A50" t="str">
            <v>II.2.1.  Atención médica</v>
          </cell>
        </row>
        <row r="51">
          <cell r="A51" t="str">
            <v>II.2.2.  Saneamiento ambiental</v>
          </cell>
        </row>
        <row r="52">
          <cell r="A52" t="str">
            <v>II.2.3.  Salud sin discriminar</v>
          </cell>
        </row>
        <row r="53">
          <cell r="A53" t="str">
            <v>II.3. Vivienda</v>
          </cell>
        </row>
        <row r="54">
          <cell r="A54" t="str">
            <v>II.4. Bienestar Social</v>
          </cell>
        </row>
        <row r="55">
          <cell r="A55" t="str">
            <v>II.4.1.  Asistencia social</v>
          </cell>
        </row>
        <row r="56">
          <cell r="A56" t="str">
            <v>II.4.2.  Promoción social</v>
          </cell>
        </row>
        <row r="57">
          <cell r="A57" t="str">
            <v>II.4.3.  Deportes y recreación</v>
          </cell>
        </row>
        <row r="58">
          <cell r="A58" t="str">
            <v>II.4.4.  Bienestar social sin discriminar</v>
          </cell>
        </row>
        <row r="59">
          <cell r="A59" t="str">
            <v>II.5. Seguridad Social</v>
          </cell>
        </row>
        <row r="60">
          <cell r="A60" t="str">
            <v>II.6. Trabajo</v>
          </cell>
        </row>
        <row r="63">
          <cell r="A63" t="str">
            <v>III. GASTO PUBLICO EN INFRAESTRUCTURA ECONOMICA Y</v>
          </cell>
        </row>
        <row r="64">
          <cell r="A64" t="str">
            <v xml:space="preserve">    EN SUBSIDIOS A LA ACTIVIDAD PRIVADA</v>
          </cell>
        </row>
        <row r="66">
          <cell r="A66" t="str">
            <v>III.1. Producción Primaria</v>
          </cell>
        </row>
        <row r="67">
          <cell r="A67" t="str">
            <v>III.1.1. Suelo, Riego, Desagüe y Drenaje</v>
          </cell>
        </row>
        <row r="68">
          <cell r="A68" t="str">
            <v>III.1.2. Agric., Ganad. y Rec. Nat. Renov.</v>
          </cell>
        </row>
        <row r="69">
          <cell r="A69" t="str">
            <v>III.1.3. Canteras y Minas</v>
          </cell>
        </row>
        <row r="70">
          <cell r="A70" t="str">
            <v>III.2. Energía y Combustible</v>
          </cell>
        </row>
        <row r="71">
          <cell r="A71" t="str">
            <v>III.3. Industrias</v>
          </cell>
        </row>
        <row r="72">
          <cell r="A72" t="str">
            <v>III.4. Servicios</v>
          </cell>
        </row>
        <row r="73">
          <cell r="A73" t="str">
            <v>III.4.1. Turismo</v>
          </cell>
        </row>
        <row r="74">
          <cell r="A74" t="str">
            <v>III.4.2. Transporte</v>
          </cell>
        </row>
        <row r="75">
          <cell r="A75" t="str">
            <v>III.4.2.1. Transporte Ferroviario</v>
          </cell>
        </row>
        <row r="76">
          <cell r="A76" t="str">
            <v>III.4.2.2. Transporte Vial</v>
          </cell>
        </row>
        <row r="77">
          <cell r="A77" t="str">
            <v>III.4.2.3. Transporte por Agua</v>
          </cell>
        </row>
        <row r="78">
          <cell r="A78" t="str">
            <v>III.4.2.4. Transporte Aéreo</v>
          </cell>
        </row>
        <row r="79">
          <cell r="A79" t="str">
            <v>III.4.3. Comunicaciones</v>
          </cell>
        </row>
        <row r="80">
          <cell r="A80" t="str">
            <v>III.4.4. Comercio y Almacenaje</v>
          </cell>
        </row>
        <row r="81">
          <cell r="A81" t="str">
            <v>III.4.5. Seguros y Finanzas</v>
          </cell>
        </row>
        <row r="82">
          <cell r="A82" t="str">
            <v>III.5. Desarrollo de la Economía sin discriminar</v>
          </cell>
        </row>
        <row r="84">
          <cell r="A84" t="str">
            <v>IV. DEUDA PUBLICA</v>
          </cell>
        </row>
        <row r="86">
          <cell r="A86" t="str">
            <v>V. GASTOS A CLASIFICAR</v>
          </cell>
        </row>
        <row r="87">
          <cell r="A87" t="str">
            <v>(*) Estimado</v>
          </cell>
        </row>
        <row r="88">
          <cell r="A88" t="str">
            <v>Nota: Cifras provisorias, sujetas a revisión.</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IE%PIB"/>
      <sheetName val="Serie per cápita % salario min"/>
      <sheetName val="Serie per capita % ingreso inf."/>
      <sheetName val="GPPNC x area del gasto 2015"/>
      <sheetName val="% Gasto social"/>
      <sheetName val="Grafico TODOS"/>
      <sheetName val="ARG, BR, MX"/>
      <sheetName val="BOL, CH, NIC, PER"/>
      <sheetName val="Argentina"/>
      <sheetName val="Bolivia"/>
      <sheetName val="Brasil"/>
      <sheetName val="Chile"/>
      <sheetName val="Colombia (sin ICBF)"/>
      <sheetName val="El Salvador"/>
      <sheetName val="México (serie completa)"/>
      <sheetName val="México (95-01 y 2016)"/>
      <sheetName val="Mexico 2002-2013"/>
      <sheetName val="México 2010-2015"/>
      <sheetName val="Nicaragua"/>
      <sheetName val="Perú"/>
      <sheetName val="Urugua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C8">
            <v>4191105500</v>
          </cell>
          <cell r="D8">
            <v>4485738987</v>
          </cell>
          <cell r="E8">
            <v>4926001000</v>
          </cell>
          <cell r="F8">
            <v>5088034800</v>
          </cell>
          <cell r="G8">
            <v>5716238600</v>
          </cell>
          <cell r="H8">
            <v>5790113800</v>
          </cell>
          <cell r="I8">
            <v>6370722900</v>
          </cell>
          <cell r="J8">
            <v>7624477850</v>
          </cell>
          <cell r="K8">
            <v>7971685970</v>
          </cell>
          <cell r="L8">
            <v>8704061430</v>
          </cell>
          <cell r="M8">
            <v>9714795720</v>
          </cell>
          <cell r="N8">
            <v>9881767320</v>
          </cell>
        </row>
        <row r="9">
          <cell r="C9">
            <v>393794000</v>
          </cell>
          <cell r="D9">
            <v>402359100</v>
          </cell>
          <cell r="E9">
            <v>609318638</v>
          </cell>
          <cell r="F9">
            <v>1156194062</v>
          </cell>
          <cell r="G9">
            <v>504000000</v>
          </cell>
          <cell r="H9">
            <v>745000000</v>
          </cell>
          <cell r="I9">
            <v>1115424612</v>
          </cell>
          <cell r="J9">
            <v>1070000000</v>
          </cell>
          <cell r="K9">
            <v>808000000</v>
          </cell>
          <cell r="L9">
            <v>910000000</v>
          </cell>
          <cell r="M9">
            <v>887000000</v>
          </cell>
          <cell r="N9">
            <v>920541319</v>
          </cell>
        </row>
        <row r="10">
          <cell r="C10">
            <v>191030600</v>
          </cell>
          <cell r="D10">
            <v>618489118</v>
          </cell>
          <cell r="E10">
            <v>4320152282</v>
          </cell>
          <cell r="F10">
            <v>8570720091</v>
          </cell>
          <cell r="G10">
            <v>17272994731</v>
          </cell>
          <cell r="H10">
            <v>26372151028</v>
          </cell>
          <cell r="I10">
            <v>36250635030</v>
          </cell>
          <cell r="J10">
            <v>39214823275</v>
          </cell>
          <cell r="K10">
            <v>45224743686</v>
          </cell>
          <cell r="L10">
            <v>56217751630</v>
          </cell>
          <cell r="M10">
            <v>64703800259</v>
          </cell>
          <cell r="N10">
            <v>68307233119</v>
          </cell>
        </row>
        <row r="12">
          <cell r="C12">
            <v>27588095500</v>
          </cell>
          <cell r="D12">
            <v>32936345064</v>
          </cell>
          <cell r="E12">
            <v>34532043679</v>
          </cell>
          <cell r="F12">
            <v>38042555070</v>
          </cell>
          <cell r="G12">
            <v>40674332319</v>
          </cell>
          <cell r="H12">
            <v>44463493670</v>
          </cell>
          <cell r="I12">
            <v>47689915657</v>
          </cell>
          <cell r="J12">
            <v>49741780508</v>
          </cell>
          <cell r="K12">
            <v>53096819333</v>
          </cell>
          <cell r="L12">
            <v>59627814943</v>
          </cell>
          <cell r="M12">
            <v>66292474889</v>
          </cell>
          <cell r="N12">
            <v>68604813709</v>
          </cell>
        </row>
        <row r="13">
          <cell r="C13">
            <v>21441456780</v>
          </cell>
          <cell r="D13">
            <v>20777650338</v>
          </cell>
          <cell r="E13">
            <v>28351306192</v>
          </cell>
          <cell r="F13">
            <v>32207130928.66</v>
          </cell>
          <cell r="G13">
            <v>34400733868.860001</v>
          </cell>
          <cell r="H13">
            <v>37227946708.018066</v>
          </cell>
          <cell r="I13">
            <v>46830021886.830002</v>
          </cell>
          <cell r="J13">
            <v>56395617382.282349</v>
          </cell>
          <cell r="K13">
            <v>60595388289</v>
          </cell>
          <cell r="L13">
            <v>51384329671.511795</v>
          </cell>
          <cell r="M13">
            <v>55015302795.348999</v>
          </cell>
          <cell r="N13">
            <v>64977403735</v>
          </cell>
        </row>
        <row r="14">
          <cell r="H14">
            <v>251641328</v>
          </cell>
          <cell r="I14">
            <v>1699724458</v>
          </cell>
          <cell r="J14">
            <v>2355752488</v>
          </cell>
          <cell r="K14">
            <v>2425461148</v>
          </cell>
          <cell r="L14">
            <v>2343374556</v>
          </cell>
          <cell r="M14">
            <v>3107275755</v>
          </cell>
          <cell r="N14">
            <v>1572522338</v>
          </cell>
        </row>
        <row r="15">
          <cell r="C15">
            <v>3514213200</v>
          </cell>
          <cell r="D15">
            <v>5467750834</v>
          </cell>
          <cell r="E15">
            <v>5316672887</v>
          </cell>
          <cell r="F15">
            <v>6925184718.3400002</v>
          </cell>
          <cell r="G15">
            <v>8003739207.1400003</v>
          </cell>
          <cell r="H15">
            <v>7583281782.9819365</v>
          </cell>
          <cell r="I15">
            <v>8489222788.1700001</v>
          </cell>
          <cell r="J15">
            <v>9470732556.7176514</v>
          </cell>
          <cell r="K15">
            <v>10312305315</v>
          </cell>
          <cell r="L15">
            <v>11178707204</v>
          </cell>
          <cell r="M15">
            <v>11813206783</v>
          </cell>
          <cell r="N15">
            <v>10674285216</v>
          </cell>
        </row>
        <row r="17">
          <cell r="C17">
            <v>54438200</v>
          </cell>
          <cell r="D17">
            <v>1303702173</v>
          </cell>
          <cell r="E17">
            <v>1923903054</v>
          </cell>
          <cell r="F17">
            <v>1809209668</v>
          </cell>
          <cell r="G17">
            <v>5135547683</v>
          </cell>
          <cell r="H17">
            <v>2370668469</v>
          </cell>
          <cell r="I17">
            <v>2370668469</v>
          </cell>
          <cell r="J17">
            <v>2568838554</v>
          </cell>
          <cell r="K17">
            <v>2781869313</v>
          </cell>
          <cell r="L17">
            <v>3351629889</v>
          </cell>
          <cell r="M17">
            <v>2883570923</v>
          </cell>
          <cell r="N17">
            <v>2585902860</v>
          </cell>
        </row>
        <row r="18">
          <cell r="D18">
            <v>845029999</v>
          </cell>
          <cell r="E18">
            <v>1658690265</v>
          </cell>
          <cell r="F18">
            <v>1923886515</v>
          </cell>
          <cell r="G18">
            <v>1844261027</v>
          </cell>
          <cell r="H18">
            <v>3226120230</v>
          </cell>
          <cell r="I18">
            <v>1887399411</v>
          </cell>
          <cell r="J18">
            <v>2503066841</v>
          </cell>
          <cell r="K18">
            <v>4120940057</v>
          </cell>
          <cell r="L18">
            <v>3549245088</v>
          </cell>
          <cell r="M18">
            <v>3451892738</v>
          </cell>
          <cell r="N18">
            <v>3567217077</v>
          </cell>
        </row>
        <row r="19">
          <cell r="G19">
            <v>3574883549</v>
          </cell>
          <cell r="H19">
            <v>5140139482</v>
          </cell>
          <cell r="I19">
            <v>5140139482</v>
          </cell>
          <cell r="J19">
            <v>5092316322</v>
          </cell>
          <cell r="K19">
            <v>5937874539</v>
          </cell>
          <cell r="L19">
            <v>5315003852</v>
          </cell>
          <cell r="M19">
            <v>8380210322</v>
          </cell>
          <cell r="N19">
            <v>8006342622</v>
          </cell>
        </row>
        <row r="20">
          <cell r="C20">
            <v>727182300</v>
          </cell>
          <cell r="D20">
            <v>829600000</v>
          </cell>
        </row>
        <row r="22">
          <cell r="H22">
            <v>692369600</v>
          </cell>
          <cell r="I22">
            <v>1711029697</v>
          </cell>
          <cell r="J22">
            <v>2504291696</v>
          </cell>
          <cell r="K22">
            <v>2622697872</v>
          </cell>
          <cell r="L22">
            <v>2708523792</v>
          </cell>
          <cell r="M22">
            <v>3324127185</v>
          </cell>
          <cell r="N22">
            <v>3389255936</v>
          </cell>
        </row>
        <row r="23">
          <cell r="C23"/>
          <cell r="D23"/>
          <cell r="E23"/>
          <cell r="F23"/>
          <cell r="G23"/>
          <cell r="H23"/>
          <cell r="J23">
            <v>74603087.25999999</v>
          </cell>
          <cell r="K23">
            <v>183782814.97999999</v>
          </cell>
          <cell r="L23">
            <v>242787900.62</v>
          </cell>
          <cell r="M23">
            <v>213635568.5</v>
          </cell>
          <cell r="N23">
            <v>203699450.84</v>
          </cell>
        </row>
        <row r="24">
          <cell r="N24">
            <v>396441286</v>
          </cell>
        </row>
        <row r="26">
          <cell r="H26">
            <v>5988254953</v>
          </cell>
          <cell r="I26">
            <v>9536677065</v>
          </cell>
          <cell r="J26">
            <v>12406855042</v>
          </cell>
          <cell r="K26">
            <v>12922703288</v>
          </cell>
          <cell r="L26">
            <v>12972304705</v>
          </cell>
          <cell r="M26">
            <v>17692651278</v>
          </cell>
          <cell r="N26">
            <v>24324258962</v>
          </cell>
        </row>
        <row r="27">
          <cell r="C27"/>
          <cell r="D27"/>
          <cell r="E27"/>
          <cell r="F27"/>
          <cell r="G27"/>
          <cell r="H27"/>
          <cell r="J27">
            <v>7368624775.6800003</v>
          </cell>
          <cell r="K27">
            <v>8644656432.5499992</v>
          </cell>
          <cell r="L27">
            <v>9680823371.4300003</v>
          </cell>
          <cell r="M27">
            <v>10000871355.73</v>
          </cell>
          <cell r="N27">
            <v>10615876674.24</v>
          </cell>
        </row>
        <row r="32">
          <cell r="C32">
            <v>7457668335000</v>
          </cell>
          <cell r="D32">
            <v>8004804364000</v>
          </cell>
          <cell r="E32">
            <v>9140364230000</v>
          </cell>
          <cell r="F32">
            <v>9901538284000</v>
          </cell>
          <cell r="G32">
            <v>10899861753000</v>
          </cell>
          <cell r="H32">
            <v>12029357593000</v>
          </cell>
          <cell r="I32">
            <v>12332829475000</v>
          </cell>
          <cell r="J32">
            <v>12774822976000</v>
          </cell>
          <cell r="K32">
            <v>13995300777000</v>
          </cell>
          <cell r="L32">
            <v>15612792680000</v>
          </cell>
          <cell r="M32">
            <v>16189823250000</v>
          </cell>
          <cell r="N32">
            <v>16833296999000.002</v>
          </cell>
        </row>
      </sheetData>
      <sheetData sheetId="17">
        <row r="6">
          <cell r="G6">
            <v>9311.7710179999995</v>
          </cell>
          <cell r="H6">
            <v>9719.2999999999993</v>
          </cell>
        </row>
        <row r="7">
          <cell r="G7">
            <v>952</v>
          </cell>
          <cell r="H7">
            <v>1127.1417140000001</v>
          </cell>
        </row>
        <row r="8">
          <cell r="G8">
            <v>69225.205664320005</v>
          </cell>
          <cell r="H8">
            <v>69145.654874719999</v>
          </cell>
        </row>
        <row r="10">
          <cell r="G10">
            <v>74367.809227999998</v>
          </cell>
          <cell r="H10">
            <v>77845.081242999993</v>
          </cell>
        </row>
        <row r="11">
          <cell r="G11">
            <v>68854.761591629984</v>
          </cell>
          <cell r="H11">
            <v>36136.562786130002</v>
          </cell>
        </row>
        <row r="12">
          <cell r="G12">
            <v>1493.092529</v>
          </cell>
          <cell r="H12">
            <v>1897.30708809</v>
          </cell>
        </row>
        <row r="13">
          <cell r="G13">
            <v>11230.713180999999</v>
          </cell>
          <cell r="H13">
            <v>11331.539855999999</v>
          </cell>
        </row>
        <row r="15">
          <cell r="G15">
            <v>2976.822525</v>
          </cell>
          <cell r="H15">
            <v>3188.6280470000002</v>
          </cell>
        </row>
        <row r="16">
          <cell r="G16">
            <v>3557.3047122399998</v>
          </cell>
          <cell r="H16">
            <v>2862.59480377</v>
          </cell>
        </row>
        <row r="17">
          <cell r="G17">
            <v>11702.302269</v>
          </cell>
          <cell r="H17">
            <v>11267.715692</v>
          </cell>
        </row>
        <row r="19">
          <cell r="G19">
            <v>3645.0525640199999</v>
          </cell>
          <cell r="H19">
            <v>3804.0655592199996</v>
          </cell>
        </row>
        <row r="20">
          <cell r="G20">
            <v>275.47578894999998</v>
          </cell>
          <cell r="H20">
            <v>272.64959438</v>
          </cell>
        </row>
        <row r="21">
          <cell r="G21">
            <v>1010.23161628</v>
          </cell>
          <cell r="H21">
            <v>1045.40849596</v>
          </cell>
        </row>
        <row r="23">
          <cell r="G23">
            <v>36477.893052169995</v>
          </cell>
          <cell r="H23">
            <v>39707.216350360002</v>
          </cell>
        </row>
        <row r="26">
          <cell r="G26">
            <v>10126.041352249998</v>
          </cell>
          <cell r="H26">
            <v>11255.298649380002</v>
          </cell>
        </row>
        <row r="32">
          <cell r="G32">
            <v>17256000.489500001</v>
          </cell>
          <cell r="H32">
            <v>18127177.520750001</v>
          </cell>
        </row>
        <row r="40">
          <cell r="C40">
            <v>29133888</v>
          </cell>
          <cell r="D40">
            <v>31075371</v>
          </cell>
          <cell r="E40">
            <v>30835224</v>
          </cell>
          <cell r="F40">
            <v>31597517</v>
          </cell>
          <cell r="G40">
            <v>31299257</v>
          </cell>
          <cell r="H40">
            <v>32552232</v>
          </cell>
        </row>
        <row r="44">
          <cell r="C44">
            <v>20972.9</v>
          </cell>
          <cell r="D44">
            <v>21834.3</v>
          </cell>
          <cell r="E44">
            <v>22750.45</v>
          </cell>
          <cell r="F44">
            <v>23637.4</v>
          </cell>
          <cell r="G44">
            <v>24560.850000000002</v>
          </cell>
          <cell r="H44">
            <v>25586.499999999996</v>
          </cell>
        </row>
        <row r="45">
          <cell r="C45">
            <v>57751.86</v>
          </cell>
          <cell r="D45">
            <v>59377.72</v>
          </cell>
          <cell r="E45">
            <v>60479.14</v>
          </cell>
          <cell r="F45">
            <v>61896.59</v>
          </cell>
          <cell r="G45">
            <v>62267.49</v>
          </cell>
          <cell r="H45">
            <v>65339.51</v>
          </cell>
        </row>
        <row r="46">
          <cell r="C46">
            <v>76809.279999999999</v>
          </cell>
          <cell r="D46">
            <v>78767.45</v>
          </cell>
          <cell r="E46">
            <v>80599.67</v>
          </cell>
          <cell r="F46">
            <v>83284.070000000007</v>
          </cell>
          <cell r="G46">
            <v>82411.820000000007</v>
          </cell>
          <cell r="H46">
            <v>87159.52</v>
          </cell>
        </row>
        <row r="47">
          <cell r="C47">
            <v>46393.31</v>
          </cell>
          <cell r="D47">
            <v>48022.19</v>
          </cell>
          <cell r="E47">
            <v>48743.87</v>
          </cell>
          <cell r="F47">
            <v>49009.760000000002</v>
          </cell>
          <cell r="G47">
            <v>49757.41</v>
          </cell>
          <cell r="H47">
            <v>52195.22</v>
          </cell>
        </row>
      </sheetData>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w2.salud.gob.sv/servicios/descargas/documentos/Documentaci%C3%B3n-Institucional/Memorias-de-Labores/Memoria-de-Labores-2014-2015/" TargetMode="External"/><Relationship Id="rId2" Type="http://schemas.openxmlformats.org/officeDocument/2006/relationships/hyperlink" Target="http://www.transparenciafiscal.gob.sv/ptf/es/PresupuestosPublicos/PresupuestosEjecutados/" TargetMode="External"/><Relationship Id="rId1" Type="http://schemas.openxmlformats.org/officeDocument/2006/relationships/hyperlink" Target="http://www.bcr.gob.sv/bcrsite/?cdr=12&amp;lang=es" TargetMode="External"/><Relationship Id="rId6" Type="http://schemas.openxmlformats.org/officeDocument/2006/relationships/printerSettings" Target="../printerSettings/printerSettings11.bin"/><Relationship Id="rId5" Type="http://schemas.openxmlformats.org/officeDocument/2006/relationships/hyperlink" Target="http://www.mh.gob.sv/portal/page/portal/PMH/Institucion/Marco_Institucional/Informes/Planes/10652_HACIENDA_Marco_Fiscal_de_Mediano_Plazo_2015-2025.pdf" TargetMode="External"/><Relationship Id="rId4" Type="http://schemas.openxmlformats.org/officeDocument/2006/relationships/hyperlink" Target="http://www.transparenciafiscal.gob.sv/ptf/es/PresupuestosPublicos/PresupuestosEjecutados/" TargetMode="Externa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ine.gob.bo/" TargetMode="External"/><Relationship Id="rId2" Type="http://schemas.openxmlformats.org/officeDocument/2006/relationships/hyperlink" Target="http://www.economiayfinanzas.gob.bo/" TargetMode="External"/><Relationship Id="rId1" Type="http://schemas.openxmlformats.org/officeDocument/2006/relationships/hyperlink" Target="http://www.ine.gob.bo/"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33F8A-24D8-4420-AC18-5EC8A92DC064}">
  <sheetPr>
    <pageSetUpPr fitToPage="1"/>
  </sheetPr>
  <dimension ref="A1:EY96"/>
  <sheetViews>
    <sheetView zoomScale="80" zoomScaleNormal="80" workbookViewId="0">
      <pane xSplit="1" ySplit="4" topLeftCell="B5" activePane="bottomRight" state="frozen"/>
      <selection activeCell="A6" sqref="A6"/>
      <selection pane="topRight" activeCell="A6" sqref="A6"/>
      <selection pane="bottomLeft" activeCell="A6" sqref="A6"/>
      <selection pane="bottomRight" activeCell="A77" sqref="A77"/>
    </sheetView>
  </sheetViews>
  <sheetFormatPr defaultColWidth="11.44140625" defaultRowHeight="14.4" x14ac:dyDescent="0.3"/>
  <cols>
    <col min="1" max="1" width="72" style="1" customWidth="1"/>
    <col min="2" max="24" width="12.77734375" style="1" customWidth="1"/>
    <col min="25" max="16384" width="11.44140625" style="1"/>
  </cols>
  <sheetData>
    <row r="1" spans="1:24" s="14" customFormat="1" ht="30" customHeight="1" x14ac:dyDescent="0.3">
      <c r="A1" s="55" t="s">
        <v>257</v>
      </c>
      <c r="B1" s="55"/>
      <c r="C1" s="55"/>
      <c r="D1" s="55"/>
      <c r="E1" s="55"/>
      <c r="F1" s="55"/>
      <c r="G1" s="55"/>
      <c r="H1" s="55"/>
      <c r="I1" s="55"/>
      <c r="J1" s="55"/>
      <c r="K1" s="55"/>
      <c r="L1" s="55"/>
      <c r="M1" s="55"/>
      <c r="N1" s="55"/>
      <c r="O1" s="55"/>
      <c r="P1" s="55"/>
      <c r="Q1" s="55"/>
      <c r="R1" s="55"/>
      <c r="S1" s="55"/>
      <c r="T1" s="55"/>
      <c r="U1" s="55"/>
      <c r="V1" s="55"/>
      <c r="W1" s="55"/>
    </row>
    <row r="2" spans="1:24" s="14" customFormat="1" ht="30" customHeight="1" x14ac:dyDescent="0.3">
      <c r="A2" s="55"/>
      <c r="B2" s="55"/>
      <c r="C2" s="55"/>
      <c r="D2" s="55"/>
      <c r="E2" s="55"/>
      <c r="F2" s="55"/>
      <c r="G2" s="55"/>
      <c r="H2" s="55"/>
      <c r="I2" s="55"/>
      <c r="J2" s="55"/>
      <c r="K2" s="55"/>
      <c r="L2" s="55"/>
      <c r="M2" s="55"/>
      <c r="N2" s="55"/>
      <c r="O2" s="55"/>
      <c r="P2" s="55"/>
      <c r="Q2" s="55"/>
      <c r="R2" s="55"/>
      <c r="S2" s="55"/>
      <c r="T2" s="55"/>
      <c r="U2" s="55"/>
      <c r="V2" s="55"/>
      <c r="W2" s="55"/>
    </row>
    <row r="3" spans="1:24" s="14" customFormat="1" ht="19.95" customHeight="1" thickBot="1" x14ac:dyDescent="0.35">
      <c r="A3" s="702" t="s">
        <v>259</v>
      </c>
      <c r="B3" s="73"/>
      <c r="C3" s="73"/>
      <c r="D3" s="29"/>
      <c r="E3" s="29"/>
      <c r="F3" s="29"/>
      <c r="G3" s="29"/>
      <c r="H3" s="29"/>
      <c r="I3" s="29"/>
      <c r="J3" s="29"/>
      <c r="K3" s="29"/>
      <c r="L3" s="29"/>
      <c r="M3" s="74"/>
      <c r="N3" s="74"/>
      <c r="O3" s="74"/>
      <c r="P3" s="75"/>
      <c r="Q3" s="75"/>
      <c r="R3" s="75"/>
      <c r="S3" s="75"/>
      <c r="T3" s="75"/>
      <c r="U3" s="75"/>
      <c r="V3" s="75"/>
      <c r="W3" s="75"/>
      <c r="X3" s="75"/>
    </row>
    <row r="4" spans="1:24" s="362" customFormat="1" ht="25.05" customHeight="1" thickBot="1" x14ac:dyDescent="0.35">
      <c r="A4" s="363" t="s">
        <v>260</v>
      </c>
      <c r="B4" s="105">
        <v>1993</v>
      </c>
      <c r="C4" s="105">
        <v>1994</v>
      </c>
      <c r="D4" s="105">
        <v>1995</v>
      </c>
      <c r="E4" s="105">
        <v>1996</v>
      </c>
      <c r="F4" s="105">
        <v>1997</v>
      </c>
      <c r="G4" s="105">
        <v>1998</v>
      </c>
      <c r="H4" s="105">
        <v>1999</v>
      </c>
      <c r="I4" s="105">
        <v>2000</v>
      </c>
      <c r="J4" s="105">
        <v>2001</v>
      </c>
      <c r="K4" s="105">
        <v>2002</v>
      </c>
      <c r="L4" s="105">
        <v>2003</v>
      </c>
      <c r="M4" s="105">
        <v>2004</v>
      </c>
      <c r="N4" s="105">
        <v>2005</v>
      </c>
      <c r="O4" s="105">
        <v>2006</v>
      </c>
      <c r="P4" s="105">
        <v>2007</v>
      </c>
      <c r="Q4" s="105">
        <v>2008</v>
      </c>
      <c r="R4" s="105">
        <v>2009</v>
      </c>
      <c r="S4" s="105">
        <v>2010</v>
      </c>
      <c r="T4" s="105">
        <v>2011</v>
      </c>
      <c r="U4" s="105">
        <v>2012</v>
      </c>
      <c r="V4" s="105">
        <v>2013</v>
      </c>
      <c r="W4" s="105">
        <v>2014</v>
      </c>
      <c r="X4" s="106">
        <v>2015</v>
      </c>
    </row>
    <row r="5" spans="1:24" ht="4.95" customHeight="1" x14ac:dyDescent="0.3">
      <c r="A5" s="30"/>
      <c r="B5" s="31"/>
      <c r="C5" s="31"/>
      <c r="D5" s="31"/>
      <c r="E5" s="31"/>
      <c r="F5" s="31"/>
      <c r="G5" s="31"/>
      <c r="H5" s="31"/>
      <c r="I5" s="31"/>
      <c r="J5" s="31"/>
      <c r="K5" s="31"/>
      <c r="L5" s="31"/>
      <c r="M5" s="31"/>
      <c r="N5" s="31"/>
      <c r="O5" s="31"/>
      <c r="P5" s="31"/>
      <c r="Q5" s="32"/>
      <c r="R5" s="32"/>
      <c r="S5" s="32"/>
      <c r="T5" s="31"/>
      <c r="U5" s="32"/>
      <c r="V5" s="32"/>
      <c r="W5" s="32"/>
      <c r="X5" s="33"/>
    </row>
    <row r="6" spans="1:24" s="36" customFormat="1" ht="15" customHeight="1" x14ac:dyDescent="0.3">
      <c r="A6" s="109" t="s">
        <v>261</v>
      </c>
      <c r="B6" s="110"/>
      <c r="C6" s="110"/>
      <c r="D6" s="110"/>
      <c r="E6" s="110"/>
      <c r="F6" s="110"/>
      <c r="G6" s="110"/>
      <c r="H6" s="110"/>
      <c r="I6" s="110"/>
      <c r="J6" s="110"/>
      <c r="K6" s="110"/>
      <c r="L6" s="110"/>
      <c r="M6" s="110"/>
      <c r="N6" s="110"/>
      <c r="O6" s="110"/>
      <c r="P6" s="111"/>
      <c r="Q6" s="111"/>
      <c r="R6" s="111"/>
      <c r="S6" s="111"/>
      <c r="T6" s="111"/>
      <c r="U6" s="111"/>
      <c r="V6" s="111"/>
      <c r="W6" s="111"/>
      <c r="X6" s="112"/>
    </row>
    <row r="7" spans="1:24" ht="15" customHeight="1" x14ac:dyDescent="0.3">
      <c r="A7" s="70" t="s">
        <v>10</v>
      </c>
      <c r="B7" s="40">
        <v>49.297105791372793</v>
      </c>
      <c r="C7" s="40">
        <v>56.780673022668886</v>
      </c>
      <c r="D7" s="2">
        <v>65.955964257715848</v>
      </c>
      <c r="E7" s="40">
        <v>67.190139529986737</v>
      </c>
      <c r="F7" s="2">
        <v>97.445165649137977</v>
      </c>
      <c r="G7" s="2">
        <v>105.85405545583481</v>
      </c>
      <c r="H7" s="2">
        <v>92.358254556736441</v>
      </c>
      <c r="I7" s="2">
        <v>105.61150025660105</v>
      </c>
      <c r="J7" s="2">
        <v>110.05763478282552</v>
      </c>
      <c r="K7" s="2">
        <v>75.745434865409464</v>
      </c>
      <c r="L7" s="2">
        <v>84.549011967794172</v>
      </c>
      <c r="M7" s="2">
        <v>144.38492926665131</v>
      </c>
      <c r="N7" s="2">
        <v>219.93654882552832</v>
      </c>
      <c r="O7" s="2">
        <v>350.76835755738307</v>
      </c>
      <c r="P7" s="41">
        <v>517.29663695273337</v>
      </c>
      <c r="Q7" s="41">
        <v>580.79081627382618</v>
      </c>
      <c r="R7" s="41">
        <v>590.41088007580208</v>
      </c>
      <c r="S7" s="41">
        <v>568.05485380269738</v>
      </c>
      <c r="T7" s="41">
        <v>542.22643747947461</v>
      </c>
      <c r="U7" s="41">
        <v>648.28719130260708</v>
      </c>
      <c r="V7" s="41">
        <v>643.77871336921271</v>
      </c>
      <c r="W7" s="41">
        <v>659.37274974097897</v>
      </c>
      <c r="X7" s="42">
        <v>661.73267192216133</v>
      </c>
    </row>
    <row r="8" spans="1:24" ht="15" customHeight="1" x14ac:dyDescent="0.3">
      <c r="A8" s="70" t="s">
        <v>11</v>
      </c>
      <c r="B8" s="2"/>
      <c r="C8" s="2"/>
      <c r="D8" s="2"/>
      <c r="E8" s="2"/>
      <c r="F8" s="2"/>
      <c r="G8" s="2"/>
      <c r="H8" s="2"/>
      <c r="I8" s="2"/>
      <c r="J8" s="2"/>
      <c r="K8" s="2"/>
      <c r="L8" s="2"/>
      <c r="M8" s="2"/>
      <c r="N8" s="2"/>
      <c r="O8" s="2"/>
      <c r="P8" s="34">
        <v>12101.231261530002</v>
      </c>
      <c r="Q8" s="34">
        <v>17114.534208649999</v>
      </c>
      <c r="R8" s="34">
        <v>22556.633148869998</v>
      </c>
      <c r="S8" s="43">
        <v>30103.200373</v>
      </c>
      <c r="T8" s="34">
        <v>42603.817776999997</v>
      </c>
      <c r="U8" s="34">
        <v>57898.365857999997</v>
      </c>
      <c r="V8" s="34">
        <v>75696.458511000004</v>
      </c>
      <c r="W8" s="34">
        <v>99898.227855999998</v>
      </c>
      <c r="X8" s="35">
        <v>163000.27356199999</v>
      </c>
    </row>
    <row r="9" spans="1:24" s="36" customFormat="1" ht="15" customHeight="1" x14ac:dyDescent="0.3">
      <c r="A9" s="109" t="s">
        <v>262</v>
      </c>
      <c r="B9" s="110"/>
      <c r="C9" s="110"/>
      <c r="D9" s="110"/>
      <c r="E9" s="110"/>
      <c r="F9" s="110"/>
      <c r="G9" s="110"/>
      <c r="H9" s="110"/>
      <c r="I9" s="110"/>
      <c r="J9" s="110"/>
      <c r="K9" s="110"/>
      <c r="L9" s="110"/>
      <c r="M9" s="110"/>
      <c r="N9" s="110"/>
      <c r="O9" s="110"/>
      <c r="P9" s="111"/>
      <c r="Q9" s="111"/>
      <c r="R9" s="111"/>
      <c r="S9" s="111"/>
      <c r="T9" s="111"/>
      <c r="U9" s="111"/>
      <c r="V9" s="111"/>
      <c r="W9" s="111"/>
      <c r="X9" s="112"/>
    </row>
    <row r="10" spans="1:24" ht="15" customHeight="1" x14ac:dyDescent="0.3">
      <c r="A10" s="69" t="s">
        <v>7</v>
      </c>
      <c r="B10" s="34">
        <v>2820.2366890567419</v>
      </c>
      <c r="C10" s="34">
        <v>3045.7381514087101</v>
      </c>
      <c r="D10" s="34">
        <v>3051.529008342834</v>
      </c>
      <c r="E10" s="34">
        <v>3064.1679227455697</v>
      </c>
      <c r="F10" s="34">
        <v>3159.9961270168083</v>
      </c>
      <c r="G10" s="34">
        <v>3252.7767514904976</v>
      </c>
      <c r="H10" s="34">
        <v>3531.7015099114574</v>
      </c>
      <c r="I10" s="34">
        <v>3394.8699489287883</v>
      </c>
      <c r="J10" s="34">
        <v>3472.0018043168448</v>
      </c>
      <c r="K10" s="34">
        <v>3530.934168328004</v>
      </c>
      <c r="L10" s="34">
        <v>4131.5316469546742</v>
      </c>
      <c r="M10" s="34">
        <v>4885.6190266582726</v>
      </c>
      <c r="N10" s="34">
        <v>6282.6688848815384</v>
      </c>
      <c r="O10" s="34">
        <v>7862.3898508247248</v>
      </c>
      <c r="P10" s="34">
        <v>10267.94407316312</v>
      </c>
      <c r="Q10" s="34">
        <v>13881.79832834676</v>
      </c>
      <c r="R10" s="34">
        <v>17557.509036515403</v>
      </c>
      <c r="S10" s="34">
        <v>22007.918580392965</v>
      </c>
      <c r="T10" s="34">
        <v>30437.39343724318</v>
      </c>
      <c r="U10" s="34">
        <v>39373.933187972747</v>
      </c>
      <c r="V10" s="34">
        <v>50759.312275716031</v>
      </c>
      <c r="W10" s="34">
        <v>68729.1718793935</v>
      </c>
      <c r="X10" s="35">
        <v>97685.082508896623</v>
      </c>
    </row>
    <row r="11" spans="1:24" ht="15" customHeight="1" x14ac:dyDescent="0.3">
      <c r="A11" s="69" t="s">
        <v>586</v>
      </c>
      <c r="B11" s="34">
        <v>13.7593410935</v>
      </c>
      <c r="C11" s="34">
        <v>71.693904669999995</v>
      </c>
      <c r="D11" s="34">
        <v>80.618984187500004</v>
      </c>
      <c r="E11" s="34">
        <v>82.129080621499995</v>
      </c>
      <c r="F11" s="34">
        <v>19.815600214000003</v>
      </c>
      <c r="G11" s="34">
        <v>23.210524592000002</v>
      </c>
      <c r="H11" s="34">
        <v>23.416883172000002</v>
      </c>
      <c r="I11" s="34">
        <v>37.178221306499999</v>
      </c>
      <c r="J11" s="34">
        <v>62.266529747999996</v>
      </c>
      <c r="K11" s="34">
        <v>83.632551145809529</v>
      </c>
      <c r="L11" s="34">
        <v>108.05742099981575</v>
      </c>
      <c r="M11" s="34">
        <v>169.03727210498351</v>
      </c>
      <c r="N11" s="34">
        <v>232.06469669364546</v>
      </c>
      <c r="O11" s="34">
        <v>299.83504369921974</v>
      </c>
      <c r="P11" s="34">
        <v>344.67012378698712</v>
      </c>
      <c r="Q11" s="34">
        <v>621.19002346274442</v>
      </c>
      <c r="R11" s="34">
        <v>767.65419610322033</v>
      </c>
      <c r="S11" s="34">
        <v>972.88562025644308</v>
      </c>
      <c r="T11" s="34">
        <v>1158.2414444347116</v>
      </c>
      <c r="U11" s="34">
        <v>1524.5798522449891</v>
      </c>
      <c r="V11" s="34">
        <v>1852.2023956160365</v>
      </c>
      <c r="W11" s="34">
        <v>2384.6931980424729</v>
      </c>
      <c r="X11" s="35">
        <v>3853.3302597070046</v>
      </c>
    </row>
    <row r="12" spans="1:24" ht="15" customHeight="1" x14ac:dyDescent="0.3">
      <c r="A12" s="69" t="s">
        <v>587</v>
      </c>
      <c r="B12" s="34">
        <v>2806.4773479632418</v>
      </c>
      <c r="C12" s="34">
        <v>2974.0442467387102</v>
      </c>
      <c r="D12" s="34">
        <v>2970.9100241553342</v>
      </c>
      <c r="E12" s="34">
        <v>2982.03884212407</v>
      </c>
      <c r="F12" s="34">
        <v>3140.1805268028083</v>
      </c>
      <c r="G12" s="34">
        <v>3229.5662268984975</v>
      </c>
      <c r="H12" s="34">
        <v>3508.2846267394575</v>
      </c>
      <c r="I12" s="34">
        <v>3357.6917276222885</v>
      </c>
      <c r="J12" s="34">
        <v>3409.7352745688449</v>
      </c>
      <c r="K12" s="34">
        <v>3447.3016171821946</v>
      </c>
      <c r="L12" s="34">
        <v>4023.4742259548584</v>
      </c>
      <c r="M12" s="34">
        <v>4716.5817545532891</v>
      </c>
      <c r="N12" s="34">
        <v>6050.6041881878928</v>
      </c>
      <c r="O12" s="34">
        <v>7562.5548071255052</v>
      </c>
      <c r="P12" s="34">
        <v>9923.2739493761328</v>
      </c>
      <c r="Q12" s="34">
        <v>13260.608304884016</v>
      </c>
      <c r="R12" s="34">
        <v>16789.854840412183</v>
      </c>
      <c r="S12" s="34">
        <v>21035.032960136523</v>
      </c>
      <c r="T12" s="34">
        <v>29279.151992808467</v>
      </c>
      <c r="U12" s="34">
        <v>37849.353335727756</v>
      </c>
      <c r="V12" s="34">
        <v>48907.109880099997</v>
      </c>
      <c r="W12" s="34">
        <v>66344.478681351029</v>
      </c>
      <c r="X12" s="35">
        <v>93831.752249189623</v>
      </c>
    </row>
    <row r="13" spans="1:24" s="36" customFormat="1" ht="15" customHeight="1" x14ac:dyDescent="0.3">
      <c r="A13" s="109" t="s">
        <v>263</v>
      </c>
      <c r="B13" s="110"/>
      <c r="C13" s="110"/>
      <c r="D13" s="110"/>
      <c r="E13" s="110"/>
      <c r="F13" s="110"/>
      <c r="G13" s="110"/>
      <c r="H13" s="110"/>
      <c r="I13" s="110"/>
      <c r="J13" s="110"/>
      <c r="K13" s="110"/>
      <c r="L13" s="110"/>
      <c r="M13" s="110"/>
      <c r="N13" s="110"/>
      <c r="O13" s="110"/>
      <c r="P13" s="111"/>
      <c r="Q13" s="111"/>
      <c r="R13" s="111"/>
      <c r="S13" s="111"/>
      <c r="T13" s="111"/>
      <c r="U13" s="111"/>
      <c r="V13" s="111"/>
      <c r="W13" s="111"/>
      <c r="X13" s="112"/>
    </row>
    <row r="14" spans="1:24" ht="15" customHeight="1" x14ac:dyDescent="0.3">
      <c r="A14" s="70" t="s">
        <v>6</v>
      </c>
      <c r="B14" s="2"/>
      <c r="C14" s="2"/>
      <c r="D14" s="2"/>
      <c r="E14" s="2"/>
      <c r="F14" s="2"/>
      <c r="G14" s="2"/>
      <c r="H14" s="2"/>
      <c r="I14" s="2"/>
      <c r="J14" s="2"/>
      <c r="K14" s="2"/>
      <c r="L14" s="2"/>
      <c r="M14" s="2"/>
      <c r="N14" s="2"/>
      <c r="O14" s="2"/>
      <c r="P14" s="34">
        <v>0</v>
      </c>
      <c r="Q14" s="34">
        <v>0</v>
      </c>
      <c r="R14" s="34">
        <v>0</v>
      </c>
      <c r="S14" s="34">
        <v>6339.8517750000001</v>
      </c>
      <c r="T14" s="34">
        <v>9036.656567</v>
      </c>
      <c r="U14" s="34">
        <v>11168.57368</v>
      </c>
      <c r="V14" s="34">
        <v>15804.790313</v>
      </c>
      <c r="W14" s="34">
        <v>22114.876989</v>
      </c>
      <c r="X14" s="35">
        <v>34035.477984999998</v>
      </c>
    </row>
    <row r="15" spans="1:24" s="36" customFormat="1" ht="15" customHeight="1" x14ac:dyDescent="0.3">
      <c r="A15" s="109" t="s">
        <v>264</v>
      </c>
      <c r="B15" s="110"/>
      <c r="C15" s="110"/>
      <c r="D15" s="110"/>
      <c r="E15" s="110"/>
      <c r="F15" s="110"/>
      <c r="G15" s="110"/>
      <c r="H15" s="110"/>
      <c r="I15" s="110"/>
      <c r="J15" s="110"/>
      <c r="K15" s="110"/>
      <c r="L15" s="110"/>
      <c r="M15" s="110"/>
      <c r="N15" s="110"/>
      <c r="O15" s="110"/>
      <c r="P15" s="111"/>
      <c r="Q15" s="111"/>
      <c r="R15" s="111"/>
      <c r="S15" s="111"/>
      <c r="T15" s="111"/>
      <c r="U15" s="111"/>
      <c r="V15" s="111"/>
      <c r="W15" s="111"/>
      <c r="X15" s="112"/>
    </row>
    <row r="16" spans="1:24" s="36" customFormat="1" ht="15" customHeight="1" x14ac:dyDescent="0.3">
      <c r="A16" s="70" t="s">
        <v>162</v>
      </c>
      <c r="B16" s="2"/>
      <c r="C16" s="2">
        <v>0.49935851000000003</v>
      </c>
      <c r="D16" s="2">
        <v>0.24417148000000002</v>
      </c>
      <c r="E16" s="2">
        <v>116.61343675000001</v>
      </c>
      <c r="F16" s="2">
        <v>197.17597499999999</v>
      </c>
      <c r="G16" s="2">
        <v>150.48530761000001</v>
      </c>
      <c r="H16" s="2">
        <v>48.591019989999999</v>
      </c>
      <c r="I16" s="2">
        <v>101.132572</v>
      </c>
      <c r="J16" s="2">
        <v>135.54898399999999</v>
      </c>
      <c r="K16" s="2">
        <v>15.130077539999998</v>
      </c>
      <c r="L16" s="2"/>
      <c r="M16" s="2"/>
      <c r="N16" s="2"/>
      <c r="O16" s="2"/>
      <c r="P16" s="34"/>
      <c r="Q16" s="34"/>
      <c r="R16" s="34"/>
      <c r="S16" s="34"/>
      <c r="T16" s="34"/>
      <c r="U16" s="34"/>
      <c r="V16" s="34"/>
      <c r="W16" s="34"/>
      <c r="X16" s="35"/>
    </row>
    <row r="17" spans="1:155" s="36" customFormat="1" ht="15" customHeight="1" x14ac:dyDescent="0.3">
      <c r="A17" s="70" t="s">
        <v>1</v>
      </c>
      <c r="B17" s="2"/>
      <c r="C17" s="2"/>
      <c r="D17" s="2"/>
      <c r="E17" s="2"/>
      <c r="F17" s="2"/>
      <c r="G17" s="2"/>
      <c r="H17" s="2"/>
      <c r="I17" s="2"/>
      <c r="J17" s="2"/>
      <c r="K17" s="2">
        <v>2248.2036268699999</v>
      </c>
      <c r="L17" s="2">
        <v>3713.76569337</v>
      </c>
      <c r="M17" s="2">
        <v>3475.8359065</v>
      </c>
      <c r="N17" s="2">
        <v>2996.9172588500001</v>
      </c>
      <c r="O17" s="2">
        <v>2496.4708441999996</v>
      </c>
      <c r="P17" s="34">
        <v>1737.04254137</v>
      </c>
      <c r="Q17" s="34">
        <v>1275.65599131</v>
      </c>
      <c r="R17" s="34">
        <v>1015.77920603</v>
      </c>
      <c r="S17" s="34">
        <v>121.777282</v>
      </c>
      <c r="T17" s="34"/>
      <c r="U17" s="34"/>
      <c r="V17" s="34"/>
      <c r="W17" s="34"/>
      <c r="X17" s="35"/>
    </row>
    <row r="18" spans="1:155" ht="15" customHeight="1" x14ac:dyDescent="0.3">
      <c r="A18" s="69" t="s">
        <v>2</v>
      </c>
      <c r="B18" s="2"/>
      <c r="C18" s="2"/>
      <c r="D18" s="2"/>
      <c r="E18" s="2"/>
      <c r="F18" s="2">
        <v>97.393674000000004</v>
      </c>
      <c r="G18" s="2">
        <v>143.116848</v>
      </c>
      <c r="H18" s="2">
        <v>189.69670148</v>
      </c>
      <c r="I18" s="2">
        <v>90.428068730000007</v>
      </c>
      <c r="J18" s="2">
        <v>43.352843799999995</v>
      </c>
      <c r="K18" s="2">
        <v>10.026359660000001</v>
      </c>
      <c r="L18" s="2"/>
      <c r="M18" s="2"/>
      <c r="N18" s="2"/>
      <c r="O18" s="2"/>
      <c r="P18" s="34"/>
      <c r="Q18" s="34"/>
      <c r="R18" s="34"/>
      <c r="S18" s="34"/>
      <c r="T18" s="34"/>
      <c r="U18" s="34"/>
      <c r="V18" s="34"/>
      <c r="W18" s="34"/>
      <c r="X18" s="35"/>
    </row>
    <row r="19" spans="1:155" ht="15" customHeight="1" x14ac:dyDescent="0.3">
      <c r="A19" s="69" t="s">
        <v>5</v>
      </c>
      <c r="B19" s="2"/>
      <c r="C19" s="2"/>
      <c r="D19" s="2"/>
      <c r="E19" s="2"/>
      <c r="F19" s="2"/>
      <c r="G19" s="2"/>
      <c r="H19" s="2"/>
      <c r="I19" s="2"/>
      <c r="J19" s="2"/>
      <c r="K19" s="2"/>
      <c r="L19" s="2"/>
      <c r="M19" s="2"/>
      <c r="N19" s="2"/>
      <c r="O19" s="2"/>
      <c r="P19" s="34">
        <v>209.22191627999999</v>
      </c>
      <c r="Q19" s="34">
        <v>259.10513428999997</v>
      </c>
      <c r="R19" s="34">
        <v>237.76881397999998</v>
      </c>
      <c r="S19" s="34">
        <v>307.855142</v>
      </c>
      <c r="T19" s="34">
        <v>597.93834100000004</v>
      </c>
      <c r="U19" s="34">
        <v>694.89014099999997</v>
      </c>
      <c r="V19" s="34">
        <v>648.82617600000003</v>
      </c>
      <c r="W19" s="34">
        <v>415.14086500000002</v>
      </c>
      <c r="X19" s="35">
        <v>760.94365100000005</v>
      </c>
    </row>
    <row r="20" spans="1:155" s="36" customFormat="1" ht="15" customHeight="1" x14ac:dyDescent="0.3">
      <c r="A20" s="109" t="s">
        <v>265</v>
      </c>
      <c r="B20" s="110"/>
      <c r="C20" s="110"/>
      <c r="D20" s="110"/>
      <c r="E20" s="110"/>
      <c r="F20" s="110"/>
      <c r="G20" s="110"/>
      <c r="H20" s="110"/>
      <c r="I20" s="110"/>
      <c r="J20" s="110"/>
      <c r="K20" s="110"/>
      <c r="L20" s="110"/>
      <c r="M20" s="110"/>
      <c r="N20" s="110"/>
      <c r="O20" s="110"/>
      <c r="P20" s="111"/>
      <c r="Q20" s="111"/>
      <c r="R20" s="111"/>
      <c r="S20" s="111"/>
      <c r="T20" s="111"/>
      <c r="U20" s="111"/>
      <c r="V20" s="111"/>
      <c r="W20" s="111"/>
      <c r="X20" s="112"/>
    </row>
    <row r="21" spans="1:155" ht="15" customHeight="1" x14ac:dyDescent="0.3">
      <c r="A21" s="97" t="s">
        <v>16</v>
      </c>
      <c r="B21" s="7"/>
      <c r="C21" s="7"/>
      <c r="D21" s="7"/>
      <c r="E21" s="7"/>
      <c r="F21" s="7"/>
      <c r="G21" s="7"/>
      <c r="H21" s="7"/>
      <c r="I21" s="7"/>
      <c r="J21" s="7"/>
      <c r="K21" s="7"/>
      <c r="L21" s="7"/>
      <c r="M21" s="7"/>
      <c r="N21" s="7"/>
      <c r="O21" s="7"/>
      <c r="P21" s="86">
        <v>0</v>
      </c>
      <c r="Q21" s="86">
        <v>0</v>
      </c>
      <c r="R21" s="86">
        <v>0</v>
      </c>
      <c r="S21" s="86">
        <v>3.627732</v>
      </c>
      <c r="T21" s="86">
        <v>6.3103109999999996</v>
      </c>
      <c r="U21" s="86">
        <v>7.5373109999999999</v>
      </c>
      <c r="V21" s="86">
        <v>26.515093</v>
      </c>
      <c r="W21" s="86">
        <v>39.219340000000003</v>
      </c>
      <c r="X21" s="87">
        <v>55.00394</v>
      </c>
    </row>
    <row r="22" spans="1:155" s="14" customFormat="1" ht="15" customHeight="1" x14ac:dyDescent="0.3">
      <c r="A22" s="54" t="s">
        <v>266</v>
      </c>
      <c r="B22" s="92">
        <f>+SUM(B16:B19,B7:B8,B21,B14,B10)</f>
        <v>2869.5337948481147</v>
      </c>
      <c r="C22" s="92">
        <f t="shared" ref="C22:X22" si="0">+SUM(C16:C19,C7:C8,C21,C14,C10)</f>
        <v>3103.0181829413791</v>
      </c>
      <c r="D22" s="92">
        <f t="shared" si="0"/>
        <v>3117.7291440805498</v>
      </c>
      <c r="E22" s="92">
        <f t="shared" si="0"/>
        <v>3247.9714990255566</v>
      </c>
      <c r="F22" s="92">
        <f t="shared" si="0"/>
        <v>3552.0109416659461</v>
      </c>
      <c r="G22" s="92">
        <f t="shared" si="0"/>
        <v>3652.2329625563325</v>
      </c>
      <c r="H22" s="92">
        <f t="shared" si="0"/>
        <v>3862.347485938194</v>
      </c>
      <c r="I22" s="92">
        <f t="shared" si="0"/>
        <v>3692.0420899153892</v>
      </c>
      <c r="J22" s="92">
        <f t="shared" si="0"/>
        <v>3760.9612668996701</v>
      </c>
      <c r="K22" s="92">
        <f t="shared" si="0"/>
        <v>5880.0396672634133</v>
      </c>
      <c r="L22" s="92">
        <f t="shared" si="0"/>
        <v>7929.8463522924685</v>
      </c>
      <c r="M22" s="92">
        <f t="shared" si="0"/>
        <v>8505.8398624249239</v>
      </c>
      <c r="N22" s="92">
        <f t="shared" si="0"/>
        <v>9499.5226925570678</v>
      </c>
      <c r="O22" s="92">
        <f t="shared" si="0"/>
        <v>10709.629052582108</v>
      </c>
      <c r="P22" s="92">
        <f t="shared" si="0"/>
        <v>24832.736429295855</v>
      </c>
      <c r="Q22" s="92">
        <f t="shared" si="0"/>
        <v>33111.884478870583</v>
      </c>
      <c r="R22" s="92">
        <f t="shared" si="0"/>
        <v>41958.101085471208</v>
      </c>
      <c r="S22" s="92">
        <f t="shared" si="0"/>
        <v>59452.285738195664</v>
      </c>
      <c r="T22" s="92">
        <f t="shared" si="0"/>
        <v>83224.342870722656</v>
      </c>
      <c r="U22" s="92">
        <f t="shared" si="0"/>
        <v>109791.58736927534</v>
      </c>
      <c r="V22" s="92">
        <f t="shared" si="0"/>
        <v>143579.68108208524</v>
      </c>
      <c r="W22" s="92">
        <f t="shared" si="0"/>
        <v>191856.00967913447</v>
      </c>
      <c r="X22" s="150">
        <f t="shared" si="0"/>
        <v>296198.51431881881</v>
      </c>
      <c r="Y22" s="149"/>
    </row>
    <row r="23" spans="1:155" s="14" customFormat="1" ht="15" customHeight="1" x14ac:dyDescent="0.3">
      <c r="A23" s="53" t="s">
        <v>267</v>
      </c>
      <c r="B23" s="102">
        <f t="shared" ref="B23" si="1">B22-B8</f>
        <v>2869.5337948481147</v>
      </c>
      <c r="C23" s="102">
        <f t="shared" ref="C23" si="2">C22-C8</f>
        <v>3103.0181829413791</v>
      </c>
      <c r="D23" s="102">
        <f t="shared" ref="D23" si="3">D22-D8</f>
        <v>3117.7291440805498</v>
      </c>
      <c r="E23" s="102">
        <f t="shared" ref="E23" si="4">E22-E8</f>
        <v>3247.9714990255566</v>
      </c>
      <c r="F23" s="102">
        <f t="shared" ref="F23" si="5">F22-F8</f>
        <v>3552.0109416659461</v>
      </c>
      <c r="G23" s="102">
        <f t="shared" ref="G23" si="6">G22-G8</f>
        <v>3652.2329625563325</v>
      </c>
      <c r="H23" s="102">
        <f t="shared" ref="H23" si="7">H22-H8</f>
        <v>3862.347485938194</v>
      </c>
      <c r="I23" s="102">
        <f t="shared" ref="I23" si="8">I22-I8</f>
        <v>3692.0420899153892</v>
      </c>
      <c r="J23" s="102">
        <f t="shared" ref="J23" si="9">J22-J8</f>
        <v>3760.9612668996701</v>
      </c>
      <c r="K23" s="102">
        <f t="shared" ref="K23" si="10">K22-K8</f>
        <v>5880.0396672634133</v>
      </c>
      <c r="L23" s="102">
        <f t="shared" ref="L23" si="11">L22-L8</f>
        <v>7929.8463522924685</v>
      </c>
      <c r="M23" s="102">
        <f t="shared" ref="M23" si="12">M22-M8</f>
        <v>8505.8398624249239</v>
      </c>
      <c r="N23" s="102">
        <f t="shared" ref="N23" si="13">N22-N8</f>
        <v>9499.5226925570678</v>
      </c>
      <c r="O23" s="102">
        <f t="shared" ref="O23" si="14">O22-O8</f>
        <v>10709.629052582108</v>
      </c>
      <c r="P23" s="102">
        <f t="shared" ref="P23" si="15">P22-P8</f>
        <v>12731.505167765854</v>
      </c>
      <c r="Q23" s="102">
        <f t="shared" ref="Q23" si="16">Q22-Q8</f>
        <v>15997.350270220584</v>
      </c>
      <c r="R23" s="102">
        <f t="shared" ref="R23" si="17">R22-R8</f>
        <v>19401.46793660121</v>
      </c>
      <c r="S23" s="102">
        <f t="shared" ref="S23" si="18">S22-S8</f>
        <v>29349.085365195664</v>
      </c>
      <c r="T23" s="102">
        <f t="shared" ref="T23" si="19">T22-T8</f>
        <v>40620.525093722659</v>
      </c>
      <c r="U23" s="102">
        <f t="shared" ref="U23" si="20">U22-U8</f>
        <v>51893.22151127534</v>
      </c>
      <c r="V23" s="102">
        <f t="shared" ref="V23" si="21">V22-V8</f>
        <v>67883.222571085236</v>
      </c>
      <c r="W23" s="102">
        <f t="shared" ref="W23" si="22">W22-W8</f>
        <v>91957.781823134472</v>
      </c>
      <c r="X23" s="103">
        <f t="shared" ref="X23" si="23">X22-X8</f>
        <v>133198.24075681882</v>
      </c>
      <c r="Y23" s="149"/>
    </row>
    <row r="24" spans="1:155" s="14" customFormat="1" ht="15" customHeight="1" x14ac:dyDescent="0.3">
      <c r="A24" s="22" t="s">
        <v>272</v>
      </c>
      <c r="B24" s="88">
        <f>+B22/B87</f>
        <v>7.0870851338198787E-2</v>
      </c>
      <c r="C24" s="704">
        <f>+C22/C87</f>
        <v>7.6237353114053441E-2</v>
      </c>
      <c r="D24" s="704">
        <f>+D22/D87</f>
        <v>6.7551647822148106E-2</v>
      </c>
      <c r="E24" s="704">
        <f>+E22/E87</f>
        <v>6.9700834242378759E-2</v>
      </c>
      <c r="F24" s="704">
        <f>+F22/F87</f>
        <v>7.6679975666917588E-2</v>
      </c>
      <c r="G24" s="704">
        <f>+G22/G87</f>
        <v>7.3497146176459985E-2</v>
      </c>
      <c r="H24" s="704">
        <f>+H22/H87</f>
        <v>7.3733697272358026E-2</v>
      </c>
      <c r="I24" s="704">
        <f>+I22/I87</f>
        <v>7.0196525177048261E-2</v>
      </c>
      <c r="J24" s="704">
        <f>+J22/J87</f>
        <v>7.329263438060403E-2</v>
      </c>
      <c r="K24" s="704">
        <f>+K22/K87</f>
        <v>0.12120763284270364</v>
      </c>
      <c r="L24" s="704">
        <f>+L22/L87</f>
        <v>0.13036491844550527</v>
      </c>
      <c r="M24" s="704">
        <f>+M22/M87</f>
        <v>0.12328745963296682</v>
      </c>
      <c r="N24" s="704">
        <f>+N22/N87</f>
        <v>0.10226653745122809</v>
      </c>
      <c r="O24" s="704">
        <f>+O22/O87</f>
        <v>9.4394975217551982E-2</v>
      </c>
      <c r="P24" s="704">
        <f>+P22/P87</f>
        <v>0.15303567338939425</v>
      </c>
      <c r="Q24" s="704">
        <f>+Q22/Q87</f>
        <v>0.15085459780962474</v>
      </c>
      <c r="R24" s="704">
        <f>+R22/R87</f>
        <v>0.14800359239089925</v>
      </c>
      <c r="S24" s="704">
        <f>+S22/S87</f>
        <v>0.16020374237196938</v>
      </c>
      <c r="T24" s="704">
        <f>+T22/T87</f>
        <v>0.16347136851801933</v>
      </c>
      <c r="U24" s="704">
        <f>+U22/U87</f>
        <v>0.17221354586410384</v>
      </c>
      <c r="V24" s="704">
        <f>+V22/V87</f>
        <v>0.16916621832226286</v>
      </c>
      <c r="W24" s="704">
        <f>+W22/W87</f>
        <v>0.15141906734929103</v>
      </c>
      <c r="X24" s="217">
        <f>+X22/X87</f>
        <v>0.1829147322890689</v>
      </c>
      <c r="Y24" s="149"/>
    </row>
    <row r="25" spans="1:155" s="14" customFormat="1" ht="15" customHeight="1" x14ac:dyDescent="0.3">
      <c r="A25" s="22" t="s">
        <v>273</v>
      </c>
      <c r="B25" s="88">
        <f>+B23/B87</f>
        <v>7.0870851338198787E-2</v>
      </c>
      <c r="C25" s="704">
        <f>+C23/C87</f>
        <v>7.6237353114053441E-2</v>
      </c>
      <c r="D25" s="704">
        <f>+D23/D87</f>
        <v>6.7551647822148106E-2</v>
      </c>
      <c r="E25" s="704">
        <f>+E23/E87</f>
        <v>6.9700834242378759E-2</v>
      </c>
      <c r="F25" s="704">
        <f>+F23/F87</f>
        <v>7.6679975666917588E-2</v>
      </c>
      <c r="G25" s="704">
        <f>+G23/G87</f>
        <v>7.3497146176459985E-2</v>
      </c>
      <c r="H25" s="704">
        <f>+H23/H87</f>
        <v>7.3733697272358026E-2</v>
      </c>
      <c r="I25" s="704">
        <f>+I23/I87</f>
        <v>7.0196525177048261E-2</v>
      </c>
      <c r="J25" s="704">
        <f>+J23/J87</f>
        <v>7.329263438060403E-2</v>
      </c>
      <c r="K25" s="704">
        <f>+K23/K87</f>
        <v>0.12120763284270364</v>
      </c>
      <c r="L25" s="704">
        <f>+L23/L87</f>
        <v>0.13036491844550527</v>
      </c>
      <c r="M25" s="704">
        <f>+M23/M87</f>
        <v>0.12328745963296682</v>
      </c>
      <c r="N25" s="704">
        <f>+N23/N87</f>
        <v>0.10226653745122809</v>
      </c>
      <c r="O25" s="704">
        <f>+O23/O87</f>
        <v>9.4394975217551982E-2</v>
      </c>
      <c r="P25" s="704">
        <f>+P23/P87</f>
        <v>7.8459918106771734E-2</v>
      </c>
      <c r="Q25" s="704">
        <f>+Q23/Q87</f>
        <v>7.2882406997215168E-2</v>
      </c>
      <c r="R25" s="704">
        <f>+R23/R87</f>
        <v>6.8437009254170789E-2</v>
      </c>
      <c r="S25" s="704">
        <f>+S23/S87</f>
        <v>7.9085829120242007E-2</v>
      </c>
      <c r="T25" s="704">
        <f>+T23/T87</f>
        <v>7.9787867322739361E-2</v>
      </c>
      <c r="U25" s="704">
        <f>+U23/U87</f>
        <v>8.1397089676007492E-2</v>
      </c>
      <c r="V25" s="704">
        <f>+V23/V87</f>
        <v>7.9980314507829026E-2</v>
      </c>
      <c r="W25" s="704">
        <f>+W23/W87</f>
        <v>7.2576103206022993E-2</v>
      </c>
      <c r="X25" s="217">
        <f>+X23/X87</f>
        <v>8.2255377294647394E-2</v>
      </c>
      <c r="Y25" s="149"/>
    </row>
    <row r="26" spans="1:155" s="14" customFormat="1" ht="15" customHeight="1" x14ac:dyDescent="0.3">
      <c r="A26" s="22" t="s">
        <v>274</v>
      </c>
      <c r="B26" s="88">
        <f>+B22/B88</f>
        <v>0.11182286444289904</v>
      </c>
      <c r="C26" s="88">
        <f>+C22/C88</f>
        <v>0.1057186144527654</v>
      </c>
      <c r="D26" s="88">
        <f>+D22/D88</f>
        <v>0.10348316431957315</v>
      </c>
      <c r="E26" s="88">
        <f>+E22/E88</f>
        <v>0.10282476637058617</v>
      </c>
      <c r="F26" s="88">
        <f>+F22/F88</f>
        <v>0.1178779719235486</v>
      </c>
      <c r="G26" s="88">
        <f>+G22/G88</f>
        <v>0.11303947466089655</v>
      </c>
      <c r="H26" s="88">
        <f>+H22/H88</f>
        <v>0.11811316608887439</v>
      </c>
      <c r="I26" s="88">
        <f>+I22/I88</f>
        <v>0.11282151516133469</v>
      </c>
      <c r="J26" s="88">
        <f>+J22/J88</f>
        <v>0.12145413393258588</v>
      </c>
      <c r="K26" s="88">
        <f>+K22/K88</f>
        <v>0.17721597320422672</v>
      </c>
      <c r="L26" s="88">
        <f>+L22/L88</f>
        <v>0.20026083744430909</v>
      </c>
      <c r="M26" s="88">
        <f>+M22/M88</f>
        <v>0.1809147105976216</v>
      </c>
      <c r="N26" s="88">
        <f>+N22/N88</f>
        <v>0.16628144891080415</v>
      </c>
      <c r="O26" s="88">
        <f>+O22/O88</f>
        <v>0.14820017824042475</v>
      </c>
      <c r="P26" s="88">
        <f>+P22/P88</f>
        <v>0.23595448988863074</v>
      </c>
      <c r="Q26" s="88">
        <f>+Q22/Q88</f>
        <v>0.24233266260211875</v>
      </c>
      <c r="R26" s="88">
        <f>+R22/R88</f>
        <v>0.2327632061187544</v>
      </c>
      <c r="S26" s="88">
        <f>+S22/S88</f>
        <v>0.25564686623888261</v>
      </c>
      <c r="T26" s="88">
        <f>+T22/T88</f>
        <v>0.26628747202628328</v>
      </c>
      <c r="U26" s="88">
        <f>+U22/U88</f>
        <v>0.27024406973346354</v>
      </c>
      <c r="V26" s="88">
        <f>+V22/V88</f>
        <v>0.2624018331556352</v>
      </c>
      <c r="W26" s="88">
        <f>+W22/W88</f>
        <v>0.25689212995796251</v>
      </c>
      <c r="X26" s="89">
        <f>+X22/X88</f>
        <v>0.28223422069252274</v>
      </c>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c r="DE26" s="93"/>
      <c r="DF26" s="93"/>
      <c r="DG26" s="93"/>
      <c r="DH26" s="93"/>
      <c r="DI26" s="93"/>
      <c r="DJ26" s="93"/>
      <c r="DK26" s="93"/>
      <c r="DL26" s="93"/>
      <c r="DM26" s="93"/>
      <c r="DN26" s="93"/>
      <c r="DO26" s="93"/>
      <c r="DP26" s="93"/>
      <c r="DQ26" s="93"/>
      <c r="DR26" s="93"/>
      <c r="DS26" s="93"/>
      <c r="DT26" s="93"/>
      <c r="DU26" s="9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row>
    <row r="27" spans="1:155" s="14" customFormat="1" ht="15" customHeight="1" x14ac:dyDescent="0.3">
      <c r="A27" s="22" t="s">
        <v>275</v>
      </c>
      <c r="B27" s="88">
        <f>+B23/B88</f>
        <v>0.11182286444289904</v>
      </c>
      <c r="C27" s="88">
        <f>+C23/C88</f>
        <v>0.1057186144527654</v>
      </c>
      <c r="D27" s="88">
        <f>+D23/D88</f>
        <v>0.10348316431957315</v>
      </c>
      <c r="E27" s="88">
        <f>+E23/E88</f>
        <v>0.10282476637058617</v>
      </c>
      <c r="F27" s="88">
        <f>+F23/F88</f>
        <v>0.1178779719235486</v>
      </c>
      <c r="G27" s="88">
        <f>+G23/G88</f>
        <v>0.11303947466089655</v>
      </c>
      <c r="H27" s="88">
        <f>+H23/H88</f>
        <v>0.11811316608887439</v>
      </c>
      <c r="I27" s="88">
        <f>+I23/I88</f>
        <v>0.11282151516133469</v>
      </c>
      <c r="J27" s="88">
        <f>+J23/J88</f>
        <v>0.12145413393258588</v>
      </c>
      <c r="K27" s="88">
        <f>+K23/K88</f>
        <v>0.17721597320422672</v>
      </c>
      <c r="L27" s="88">
        <f>+L23/L88</f>
        <v>0.20026083744430909</v>
      </c>
      <c r="M27" s="88">
        <f>+M23/M88</f>
        <v>0.1809147105976216</v>
      </c>
      <c r="N27" s="88">
        <f>+N23/N88</f>
        <v>0.16628144891080415</v>
      </c>
      <c r="O27" s="88">
        <f>+O23/O88</f>
        <v>0.14820017824042475</v>
      </c>
      <c r="P27" s="88">
        <f>+P23/P88</f>
        <v>0.12097159795207635</v>
      </c>
      <c r="Q27" s="88">
        <f>+Q23/Q88</f>
        <v>0.11707821969586396</v>
      </c>
      <c r="R27" s="88">
        <f>+R23/R88</f>
        <v>0.10762993947543649</v>
      </c>
      <c r="S27" s="88">
        <f>+S23/S88</f>
        <v>0.12620207293004632</v>
      </c>
      <c r="T27" s="88">
        <f>+T23/T88</f>
        <v>0.12997083024602421</v>
      </c>
      <c r="U27" s="88">
        <f>+U23/U88</f>
        <v>0.12773142012802038</v>
      </c>
      <c r="V27" s="88">
        <f>+V23/V88</f>
        <v>0.12406130107630729</v>
      </c>
      <c r="W27" s="88">
        <f>+W23/W88</f>
        <v>0.12312999982780208</v>
      </c>
      <c r="X27" s="89">
        <f>+X23/X88</f>
        <v>0.12691860309991881</v>
      </c>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c r="CV27" s="93"/>
      <c r="CW27" s="93"/>
      <c r="CX27" s="93"/>
      <c r="CY27" s="93"/>
      <c r="CZ27" s="93"/>
      <c r="DA27" s="93"/>
      <c r="DB27" s="93"/>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93"/>
      <c r="EW27" s="93"/>
      <c r="EX27" s="93"/>
      <c r="EY27" s="93"/>
    </row>
    <row r="28" spans="1:155" s="14" customFormat="1" ht="15" customHeight="1" x14ac:dyDescent="0.3">
      <c r="A28" s="22" t="s">
        <v>281</v>
      </c>
      <c r="B28" s="88">
        <f>+B22/B89</f>
        <v>1.1195883882636037E-2</v>
      </c>
      <c r="C28" s="88">
        <f>+C22/C89</f>
        <v>1.1122327915310919E-2</v>
      </c>
      <c r="D28" s="88">
        <f>+D22/D89</f>
        <v>1.1149421661521138E-2</v>
      </c>
      <c r="E28" s="88">
        <f>+E22/E89</f>
        <v>1.101264374753618E-2</v>
      </c>
      <c r="F28" s="88">
        <f>+F22/F89</f>
        <v>1.1191884885053462E-2</v>
      </c>
      <c r="G28" s="88">
        <f>+G22/G89</f>
        <v>1.1273262803456315E-2</v>
      </c>
      <c r="H28" s="88">
        <f>+H22/H89</f>
        <v>1.2570436082703433E-2</v>
      </c>
      <c r="I28" s="88">
        <f>+I22/I89</f>
        <v>1.1987377676567192E-2</v>
      </c>
      <c r="J28" s="88">
        <f>+J22/J89</f>
        <v>1.2915875397293905E-2</v>
      </c>
      <c r="K28" s="88">
        <f>+K22/K89</f>
        <v>1.7358260512417473E-2</v>
      </c>
      <c r="L28" s="88">
        <f>+L22/L89</f>
        <v>1.9465652412040096E-2</v>
      </c>
      <c r="M28" s="88">
        <f>+M22/M89</f>
        <v>1.7533649646350451E-2</v>
      </c>
      <c r="N28" s="88">
        <f>+N22/N89</f>
        <v>1.6307124809793259E-2</v>
      </c>
      <c r="O28" s="88">
        <f>+O22/O89</f>
        <v>1.4959582552349434E-2</v>
      </c>
      <c r="P28" s="88">
        <f>+P22/P89</f>
        <v>2.7684821969437681E-2</v>
      </c>
      <c r="Q28" s="88">
        <f>+Q22/Q89</f>
        <v>2.880180670388818E-2</v>
      </c>
      <c r="R28" s="88">
        <f>+R22/R89</f>
        <v>3.3622178860837515E-2</v>
      </c>
      <c r="S28" s="88">
        <f>+S22/S89</f>
        <v>3.5777539302756782E-2</v>
      </c>
      <c r="T28" s="88">
        <f>+T22/T89</f>
        <v>3.8193401684750029E-2</v>
      </c>
      <c r="U28" s="88">
        <f>+U22/U89</f>
        <v>4.1620611470516843E-2</v>
      </c>
      <c r="V28" s="88">
        <f>+V22/V89</f>
        <v>4.2881258279193056E-2</v>
      </c>
      <c r="W28" s="88">
        <f>+W22/W89</f>
        <v>4.189831592050635E-2</v>
      </c>
      <c r="X28" s="89">
        <f>+X22/X89</f>
        <v>5.0597503113506727E-2</v>
      </c>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row>
    <row r="29" spans="1:155" s="14" customFormat="1" ht="15" customHeight="1" x14ac:dyDescent="0.3">
      <c r="A29" s="22" t="s">
        <v>280</v>
      </c>
      <c r="B29" s="88">
        <f>B23/B89</f>
        <v>1.1195883882636037E-2</v>
      </c>
      <c r="C29" s="88">
        <f>C23/C89</f>
        <v>1.1122327915310919E-2</v>
      </c>
      <c r="D29" s="88">
        <f>D23/D89</f>
        <v>1.1149421661521138E-2</v>
      </c>
      <c r="E29" s="88">
        <f>E23/E89</f>
        <v>1.101264374753618E-2</v>
      </c>
      <c r="F29" s="88">
        <f>F23/F89</f>
        <v>1.1191884885053462E-2</v>
      </c>
      <c r="G29" s="88">
        <f>G23/G89</f>
        <v>1.1273262803456315E-2</v>
      </c>
      <c r="H29" s="88">
        <f>H23/H89</f>
        <v>1.2570436082703433E-2</v>
      </c>
      <c r="I29" s="88">
        <f>I23/I89</f>
        <v>1.1987377676567192E-2</v>
      </c>
      <c r="J29" s="88">
        <f>J23/J89</f>
        <v>1.2915875397293905E-2</v>
      </c>
      <c r="K29" s="88">
        <f>K23/K89</f>
        <v>1.7358260512417473E-2</v>
      </c>
      <c r="L29" s="88">
        <f>L23/L89</f>
        <v>1.9465652412040096E-2</v>
      </c>
      <c r="M29" s="88">
        <f>M23/M89</f>
        <v>1.7533649646350451E-2</v>
      </c>
      <c r="N29" s="88">
        <f>N23/N89</f>
        <v>1.6307124809793259E-2</v>
      </c>
      <c r="O29" s="88">
        <f>O23/O89</f>
        <v>1.4959582552349434E-2</v>
      </c>
      <c r="P29" s="88">
        <f>P23/P89</f>
        <v>1.4193741997630018E-2</v>
      </c>
      <c r="Q29" s="88">
        <f>Q23/Q89</f>
        <v>1.3915021676017953E-2</v>
      </c>
      <c r="R29" s="88">
        <f>R23/R89</f>
        <v>1.5546929156741275E-2</v>
      </c>
      <c r="S29" s="88">
        <f>S23/S89</f>
        <v>1.7661861812634148E-2</v>
      </c>
      <c r="T29" s="88">
        <f>T23/T89</f>
        <v>1.8641613475518289E-2</v>
      </c>
      <c r="U29" s="88">
        <f>U23/U89</f>
        <v>1.9672068345362819E-2</v>
      </c>
      <c r="V29" s="88">
        <f>V23/V89</f>
        <v>2.0273885399080021E-2</v>
      </c>
      <c r="W29" s="88">
        <f>W23/W89</f>
        <v>2.0082124092012262E-2</v>
      </c>
      <c r="X29" s="89">
        <f>X23/X89</f>
        <v>2.2753316021540116E-2</v>
      </c>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c r="CV29" s="93"/>
      <c r="CW29" s="93"/>
      <c r="CX29" s="93"/>
      <c r="CY29" s="93"/>
      <c r="CZ29" s="93"/>
      <c r="DA29" s="93"/>
      <c r="DB29" s="93"/>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row>
    <row r="30" spans="1:155" s="17" customFormat="1" ht="15" customHeight="1" x14ac:dyDescent="0.3">
      <c r="A30" s="22" t="s">
        <v>279</v>
      </c>
      <c r="B30" s="45">
        <f>+B22*1000000/B91</f>
        <v>810.84327126636845</v>
      </c>
      <c r="C30" s="45">
        <f>+C22*1000000/C91</f>
        <v>900.66351574871294</v>
      </c>
      <c r="D30" s="45">
        <f>+D22*1000000/D91</f>
        <v>868.72772272988936</v>
      </c>
      <c r="E30" s="45">
        <f>+E22*1000000/E91</f>
        <v>1001.7566360869823</v>
      </c>
      <c r="F30" s="45">
        <f>+F22*1000000/F91</f>
        <v>836.68192138180848</v>
      </c>
      <c r="G30" s="45">
        <f>+G22*1000000/G91</f>
        <v>827.03614373848404</v>
      </c>
      <c r="H30" s="45">
        <f>+H22*1000000/H91</f>
        <v>863.04291697862811</v>
      </c>
      <c r="I30" s="45">
        <f>+I22*1000000/I91</f>
        <v>811.29339390468704</v>
      </c>
      <c r="J30" s="45">
        <f>+J22*1000000/J91</f>
        <v>851.29374144389374</v>
      </c>
      <c r="K30" s="45">
        <f>+K22*1000000/K91</f>
        <v>1186.1243883610139</v>
      </c>
      <c r="L30" s="45">
        <f>+L22*1000000/L91</f>
        <v>1486.4892478242041</v>
      </c>
      <c r="M30" s="45">
        <f>+M22*1000000/M91</f>
        <v>1552.8105857497508</v>
      </c>
      <c r="N30" s="45">
        <f>+N22*1000000/N91</f>
        <v>1744.6921854904967</v>
      </c>
      <c r="O30" s="45">
        <f>+O22*1000000/O91</f>
        <v>1993.9975156243045</v>
      </c>
      <c r="P30" s="95">
        <f>+P22*1000000/P91</f>
        <v>4862.8556424246226</v>
      </c>
      <c r="Q30" s="95">
        <f>+Q22*1000000/$Q$91</f>
        <v>6463.5468659282878</v>
      </c>
      <c r="R30" s="95">
        <f>+R22*1000000/$R$91</f>
        <v>8260.0931026028757</v>
      </c>
      <c r="S30" s="95">
        <f>+S22*1000000/$S$91</f>
        <v>11898.905370452154</v>
      </c>
      <c r="T30" s="95">
        <f>+T22*1000000/$T$91</f>
        <v>16412.950303762311</v>
      </c>
      <c r="U30" s="95">
        <f>+U22*1000000/$U$91</f>
        <v>21295.961946994856</v>
      </c>
      <c r="V30" s="95">
        <f>+V22*1000000/$V$91</f>
        <v>27812.982187115893</v>
      </c>
      <c r="W30" s="95">
        <f>+W22*1000000/W91</f>
        <v>36875.480808558619</v>
      </c>
      <c r="X30" s="59">
        <f>+X22*1000000/X91</f>
        <v>58813.049477633213</v>
      </c>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row>
    <row r="31" spans="1:155" s="17" customFormat="1" ht="15" customHeight="1" x14ac:dyDescent="0.3">
      <c r="A31" s="22" t="s">
        <v>278</v>
      </c>
      <c r="B31" s="45">
        <f>+B23*1000000/B91</f>
        <v>810.84327126636845</v>
      </c>
      <c r="C31" s="45">
        <f>+C23*1000000/C91</f>
        <v>900.66351574871294</v>
      </c>
      <c r="D31" s="45">
        <f>+D23*1000000/D91</f>
        <v>868.72772272988936</v>
      </c>
      <c r="E31" s="45">
        <f>+E23*1000000/E91</f>
        <v>1001.7566360869823</v>
      </c>
      <c r="F31" s="45">
        <f>+F23*1000000/F91</f>
        <v>836.68192138180848</v>
      </c>
      <c r="G31" s="45">
        <f>+G23*1000000/G91</f>
        <v>827.03614373848404</v>
      </c>
      <c r="H31" s="45">
        <f>+H23*1000000/H91</f>
        <v>863.04291697862811</v>
      </c>
      <c r="I31" s="45">
        <f>+I23*1000000/I91</f>
        <v>811.29339390468704</v>
      </c>
      <c r="J31" s="45">
        <f>+J23*1000000/J91</f>
        <v>851.29374144389374</v>
      </c>
      <c r="K31" s="45">
        <f>+K23*1000000/K91</f>
        <v>1186.1243883610139</v>
      </c>
      <c r="L31" s="45">
        <f>+L23*1000000/L91</f>
        <v>1486.4892478242041</v>
      </c>
      <c r="M31" s="45">
        <f>+M23*1000000/M91</f>
        <v>1552.8105857497508</v>
      </c>
      <c r="N31" s="45">
        <f>+N23*1000000/N91</f>
        <v>1744.6921854904967</v>
      </c>
      <c r="O31" s="45">
        <f>+O23*1000000/O91</f>
        <v>1993.9975156243045</v>
      </c>
      <c r="P31" s="95">
        <f>+P23*1000000/P91</f>
        <v>2493.1393250962778</v>
      </c>
      <c r="Q31" s="95">
        <f>+Q23*1000000/$Q$91</f>
        <v>3122.7344752372178</v>
      </c>
      <c r="R31" s="95">
        <f>+R23*1000000/$R$91</f>
        <v>3819.4753179376576</v>
      </c>
      <c r="S31" s="95">
        <f>+S23*1000000/$S$91</f>
        <v>5873.987604238142</v>
      </c>
      <c r="T31" s="95">
        <f>+T23*1000000/$T$91</f>
        <v>8010.9092685973965</v>
      </c>
      <c r="U31" s="95">
        <f>+U23*1000000/$U$91</f>
        <v>10065.580588557516</v>
      </c>
      <c r="V31" s="95">
        <f>+V23*1000000/$V$91</f>
        <v>13149.735714304992</v>
      </c>
      <c r="W31" s="95">
        <f>+W23*1000000/W91</f>
        <v>17674.647901245324</v>
      </c>
      <c r="X31" s="59">
        <f>+X23*1000000/X91</f>
        <v>26447.785337412042</v>
      </c>
    </row>
    <row r="32" spans="1:155" s="14" customFormat="1" ht="15" customHeight="1" x14ac:dyDescent="0.3">
      <c r="A32" s="22" t="s">
        <v>276</v>
      </c>
      <c r="B32" s="88">
        <f>+B30/B92</f>
        <v>0.33785136302765351</v>
      </c>
      <c r="C32" s="88">
        <f>+C30/C92</f>
        <v>0.37527646489529703</v>
      </c>
      <c r="D32" s="88">
        <f>+D30/D92</f>
        <v>0.36196988447078726</v>
      </c>
      <c r="E32" s="88">
        <f>+E30/E92</f>
        <v>0.41739859836957599</v>
      </c>
      <c r="F32" s="88">
        <f>+F30/F92</f>
        <v>0.34861746724242021</v>
      </c>
      <c r="G32" s="88">
        <f>+G30/G92</f>
        <v>0.34459839322436836</v>
      </c>
      <c r="H32" s="88">
        <f>+H30/H92</f>
        <v>0.35960121540776169</v>
      </c>
      <c r="I32" s="88">
        <f>+I30/I92</f>
        <v>0.33803891412695292</v>
      </c>
      <c r="J32" s="88">
        <f>+J30/J92</f>
        <v>0.35470572560162239</v>
      </c>
      <c r="K32" s="88">
        <f>+K30/K92</f>
        <v>0.49421849515042243</v>
      </c>
      <c r="L32" s="88">
        <f>+L30/L92</f>
        <v>0.45045128721945576</v>
      </c>
      <c r="M32" s="88">
        <f>+M30/M92</f>
        <v>0.31031386605710448</v>
      </c>
      <c r="N32" s="88">
        <f>+N30/N92</f>
        <v>0.23077938961514508</v>
      </c>
      <c r="O32" s="88">
        <f>+O30/O92</f>
        <v>0.21921696521815132</v>
      </c>
      <c r="P32" s="88">
        <f>+P30/P92</f>
        <v>0.41648301151290018</v>
      </c>
      <c r="Q32" s="88">
        <f>+Q30/$Q$92</f>
        <v>0.46036658589232821</v>
      </c>
      <c r="R32" s="88">
        <f>+R30/$R$92</f>
        <v>0.49414292310378533</v>
      </c>
      <c r="S32" s="88">
        <f>+S30/$S$92</f>
        <v>0.58327967502216438</v>
      </c>
      <c r="T32" s="88">
        <f>+T30/$T$92</f>
        <v>0.61527029178896053</v>
      </c>
      <c r="U32" s="88">
        <f>+U30/$U$92</f>
        <v>0.69685650281537026</v>
      </c>
      <c r="V32" s="88">
        <f>+V30/$V$92</f>
        <v>0.71775365548035419</v>
      </c>
      <c r="W32" s="88">
        <f>+W30/W92</f>
        <v>0.74345785987663848</v>
      </c>
      <c r="X32" s="89">
        <f>+X30/X92</f>
        <v>1.0392467040859699</v>
      </c>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row>
    <row r="33" spans="1:155" s="14" customFormat="1" ht="15" customHeight="1" x14ac:dyDescent="0.3">
      <c r="A33" s="22" t="s">
        <v>277</v>
      </c>
      <c r="B33" s="88">
        <f>+B31/B92</f>
        <v>0.33785136302765351</v>
      </c>
      <c r="C33" s="88">
        <f>+C31/C92</f>
        <v>0.37527646489529703</v>
      </c>
      <c r="D33" s="88">
        <f>+D31/D92</f>
        <v>0.36196988447078726</v>
      </c>
      <c r="E33" s="88">
        <f>+E31/E92</f>
        <v>0.41739859836957599</v>
      </c>
      <c r="F33" s="88">
        <f>+F31/F92</f>
        <v>0.34861746724242021</v>
      </c>
      <c r="G33" s="88">
        <f>+G31/G92</f>
        <v>0.34459839322436836</v>
      </c>
      <c r="H33" s="88">
        <f>+H31/H92</f>
        <v>0.35960121540776169</v>
      </c>
      <c r="I33" s="88">
        <f>+I31/I92</f>
        <v>0.33803891412695292</v>
      </c>
      <c r="J33" s="88">
        <f>+J31/J92</f>
        <v>0.35470572560162239</v>
      </c>
      <c r="K33" s="88">
        <f>+K31/K92</f>
        <v>0.49421849515042243</v>
      </c>
      <c r="L33" s="88">
        <f>+L31/L92</f>
        <v>0.45045128721945576</v>
      </c>
      <c r="M33" s="88">
        <f>+M31/M92</f>
        <v>0.31031386605710448</v>
      </c>
      <c r="N33" s="88">
        <f>+N31/N92</f>
        <v>0.23077938961514508</v>
      </c>
      <c r="O33" s="88">
        <f>+O31/O92</f>
        <v>0.21921696521815132</v>
      </c>
      <c r="P33" s="88">
        <f>+P31/P92</f>
        <v>0.21352683496884875</v>
      </c>
      <c r="Q33" s="88">
        <f>+Q31/$Q$92</f>
        <v>0.22241698541575625</v>
      </c>
      <c r="R33" s="88">
        <f>+R31/$R$92</f>
        <v>0.22849218221689743</v>
      </c>
      <c r="S33" s="88">
        <f>+S31/$S$92</f>
        <v>0.28794056883520303</v>
      </c>
      <c r="T33" s="88">
        <f>+T31/$T$92</f>
        <v>0.30030399117549095</v>
      </c>
      <c r="U33" s="88">
        <f>+U31/$U$92</f>
        <v>0.32937067154828725</v>
      </c>
      <c r="V33" s="88">
        <f>+V31/$V$92</f>
        <v>0.33934767634932606</v>
      </c>
      <c r="W33" s="88">
        <f>+W31/W92</f>
        <v>0.35634398832524933</v>
      </c>
      <c r="X33" s="89">
        <f>+X31/X92</f>
        <v>0.46734141464185824</v>
      </c>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c r="CV33" s="93"/>
      <c r="CW33" s="93"/>
      <c r="CX33" s="93"/>
      <c r="CY33" s="93"/>
      <c r="CZ33" s="93"/>
      <c r="DA33" s="93"/>
      <c r="DB33" s="93"/>
      <c r="DC33" s="93"/>
      <c r="DD33" s="93"/>
      <c r="DE33" s="93"/>
      <c r="DF33" s="93"/>
      <c r="DG33" s="93"/>
      <c r="DH33" s="93"/>
      <c r="DI33" s="93"/>
      <c r="DJ33" s="93"/>
      <c r="DK33" s="93"/>
      <c r="DL33" s="93"/>
      <c r="DM33" s="93"/>
      <c r="DN33" s="93"/>
      <c r="DO33" s="93"/>
      <c r="DP33" s="93"/>
      <c r="DQ33" s="93"/>
      <c r="DR33" s="93"/>
      <c r="DS33" s="93"/>
      <c r="DT33" s="93"/>
      <c r="DU33" s="93"/>
      <c r="DV33" s="93"/>
      <c r="DW33" s="93"/>
      <c r="DX33" s="93"/>
      <c r="DY33" s="93"/>
      <c r="DZ33" s="93"/>
      <c r="EA33" s="93"/>
      <c r="EB33" s="93"/>
      <c r="EC33" s="93"/>
      <c r="ED33" s="93"/>
      <c r="EE33" s="93"/>
      <c r="EF33" s="93"/>
      <c r="EG33" s="93"/>
      <c r="EH33" s="93"/>
      <c r="EI33" s="93"/>
      <c r="EJ33" s="93"/>
      <c r="EK33" s="93"/>
      <c r="EL33" s="93"/>
      <c r="EM33" s="93"/>
      <c r="EN33" s="93"/>
      <c r="EO33" s="93"/>
      <c r="EP33" s="93"/>
      <c r="EQ33" s="93"/>
      <c r="ER33" s="93"/>
      <c r="ES33" s="93"/>
      <c r="ET33" s="93"/>
      <c r="EU33" s="93"/>
      <c r="EV33" s="93"/>
      <c r="EW33" s="93"/>
      <c r="EX33" s="93"/>
      <c r="EY33" s="93"/>
    </row>
    <row r="34" spans="1:155" s="14" customFormat="1" ht="15" customHeight="1" x14ac:dyDescent="0.3">
      <c r="A34" s="22" t="s">
        <v>598</v>
      </c>
      <c r="B34" s="88">
        <f>+B30/B93</f>
        <v>0.1023387220799043</v>
      </c>
      <c r="C34" s="88">
        <f>+C30/C93</f>
        <v>0.11483129261058546</v>
      </c>
      <c r="D34" s="88">
        <f>+D30/D93</f>
        <v>0.12199010719617592</v>
      </c>
      <c r="E34" s="88">
        <f>+E30/E93</f>
        <v>0.15071469795635473</v>
      </c>
      <c r="F34" s="88">
        <f>+F30/F93</f>
        <v>0.12833594727324776</v>
      </c>
      <c r="G34" s="88">
        <f>+G30/G93</f>
        <v>0.121289874434846</v>
      </c>
      <c r="H34" s="88">
        <f>+H30/H93</f>
        <v>0.14091796752503077</v>
      </c>
      <c r="I34" s="88">
        <f>+I30/I93</f>
        <v>0.13895241458093893</v>
      </c>
      <c r="J34" s="88">
        <f>+J30/J93</f>
        <v>0.15806487005566369</v>
      </c>
      <c r="K34" s="88">
        <f>+K30/K93</f>
        <v>0.24422209657646518</v>
      </c>
      <c r="L34" s="88">
        <f>+L30/L93</f>
        <v>0.29928091834599402</v>
      </c>
      <c r="M34" s="88">
        <f>+M30/M93</f>
        <v>0.27763882015571861</v>
      </c>
      <c r="N34" s="88">
        <f>+N30/N93</f>
        <v>0.24366122438498813</v>
      </c>
      <c r="O34" s="88">
        <f>+O30/O93</f>
        <v>0.23199023697284446</v>
      </c>
      <c r="P34" s="88">
        <f>+P30/P93</f>
        <v>0.40704498161560454</v>
      </c>
      <c r="Q34" s="88">
        <f>+Q30/Q93</f>
        <v>0.47373929850267171</v>
      </c>
      <c r="R34" s="88">
        <f>+R30/R93</f>
        <v>0.51518558943634229</v>
      </c>
      <c r="S34" s="88">
        <f>+S30/S93</f>
        <v>0.58992451546777103</v>
      </c>
      <c r="T34" s="88">
        <f>+T30/T93</f>
        <v>0.64108089877468133</v>
      </c>
      <c r="U34" s="88">
        <f>+U30/U93</f>
        <v>0.68132299044376965</v>
      </c>
      <c r="V34" s="88">
        <f>+V30/V93</f>
        <v>0.68175235151197811</v>
      </c>
      <c r="W34" s="88">
        <f>+W30/W93</f>
        <v>0.72949772256003709</v>
      </c>
      <c r="X34" s="89">
        <f>+X30/X93</f>
        <v>0.99377487925270114</v>
      </c>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3"/>
      <c r="DH34" s="93"/>
      <c r="DI34" s="93"/>
      <c r="DJ34" s="93"/>
      <c r="DK34" s="93"/>
      <c r="DL34" s="93"/>
      <c r="DM34" s="93"/>
      <c r="DN34" s="93"/>
      <c r="DO34" s="93"/>
      <c r="DP34" s="93"/>
      <c r="DQ34" s="93"/>
      <c r="DR34" s="93"/>
      <c r="DS34" s="93"/>
      <c r="DT34" s="93"/>
      <c r="DU34" s="93"/>
      <c r="DV34" s="93"/>
      <c r="DW34" s="93"/>
      <c r="DX34" s="93"/>
      <c r="DY34" s="93"/>
      <c r="DZ34" s="93"/>
      <c r="EA34" s="93"/>
      <c r="EB34" s="93"/>
      <c r="EC34" s="93"/>
      <c r="ED34" s="93"/>
      <c r="EE34" s="93"/>
      <c r="EF34" s="93"/>
      <c r="EG34" s="93"/>
      <c r="EH34" s="93"/>
      <c r="EI34" s="93"/>
      <c r="EJ34" s="93"/>
      <c r="EK34" s="93"/>
      <c r="EL34" s="93"/>
      <c r="EM34" s="93"/>
      <c r="EN34" s="93"/>
      <c r="EO34" s="93"/>
      <c r="EP34" s="93"/>
      <c r="EQ34" s="93"/>
      <c r="ER34" s="93"/>
      <c r="ES34" s="93"/>
      <c r="ET34" s="93"/>
      <c r="EU34" s="93"/>
      <c r="EV34" s="93"/>
      <c r="EW34" s="93"/>
      <c r="EX34" s="93"/>
      <c r="EY34" s="93"/>
    </row>
    <row r="35" spans="1:155" s="14" customFormat="1" ht="15" customHeight="1" thickBot="1" x14ac:dyDescent="0.35">
      <c r="A35" s="96" t="s">
        <v>599</v>
      </c>
      <c r="B35" s="90">
        <f>+B31/B93</f>
        <v>0.1023387220799043</v>
      </c>
      <c r="C35" s="90">
        <f>+C31/C93</f>
        <v>0.11483129261058546</v>
      </c>
      <c r="D35" s="90">
        <f>+D31/D93</f>
        <v>0.12199010719617592</v>
      </c>
      <c r="E35" s="90">
        <f>+E31/E93</f>
        <v>0.15071469795635473</v>
      </c>
      <c r="F35" s="90">
        <f>+F31/F93</f>
        <v>0.12833594727324776</v>
      </c>
      <c r="G35" s="90">
        <f>+G31/G93</f>
        <v>0.121289874434846</v>
      </c>
      <c r="H35" s="90">
        <f>+H31/H93</f>
        <v>0.14091796752503077</v>
      </c>
      <c r="I35" s="90">
        <f>+I31/I93</f>
        <v>0.13895241458093893</v>
      </c>
      <c r="J35" s="90">
        <f>+J31/J93</f>
        <v>0.15806487005566369</v>
      </c>
      <c r="K35" s="90">
        <f>+K31/K93</f>
        <v>0.24422209657646518</v>
      </c>
      <c r="L35" s="90">
        <f>+L31/L93</f>
        <v>0.29928091834599402</v>
      </c>
      <c r="M35" s="90">
        <f>+M31/M93</f>
        <v>0.27763882015571861</v>
      </c>
      <c r="N35" s="90">
        <f>+N31/N93</f>
        <v>0.24366122438498813</v>
      </c>
      <c r="O35" s="90">
        <f>+O31/O93</f>
        <v>0.23199023697284446</v>
      </c>
      <c r="P35" s="90">
        <f>+P31/P93</f>
        <v>0.20868804779961869</v>
      </c>
      <c r="Q35" s="90">
        <f>+Q31/Q93</f>
        <v>0.22887774628930826</v>
      </c>
      <c r="R35" s="90">
        <f>+R31/R93</f>
        <v>0.23822233219008268</v>
      </c>
      <c r="S35" s="90">
        <f>+S31/S93</f>
        <v>0.29122084623841349</v>
      </c>
      <c r="T35" s="90">
        <f>+T31/T93</f>
        <v>0.31290175251049229</v>
      </c>
      <c r="U35" s="90">
        <f>+U31/U93</f>
        <v>0.32202872470461508</v>
      </c>
      <c r="V35" s="90">
        <f>+V31/V93</f>
        <v>0.32232657342085957</v>
      </c>
      <c r="W35" s="90">
        <f>+W31/W93</f>
        <v>0.34965280745617988</v>
      </c>
      <c r="X35" s="91">
        <f>+X31/X93</f>
        <v>0.44689307753347451</v>
      </c>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c r="EQ35" s="93"/>
      <c r="ER35" s="93"/>
      <c r="ES35" s="93"/>
      <c r="ET35" s="93"/>
      <c r="EU35" s="93"/>
      <c r="EV35" s="93"/>
      <c r="EW35" s="93"/>
      <c r="EX35" s="93"/>
      <c r="EY35" s="93"/>
    </row>
    <row r="36" spans="1:155" ht="15" customHeight="1" x14ac:dyDescent="0.3">
      <c r="A36" s="9"/>
      <c r="B36" s="9"/>
      <c r="C36" s="9"/>
      <c r="D36" s="9"/>
      <c r="E36" s="9"/>
      <c r="F36" s="9"/>
      <c r="G36" s="9"/>
      <c r="H36" s="9"/>
      <c r="I36" s="9"/>
      <c r="J36" s="9"/>
      <c r="K36" s="9"/>
      <c r="L36" s="9"/>
      <c r="M36" s="9"/>
      <c r="N36" s="9"/>
      <c r="O36" s="9"/>
      <c r="P36" s="9"/>
      <c r="Q36" s="9"/>
      <c r="R36" s="8"/>
      <c r="S36" s="9"/>
      <c r="T36" s="9"/>
      <c r="U36" s="9"/>
      <c r="V36" s="9"/>
      <c r="W36" s="9"/>
      <c r="X36" s="9"/>
    </row>
    <row r="37" spans="1:155" ht="15" customHeight="1" x14ac:dyDescent="0.3">
      <c r="R37" s="15"/>
    </row>
    <row r="38" spans="1:155" ht="16.2" thickBot="1" x14ac:dyDescent="0.35">
      <c r="A38" s="702" t="s">
        <v>268</v>
      </c>
      <c r="B38" s="73"/>
      <c r="C38" s="73"/>
      <c r="D38" s="29"/>
      <c r="E38" s="29"/>
      <c r="F38" s="29"/>
      <c r="G38" s="29"/>
      <c r="H38" s="29"/>
      <c r="I38" s="29"/>
      <c r="J38" s="29"/>
      <c r="K38" s="29"/>
      <c r="L38" s="29"/>
      <c r="M38" s="74"/>
      <c r="N38" s="74"/>
      <c r="O38" s="74"/>
      <c r="P38" s="75"/>
      <c r="Q38" s="75"/>
      <c r="R38" s="75"/>
      <c r="S38" s="75"/>
      <c r="T38" s="75"/>
      <c r="U38" s="75"/>
      <c r="V38" s="75"/>
      <c r="W38" s="75"/>
      <c r="X38" s="75"/>
    </row>
    <row r="39" spans="1:155" ht="25.05" customHeight="1" thickBot="1" x14ac:dyDescent="0.35">
      <c r="A39" s="76" t="s">
        <v>260</v>
      </c>
      <c r="B39" s="71">
        <v>1993</v>
      </c>
      <c r="C39" s="71">
        <v>1994</v>
      </c>
      <c r="D39" s="71">
        <v>1995</v>
      </c>
      <c r="E39" s="71">
        <v>1996</v>
      </c>
      <c r="F39" s="71">
        <v>1997</v>
      </c>
      <c r="G39" s="71">
        <v>1998</v>
      </c>
      <c r="H39" s="71">
        <v>1999</v>
      </c>
      <c r="I39" s="71">
        <v>2000</v>
      </c>
      <c r="J39" s="71">
        <v>2001</v>
      </c>
      <c r="K39" s="71">
        <v>2002</v>
      </c>
      <c r="L39" s="71">
        <v>2003</v>
      </c>
      <c r="M39" s="71">
        <v>2004</v>
      </c>
      <c r="N39" s="71">
        <v>2005</v>
      </c>
      <c r="O39" s="71">
        <v>2006</v>
      </c>
      <c r="P39" s="71">
        <v>2007</v>
      </c>
      <c r="Q39" s="105">
        <v>2008</v>
      </c>
      <c r="R39" s="105">
        <v>2009</v>
      </c>
      <c r="S39" s="105">
        <v>2010</v>
      </c>
      <c r="T39" s="71">
        <v>2011</v>
      </c>
      <c r="U39" s="105">
        <v>2012</v>
      </c>
      <c r="V39" s="105">
        <v>2013</v>
      </c>
      <c r="W39" s="105">
        <v>2014</v>
      </c>
      <c r="X39" s="106">
        <v>2015</v>
      </c>
    </row>
    <row r="40" spans="1:155" ht="4.95" customHeight="1" x14ac:dyDescent="0.3">
      <c r="A40" s="38"/>
      <c r="B40" s="2"/>
      <c r="C40" s="2"/>
      <c r="D40" s="2"/>
      <c r="E40" s="2"/>
      <c r="F40" s="2"/>
      <c r="G40" s="2"/>
      <c r="H40" s="2"/>
      <c r="I40" s="2"/>
      <c r="J40" s="2"/>
      <c r="K40" s="2"/>
      <c r="L40" s="2"/>
      <c r="M40" s="2"/>
      <c r="N40" s="2"/>
      <c r="O40" s="2"/>
      <c r="P40" s="34"/>
      <c r="Q40" s="34"/>
      <c r="R40" s="34"/>
      <c r="S40" s="34"/>
      <c r="T40" s="34"/>
      <c r="U40" s="34"/>
      <c r="V40" s="34"/>
      <c r="W40" s="34"/>
      <c r="X40" s="80"/>
    </row>
    <row r="41" spans="1:155" s="36" customFormat="1" ht="15" customHeight="1" x14ac:dyDescent="0.3">
      <c r="A41" s="109" t="s">
        <v>261</v>
      </c>
      <c r="B41" s="110"/>
      <c r="C41" s="110"/>
      <c r="D41" s="110"/>
      <c r="E41" s="110"/>
      <c r="F41" s="110"/>
      <c r="G41" s="110"/>
      <c r="H41" s="110"/>
      <c r="I41" s="110"/>
      <c r="J41" s="110"/>
      <c r="K41" s="110"/>
      <c r="L41" s="110"/>
      <c r="M41" s="110"/>
      <c r="N41" s="110"/>
      <c r="O41" s="110"/>
      <c r="P41" s="111"/>
      <c r="Q41" s="111"/>
      <c r="R41" s="111"/>
      <c r="S41" s="111"/>
      <c r="T41" s="111"/>
      <c r="U41" s="111"/>
      <c r="V41" s="111"/>
      <c r="W41" s="111"/>
      <c r="X41" s="112"/>
    </row>
    <row r="42" spans="1:155" ht="15" customHeight="1" x14ac:dyDescent="0.3">
      <c r="A42" s="38" t="s">
        <v>10</v>
      </c>
      <c r="B42" s="40">
        <v>49.297105791372793</v>
      </c>
      <c r="C42" s="40">
        <v>56.780673022668886</v>
      </c>
      <c r="D42" s="2">
        <v>65.955964257715848</v>
      </c>
      <c r="E42" s="40">
        <v>67.190139529986737</v>
      </c>
      <c r="F42" s="2">
        <v>97.445165649137977</v>
      </c>
      <c r="G42" s="2">
        <v>105.85405545583481</v>
      </c>
      <c r="H42" s="2">
        <v>92.358254556736441</v>
      </c>
      <c r="I42" s="2">
        <v>105.61150025660105</v>
      </c>
      <c r="J42" s="2">
        <v>110.05763478282552</v>
      </c>
      <c r="K42" s="2">
        <v>75.745434865409464</v>
      </c>
      <c r="L42" s="2">
        <v>84.549011967794172</v>
      </c>
      <c r="M42" s="2">
        <v>144.38492926665131</v>
      </c>
      <c r="N42" s="2">
        <v>219.93654882552832</v>
      </c>
      <c r="O42" s="2">
        <v>350.76835755738307</v>
      </c>
      <c r="P42" s="41">
        <v>517.29663695273337</v>
      </c>
      <c r="Q42" s="41">
        <v>580.79081627382618</v>
      </c>
      <c r="R42" s="41">
        <v>590.41088007580208</v>
      </c>
      <c r="S42" s="41">
        <v>568.05485380269738</v>
      </c>
      <c r="T42" s="41">
        <v>542.22643747947461</v>
      </c>
      <c r="U42" s="41">
        <v>648.28719130260708</v>
      </c>
      <c r="V42" s="41">
        <v>643.77871336921271</v>
      </c>
      <c r="W42" s="41">
        <v>659.37274974097897</v>
      </c>
      <c r="X42" s="42">
        <v>661.73267192216133</v>
      </c>
    </row>
    <row r="43" spans="1:155" ht="15" customHeight="1" x14ac:dyDescent="0.3">
      <c r="A43" s="38" t="s">
        <v>11</v>
      </c>
      <c r="B43" s="2"/>
      <c r="C43" s="2"/>
      <c r="D43" s="2"/>
      <c r="E43" s="2"/>
      <c r="F43" s="2"/>
      <c r="G43" s="2"/>
      <c r="H43" s="2"/>
      <c r="I43" s="2"/>
      <c r="J43" s="2"/>
      <c r="K43" s="2"/>
      <c r="L43" s="2"/>
      <c r="M43" s="2"/>
      <c r="N43" s="2"/>
      <c r="O43" s="2"/>
      <c r="P43" s="34">
        <v>12101.231261530002</v>
      </c>
      <c r="Q43" s="34">
        <v>17114.534208649999</v>
      </c>
      <c r="R43" s="34">
        <v>22556.633148869998</v>
      </c>
      <c r="S43" s="43">
        <v>30103.200373</v>
      </c>
      <c r="T43" s="34">
        <v>42603.817776999997</v>
      </c>
      <c r="U43" s="34">
        <v>57898.365857999997</v>
      </c>
      <c r="V43" s="34">
        <v>75696.458511000004</v>
      </c>
      <c r="W43" s="34">
        <v>99898.227855999998</v>
      </c>
      <c r="X43" s="35">
        <v>163000.27356199999</v>
      </c>
    </row>
    <row r="44" spans="1:155" s="36" customFormat="1" ht="15" customHeight="1" x14ac:dyDescent="0.3">
      <c r="A44" s="109" t="s">
        <v>262</v>
      </c>
      <c r="B44" s="110"/>
      <c r="C44" s="110"/>
      <c r="D44" s="110"/>
      <c r="E44" s="110"/>
      <c r="F44" s="110"/>
      <c r="G44" s="110"/>
      <c r="H44" s="110"/>
      <c r="I44" s="110"/>
      <c r="J44" s="110"/>
      <c r="K44" s="110"/>
      <c r="L44" s="110"/>
      <c r="M44" s="110"/>
      <c r="N44" s="110"/>
      <c r="O44" s="110"/>
      <c r="P44" s="111"/>
      <c r="Q44" s="111"/>
      <c r="R44" s="111"/>
      <c r="S44" s="111"/>
      <c r="T44" s="111"/>
      <c r="U44" s="111"/>
      <c r="V44" s="111"/>
      <c r="W44" s="111"/>
      <c r="X44" s="112"/>
    </row>
    <row r="45" spans="1:155" ht="15" customHeight="1" x14ac:dyDescent="0.3">
      <c r="A45" s="37" t="s">
        <v>7</v>
      </c>
      <c r="B45" s="34">
        <v>2820.2366890567419</v>
      </c>
      <c r="C45" s="34">
        <v>3045.7381514087101</v>
      </c>
      <c r="D45" s="34">
        <v>3051.529008342834</v>
      </c>
      <c r="E45" s="34">
        <v>3064.1679227455697</v>
      </c>
      <c r="F45" s="34">
        <v>3159.9961270168083</v>
      </c>
      <c r="G45" s="34">
        <v>3252.7767514904976</v>
      </c>
      <c r="H45" s="34">
        <v>3531.7015099114574</v>
      </c>
      <c r="I45" s="34">
        <v>3394.8699489287883</v>
      </c>
      <c r="J45" s="34">
        <v>3472.0018043168448</v>
      </c>
      <c r="K45" s="34">
        <v>3530.934168328004</v>
      </c>
      <c r="L45" s="34">
        <v>4131.5316469546742</v>
      </c>
      <c r="M45" s="34">
        <v>4885.6190266582726</v>
      </c>
      <c r="N45" s="34">
        <v>6282.6688848815384</v>
      </c>
      <c r="O45" s="34">
        <v>7862.3898508247248</v>
      </c>
      <c r="P45" s="34">
        <v>10267.94407316312</v>
      </c>
      <c r="Q45" s="34">
        <v>13881.79832834676</v>
      </c>
      <c r="R45" s="34">
        <v>17557.509036515403</v>
      </c>
      <c r="S45" s="34">
        <v>22007.918580392965</v>
      </c>
      <c r="T45" s="34">
        <v>30437.39343724318</v>
      </c>
      <c r="U45" s="34">
        <v>39373.933187972747</v>
      </c>
      <c r="V45" s="34">
        <v>50759.312275716031</v>
      </c>
      <c r="W45" s="34">
        <v>68729.1718793935</v>
      </c>
      <c r="X45" s="35">
        <v>97685.082508896623</v>
      </c>
    </row>
    <row r="46" spans="1:155" ht="15" customHeight="1" x14ac:dyDescent="0.3">
      <c r="A46" s="39" t="s">
        <v>8</v>
      </c>
      <c r="B46" s="34">
        <v>13.7593410935</v>
      </c>
      <c r="C46" s="34">
        <v>71.693904669999995</v>
      </c>
      <c r="D46" s="34">
        <v>80.618984187500004</v>
      </c>
      <c r="E46" s="34">
        <v>82.129080621499995</v>
      </c>
      <c r="F46" s="34">
        <v>19.815600214000003</v>
      </c>
      <c r="G46" s="34">
        <v>23.210524592000002</v>
      </c>
      <c r="H46" s="34">
        <v>23.416883172000002</v>
      </c>
      <c r="I46" s="34">
        <v>37.178221306499999</v>
      </c>
      <c r="J46" s="34">
        <v>62.266529747999996</v>
      </c>
      <c r="K46" s="34">
        <v>83.632551145809529</v>
      </c>
      <c r="L46" s="34">
        <v>108.05742099981575</v>
      </c>
      <c r="M46" s="34">
        <v>169.03727210498351</v>
      </c>
      <c r="N46" s="34">
        <v>232.06469669364546</v>
      </c>
      <c r="O46" s="34">
        <v>299.83504369921974</v>
      </c>
      <c r="P46" s="34">
        <v>344.67012378698712</v>
      </c>
      <c r="Q46" s="34">
        <v>621.19002346274442</v>
      </c>
      <c r="R46" s="34">
        <v>767.65419610322033</v>
      </c>
      <c r="S46" s="34">
        <v>972.88562025644308</v>
      </c>
      <c r="T46" s="34">
        <v>1158.2414444347116</v>
      </c>
      <c r="U46" s="34">
        <v>1524.5798522449891</v>
      </c>
      <c r="V46" s="34">
        <v>1852.2023956160365</v>
      </c>
      <c r="W46" s="34">
        <v>2384.6931980424729</v>
      </c>
      <c r="X46" s="35">
        <v>3853.3302597070046</v>
      </c>
    </row>
    <row r="47" spans="1:155" ht="15" customHeight="1" x14ac:dyDescent="0.3">
      <c r="A47" s="39" t="s">
        <v>9</v>
      </c>
      <c r="B47" s="34">
        <v>2806.4773479632418</v>
      </c>
      <c r="C47" s="34">
        <v>2974.0442467387102</v>
      </c>
      <c r="D47" s="34">
        <v>2970.9100241553342</v>
      </c>
      <c r="E47" s="34">
        <v>2982.03884212407</v>
      </c>
      <c r="F47" s="34">
        <v>3140.1805268028083</v>
      </c>
      <c r="G47" s="34">
        <v>3229.5662268984975</v>
      </c>
      <c r="H47" s="34">
        <v>3508.2846267394575</v>
      </c>
      <c r="I47" s="34">
        <v>3357.6917276222885</v>
      </c>
      <c r="J47" s="34">
        <v>3409.7352745688449</v>
      </c>
      <c r="K47" s="34">
        <v>3447.3016171821946</v>
      </c>
      <c r="L47" s="34">
        <v>4023.4742259548584</v>
      </c>
      <c r="M47" s="34">
        <v>4716.5817545532891</v>
      </c>
      <c r="N47" s="34">
        <v>6050.6041881878928</v>
      </c>
      <c r="O47" s="34">
        <v>7562.5548071255052</v>
      </c>
      <c r="P47" s="34">
        <v>9923.2739493761328</v>
      </c>
      <c r="Q47" s="34">
        <v>13260.608304884016</v>
      </c>
      <c r="R47" s="34">
        <v>16789.854840412183</v>
      </c>
      <c r="S47" s="34">
        <v>21035.032960136523</v>
      </c>
      <c r="T47" s="34">
        <v>29279.151992808467</v>
      </c>
      <c r="U47" s="34">
        <v>37849.353335727756</v>
      </c>
      <c r="V47" s="34">
        <v>48907.109880099997</v>
      </c>
      <c r="W47" s="34">
        <v>66344.478681351029</v>
      </c>
      <c r="X47" s="35">
        <v>93831.752249189623</v>
      </c>
    </row>
    <row r="48" spans="1:155" s="36" customFormat="1" ht="15" customHeight="1" x14ac:dyDescent="0.3">
      <c r="A48" s="109" t="s">
        <v>263</v>
      </c>
      <c r="B48" s="110"/>
      <c r="C48" s="110"/>
      <c r="D48" s="110"/>
      <c r="E48" s="110"/>
      <c r="F48" s="110"/>
      <c r="G48" s="110"/>
      <c r="H48" s="110"/>
      <c r="I48" s="110"/>
      <c r="J48" s="110"/>
      <c r="K48" s="110"/>
      <c r="L48" s="110"/>
      <c r="M48" s="110"/>
      <c r="N48" s="110"/>
      <c r="O48" s="110"/>
      <c r="P48" s="111"/>
      <c r="Q48" s="111"/>
      <c r="R48" s="111"/>
      <c r="S48" s="111"/>
      <c r="T48" s="111"/>
      <c r="U48" s="111"/>
      <c r="V48" s="111"/>
      <c r="W48" s="111"/>
      <c r="X48" s="112"/>
    </row>
    <row r="49" spans="1:25" ht="15" customHeight="1" x14ac:dyDescent="0.3">
      <c r="A49" s="37" t="s">
        <v>14</v>
      </c>
      <c r="B49" s="2"/>
      <c r="C49" s="2"/>
      <c r="D49" s="2"/>
      <c r="E49" s="2"/>
      <c r="F49" s="2"/>
      <c r="G49" s="2"/>
      <c r="H49" s="2"/>
      <c r="I49" s="2"/>
      <c r="J49" s="2"/>
      <c r="K49" s="2"/>
      <c r="L49" s="2"/>
      <c r="M49" s="2"/>
      <c r="N49" s="2"/>
      <c r="O49" s="2">
        <v>639.9475534500001</v>
      </c>
      <c r="P49" s="34">
        <v>1171.09152133</v>
      </c>
      <c r="Q49" s="34">
        <v>1886.3295236099998</v>
      </c>
      <c r="R49" s="34">
        <v>1784.15899737</v>
      </c>
      <c r="S49" s="34">
        <v>71.692898</v>
      </c>
      <c r="T49" s="34">
        <v>155.035248</v>
      </c>
      <c r="U49" s="34">
        <v>200.66607200000001</v>
      </c>
      <c r="V49" s="34">
        <v>228.36978300000001</v>
      </c>
      <c r="W49" s="34">
        <v>526.03709800000001</v>
      </c>
      <c r="X49" s="35">
        <v>431.22949</v>
      </c>
    </row>
    <row r="50" spans="1:25" ht="15" customHeight="1" x14ac:dyDescent="0.3">
      <c r="A50" s="38" t="s">
        <v>6</v>
      </c>
      <c r="B50" s="2"/>
      <c r="C50" s="2"/>
      <c r="D50" s="2"/>
      <c r="E50" s="2"/>
      <c r="F50" s="2"/>
      <c r="G50" s="2"/>
      <c r="H50" s="2"/>
      <c r="I50" s="2"/>
      <c r="J50" s="2"/>
      <c r="K50" s="2"/>
      <c r="L50" s="2"/>
      <c r="M50" s="2"/>
      <c r="N50" s="2"/>
      <c r="O50" s="2"/>
      <c r="P50" s="34">
        <v>0</v>
      </c>
      <c r="Q50" s="34">
        <v>0</v>
      </c>
      <c r="R50" s="34">
        <v>0</v>
      </c>
      <c r="S50" s="34">
        <v>6339.8517750000001</v>
      </c>
      <c r="T50" s="34">
        <v>9036.656567</v>
      </c>
      <c r="U50" s="34">
        <v>11168.57368</v>
      </c>
      <c r="V50" s="34">
        <v>15804.790313</v>
      </c>
      <c r="W50" s="34">
        <v>22114.876989</v>
      </c>
      <c r="X50" s="35">
        <v>34035.477984999998</v>
      </c>
    </row>
    <row r="51" spans="1:25" ht="15" customHeight="1" x14ac:dyDescent="0.3">
      <c r="A51" s="48" t="s">
        <v>13</v>
      </c>
      <c r="B51" s="49"/>
      <c r="C51" s="49"/>
      <c r="D51" s="49"/>
      <c r="E51" s="49"/>
      <c r="F51" s="49"/>
      <c r="G51" s="49"/>
      <c r="H51" s="49"/>
      <c r="I51" s="49"/>
      <c r="J51" s="49"/>
      <c r="K51" s="49"/>
      <c r="L51" s="40">
        <v>265.46177836000004</v>
      </c>
      <c r="M51" s="40">
        <v>540.79216641999994</v>
      </c>
      <c r="N51" s="40">
        <v>497.70600441000005</v>
      </c>
      <c r="O51" s="49"/>
      <c r="P51" s="50"/>
      <c r="Q51" s="50"/>
      <c r="R51" s="50"/>
      <c r="S51" s="50"/>
      <c r="T51" s="50"/>
      <c r="U51" s="50"/>
      <c r="V51" s="50"/>
      <c r="W51" s="50"/>
      <c r="X51" s="51"/>
    </row>
    <row r="52" spans="1:25" s="36" customFormat="1" ht="15" customHeight="1" x14ac:dyDescent="0.3">
      <c r="A52" s="109" t="s">
        <v>265</v>
      </c>
      <c r="B52" s="110"/>
      <c r="C52" s="110"/>
      <c r="D52" s="110"/>
      <c r="E52" s="110"/>
      <c r="F52" s="110"/>
      <c r="G52" s="110"/>
      <c r="H52" s="110"/>
      <c r="I52" s="110"/>
      <c r="J52" s="110"/>
      <c r="K52" s="110"/>
      <c r="L52" s="110"/>
      <c r="M52" s="110"/>
      <c r="N52" s="110"/>
      <c r="O52" s="110"/>
      <c r="P52" s="111"/>
      <c r="Q52" s="111"/>
      <c r="R52" s="111"/>
      <c r="S52" s="111"/>
      <c r="T52" s="111"/>
      <c r="U52" s="111"/>
      <c r="V52" s="111"/>
      <c r="W52" s="111"/>
      <c r="X52" s="112"/>
    </row>
    <row r="53" spans="1:25" ht="15" customHeight="1" x14ac:dyDescent="0.3">
      <c r="A53" s="37" t="s">
        <v>16</v>
      </c>
      <c r="B53" s="2"/>
      <c r="C53" s="2"/>
      <c r="D53" s="2"/>
      <c r="E53" s="2"/>
      <c r="F53" s="2"/>
      <c r="G53" s="2"/>
      <c r="H53" s="2"/>
      <c r="I53" s="2"/>
      <c r="J53" s="2"/>
      <c r="K53" s="2"/>
      <c r="L53" s="2"/>
      <c r="M53" s="2"/>
      <c r="N53" s="2"/>
      <c r="O53" s="2"/>
      <c r="P53" s="34">
        <v>0</v>
      </c>
      <c r="Q53" s="34">
        <v>0</v>
      </c>
      <c r="R53" s="34">
        <v>0</v>
      </c>
      <c r="S53" s="34">
        <v>3.627732</v>
      </c>
      <c r="T53" s="34">
        <v>6.3103109999999996</v>
      </c>
      <c r="U53" s="34">
        <v>7.5373109999999999</v>
      </c>
      <c r="V53" s="34">
        <v>26.515093</v>
      </c>
      <c r="W53" s="34">
        <v>39.219340000000003</v>
      </c>
      <c r="X53" s="35">
        <v>55.00394</v>
      </c>
    </row>
    <row r="54" spans="1:25" s="36" customFormat="1" ht="15" customHeight="1" x14ac:dyDescent="0.3">
      <c r="A54" s="109" t="s">
        <v>264</v>
      </c>
      <c r="B54" s="110"/>
      <c r="C54" s="110"/>
      <c r="D54" s="110"/>
      <c r="E54" s="110"/>
      <c r="F54" s="110"/>
      <c r="G54" s="110"/>
      <c r="H54" s="110"/>
      <c r="I54" s="110"/>
      <c r="J54" s="110"/>
      <c r="K54" s="110"/>
      <c r="L54" s="110"/>
      <c r="M54" s="110"/>
      <c r="N54" s="110"/>
      <c r="O54" s="110"/>
      <c r="P54" s="111"/>
      <c r="Q54" s="111"/>
      <c r="R54" s="111"/>
      <c r="S54" s="111"/>
      <c r="T54" s="111"/>
      <c r="U54" s="111"/>
      <c r="V54" s="111"/>
      <c r="W54" s="111"/>
      <c r="X54" s="112"/>
    </row>
    <row r="55" spans="1:25" ht="15" customHeight="1" x14ac:dyDescent="0.3">
      <c r="A55" s="38" t="s">
        <v>0</v>
      </c>
      <c r="B55" s="2"/>
      <c r="C55" s="2">
        <v>0.49935851000000003</v>
      </c>
      <c r="D55" s="2">
        <v>0.24417148000000002</v>
      </c>
      <c r="E55" s="2">
        <v>116.61343675000001</v>
      </c>
      <c r="F55" s="2">
        <v>197.17597499999999</v>
      </c>
      <c r="G55" s="2">
        <v>150.48530761000001</v>
      </c>
      <c r="H55" s="2">
        <v>48.591019989999999</v>
      </c>
      <c r="I55" s="2">
        <v>101.132572</v>
      </c>
      <c r="J55" s="2">
        <v>135.54898399999999</v>
      </c>
      <c r="K55" s="2">
        <v>15.130077539999998</v>
      </c>
      <c r="L55" s="2"/>
      <c r="M55" s="2"/>
      <c r="N55" s="2"/>
      <c r="O55" s="2"/>
      <c r="P55" s="34"/>
      <c r="Q55" s="34"/>
      <c r="R55" s="34"/>
      <c r="S55" s="34"/>
      <c r="T55" s="34"/>
      <c r="U55" s="34"/>
      <c r="V55" s="34"/>
      <c r="W55" s="34"/>
      <c r="X55" s="35"/>
    </row>
    <row r="56" spans="1:25" ht="15" customHeight="1" x14ac:dyDescent="0.3">
      <c r="A56" s="37" t="s">
        <v>1</v>
      </c>
      <c r="B56" s="2"/>
      <c r="C56" s="2"/>
      <c r="D56" s="2"/>
      <c r="E56" s="2"/>
      <c r="F56" s="2"/>
      <c r="G56" s="2"/>
      <c r="H56" s="2"/>
      <c r="I56" s="2"/>
      <c r="J56" s="2"/>
      <c r="K56" s="2">
        <v>2248.2036268699999</v>
      </c>
      <c r="L56" s="2">
        <v>3713.76569337</v>
      </c>
      <c r="M56" s="2">
        <v>3475.8359065</v>
      </c>
      <c r="N56" s="2">
        <v>2996.9172588500001</v>
      </c>
      <c r="O56" s="2">
        <v>2496.4708441999996</v>
      </c>
      <c r="P56" s="34">
        <v>1737.04254137</v>
      </c>
      <c r="Q56" s="34">
        <v>1275.65599131</v>
      </c>
      <c r="R56" s="34">
        <v>1015.77920603</v>
      </c>
      <c r="S56" s="34">
        <v>121.777282</v>
      </c>
      <c r="T56" s="34"/>
      <c r="U56" s="34"/>
      <c r="V56" s="34"/>
      <c r="W56" s="34"/>
      <c r="X56" s="35"/>
    </row>
    <row r="57" spans="1:25" ht="15" customHeight="1" x14ac:dyDescent="0.3">
      <c r="A57" s="37" t="s">
        <v>2</v>
      </c>
      <c r="B57" s="2"/>
      <c r="C57" s="2"/>
      <c r="D57" s="2"/>
      <c r="E57" s="2"/>
      <c r="F57" s="2">
        <v>97.393674000000004</v>
      </c>
      <c r="G57" s="2">
        <v>143.116848</v>
      </c>
      <c r="H57" s="2">
        <v>189.69670148</v>
      </c>
      <c r="I57" s="2">
        <v>90.428068730000007</v>
      </c>
      <c r="J57" s="2">
        <v>43.352843799999995</v>
      </c>
      <c r="K57" s="2">
        <v>10.026359660000001</v>
      </c>
      <c r="L57" s="2"/>
      <c r="M57" s="2"/>
      <c r="N57" s="2"/>
      <c r="O57" s="2"/>
      <c r="P57" s="34"/>
      <c r="Q57" s="34"/>
      <c r="R57" s="34"/>
      <c r="S57" s="34"/>
      <c r="T57" s="34"/>
      <c r="U57" s="34"/>
      <c r="V57" s="34"/>
      <c r="W57" s="34"/>
      <c r="X57" s="35"/>
    </row>
    <row r="58" spans="1:25" ht="15" customHeight="1" x14ac:dyDescent="0.3">
      <c r="A58" s="37" t="s">
        <v>3</v>
      </c>
      <c r="B58" s="47"/>
      <c r="C58" s="47"/>
      <c r="D58" s="47"/>
      <c r="E58" s="47"/>
      <c r="F58" s="47"/>
      <c r="G58" s="47">
        <v>19.758512</v>
      </c>
      <c r="H58" s="47">
        <v>18.230709659999999</v>
      </c>
      <c r="I58" s="47"/>
      <c r="J58" s="47"/>
      <c r="K58" s="47">
        <v>1.7570202699999999</v>
      </c>
      <c r="L58" s="47">
        <v>11.48318553</v>
      </c>
      <c r="M58" s="47">
        <v>22.998882640000001</v>
      </c>
      <c r="N58" s="47">
        <v>25.151671670000002</v>
      </c>
      <c r="O58" s="47">
        <v>33.984386899999997</v>
      </c>
      <c r="P58" s="34">
        <v>41.088689380000005</v>
      </c>
      <c r="Q58" s="34">
        <v>54.551433520000003</v>
      </c>
      <c r="R58" s="34">
        <v>141.22579162</v>
      </c>
      <c r="S58" s="34">
        <v>310.12464699999998</v>
      </c>
      <c r="T58" s="34">
        <v>930.624188</v>
      </c>
      <c r="U58" s="34">
        <v>1003.291656</v>
      </c>
      <c r="V58" s="34">
        <v>1029.4939429999999</v>
      </c>
      <c r="W58" s="34">
        <v>907.33060899999998</v>
      </c>
      <c r="X58" s="35">
        <v>1173.465048</v>
      </c>
    </row>
    <row r="59" spans="1:25" ht="15" customHeight="1" x14ac:dyDescent="0.3">
      <c r="A59" s="37" t="s">
        <v>4</v>
      </c>
      <c r="B59" s="47"/>
      <c r="C59" s="47"/>
      <c r="D59" s="47"/>
      <c r="E59" s="47"/>
      <c r="F59" s="47">
        <v>33.079279999999997</v>
      </c>
      <c r="G59" s="47">
        <v>16.290140560000001</v>
      </c>
      <c r="H59" s="47">
        <v>12.075772000000001</v>
      </c>
      <c r="I59" s="47">
        <v>2.9769992000000003</v>
      </c>
      <c r="J59" s="47">
        <v>2.8580584</v>
      </c>
      <c r="K59" s="47"/>
      <c r="L59" s="47"/>
      <c r="M59" s="47"/>
      <c r="N59" s="47"/>
      <c r="O59" s="47"/>
      <c r="P59" s="34"/>
      <c r="Q59" s="34"/>
      <c r="R59" s="34"/>
      <c r="S59" s="34"/>
      <c r="T59" s="34"/>
      <c r="U59" s="34"/>
      <c r="V59" s="34"/>
      <c r="W59" s="34"/>
      <c r="X59" s="35"/>
    </row>
    <row r="60" spans="1:25" ht="15" customHeight="1" x14ac:dyDescent="0.3">
      <c r="A60" s="37" t="s">
        <v>5</v>
      </c>
      <c r="B60" s="2"/>
      <c r="C60" s="2"/>
      <c r="D60" s="2"/>
      <c r="E60" s="2"/>
      <c r="F60" s="2"/>
      <c r="G60" s="2"/>
      <c r="H60" s="2"/>
      <c r="I60" s="2"/>
      <c r="J60" s="2"/>
      <c r="K60" s="2"/>
      <c r="L60" s="2"/>
      <c r="M60" s="2"/>
      <c r="N60" s="2"/>
      <c r="O60" s="2"/>
      <c r="P60" s="34">
        <v>209.22191627999999</v>
      </c>
      <c r="Q60" s="34">
        <v>259.10513428999997</v>
      </c>
      <c r="R60" s="34">
        <v>237.76881397999998</v>
      </c>
      <c r="S60" s="34">
        <v>307.855142</v>
      </c>
      <c r="T60" s="34">
        <v>597.93834100000004</v>
      </c>
      <c r="U60" s="34">
        <v>694.89014099999997</v>
      </c>
      <c r="V60" s="34">
        <v>648.82617600000003</v>
      </c>
      <c r="W60" s="34">
        <v>415.14086500000002</v>
      </c>
      <c r="X60" s="35">
        <v>760.94365100000005</v>
      </c>
    </row>
    <row r="61" spans="1:25" ht="15" customHeight="1" x14ac:dyDescent="0.3">
      <c r="A61" s="38" t="s">
        <v>12</v>
      </c>
      <c r="B61" s="2"/>
      <c r="C61" s="2"/>
      <c r="D61" s="2"/>
      <c r="E61" s="2"/>
      <c r="F61" s="2"/>
      <c r="G61" s="2"/>
      <c r="H61" s="2"/>
      <c r="I61" s="2"/>
      <c r="J61" s="2"/>
      <c r="K61" s="2"/>
      <c r="L61" s="2"/>
      <c r="M61" s="2"/>
      <c r="N61" s="2"/>
      <c r="O61" s="2"/>
      <c r="P61" s="34">
        <v>0</v>
      </c>
      <c r="Q61" s="34">
        <v>0</v>
      </c>
      <c r="R61" s="34">
        <v>0</v>
      </c>
      <c r="S61" s="34">
        <v>3782.5409559999998</v>
      </c>
      <c r="T61" s="34">
        <v>3050.1615120000001</v>
      </c>
      <c r="U61" s="34">
        <v>3826.678375</v>
      </c>
      <c r="V61" s="34">
        <v>4157.7212719999998</v>
      </c>
      <c r="W61" s="34">
        <v>6258.4852190000001</v>
      </c>
      <c r="X61" s="35">
        <v>8032.3272200000001</v>
      </c>
    </row>
    <row r="62" spans="1:25" ht="15" customHeight="1" x14ac:dyDescent="0.3">
      <c r="A62" s="703" t="s">
        <v>15</v>
      </c>
      <c r="B62" s="47"/>
      <c r="C62" s="47"/>
      <c r="D62" s="47"/>
      <c r="E62" s="47"/>
      <c r="F62" s="47"/>
      <c r="G62" s="47"/>
      <c r="H62" s="47"/>
      <c r="I62" s="47"/>
      <c r="J62" s="47"/>
      <c r="K62" s="47"/>
      <c r="L62" s="47"/>
      <c r="M62" s="47">
        <v>83.661093149999999</v>
      </c>
      <c r="N62" s="47">
        <v>107.8182772</v>
      </c>
      <c r="O62" s="47">
        <v>131.57209172</v>
      </c>
      <c r="P62" s="34">
        <v>143.17266043999999</v>
      </c>
      <c r="Q62" s="34">
        <v>155.65194288999999</v>
      </c>
      <c r="R62" s="34">
        <v>1252.6126166900001</v>
      </c>
      <c r="S62" s="34">
        <v>532.09729800000002</v>
      </c>
      <c r="T62" s="34">
        <v>563.02963099999999</v>
      </c>
      <c r="U62" s="34">
        <v>231.95804699999999</v>
      </c>
      <c r="V62" s="34">
        <v>258.03418499999998</v>
      </c>
      <c r="W62" s="34">
        <v>312.480728</v>
      </c>
      <c r="X62" s="35">
        <v>286.42261500000001</v>
      </c>
    </row>
    <row r="63" spans="1:25" s="14" customFormat="1" ht="15" customHeight="1" x14ac:dyDescent="0.3">
      <c r="A63" s="54" t="s">
        <v>269</v>
      </c>
      <c r="B63" s="84">
        <f>+SUM(B49:B62,B42:B45)</f>
        <v>2869.5337948481147</v>
      </c>
      <c r="C63" s="84">
        <f>+SUM(C49:C62,C42:C45)</f>
        <v>3103.0181829413791</v>
      </c>
      <c r="D63" s="84">
        <f>+SUM(D49:D62,D42:D45)</f>
        <v>3117.7291440805498</v>
      </c>
      <c r="E63" s="84">
        <f>+SUM(E49:E62,E42:E45)</f>
        <v>3247.9714990255566</v>
      </c>
      <c r="F63" s="84">
        <f>+SUM(F49:F62,F42:F45)</f>
        <v>3585.090221665946</v>
      </c>
      <c r="G63" s="84">
        <f>+SUM(G49:G62,G42:G45)</f>
        <v>3688.2816151163324</v>
      </c>
      <c r="H63" s="84">
        <f>+SUM(H49:H62,H42:H45)</f>
        <v>3892.653967598194</v>
      </c>
      <c r="I63" s="84">
        <f>+SUM(I49:I62,I42:I45)</f>
        <v>3695.0190891153893</v>
      </c>
      <c r="J63" s="84">
        <f>+SUM(J49:J62,J42:J45)</f>
        <v>3763.8193252996703</v>
      </c>
      <c r="K63" s="84">
        <f>+SUM(K49:K62,K42:K45)</f>
        <v>5881.7966875334132</v>
      </c>
      <c r="L63" s="84">
        <f>+SUM(L49:L62,L42:L45)</f>
        <v>8206.791316182469</v>
      </c>
      <c r="M63" s="84">
        <f>+SUM(M49:M62,M42:M45)</f>
        <v>9153.2920046349245</v>
      </c>
      <c r="N63" s="84">
        <f>+SUM(N49:N62,N42:N45)</f>
        <v>10130.198645837067</v>
      </c>
      <c r="O63" s="84">
        <f>+SUM(O49:O62,O42:O45)</f>
        <v>11515.133084652109</v>
      </c>
      <c r="P63" s="84">
        <f>+SUM(P49:P62,P42:P45)</f>
        <v>26188.089300445856</v>
      </c>
      <c r="Q63" s="84">
        <f>+SUM(Q49:Q62,Q42:Q45)</f>
        <v>35208.417378890583</v>
      </c>
      <c r="R63" s="84">
        <f>+SUM(R49:R62,R42:R45)</f>
        <v>45136.098491151206</v>
      </c>
      <c r="S63" s="84">
        <f>+SUM(S49:S62,S42:S45)</f>
        <v>64148.741537195667</v>
      </c>
      <c r="T63" s="84">
        <f>+SUM(T49:T62,T42:T45)</f>
        <v>87923.193449722647</v>
      </c>
      <c r="U63" s="84">
        <f>+SUM(U49:U62,U42:U45)</f>
        <v>115054.18151927536</v>
      </c>
      <c r="V63" s="84">
        <f>+SUM(V49:V62,V42:V45)</f>
        <v>149253.30026508524</v>
      </c>
      <c r="W63" s="84">
        <f>+SUM(W49:W62,W42:W45)</f>
        <v>199860.34333313449</v>
      </c>
      <c r="X63" s="85">
        <f>+SUM(X49:X62,X42:X45)</f>
        <v>306121.95869181876</v>
      </c>
      <c r="Y63" s="149"/>
    </row>
    <row r="64" spans="1:25" s="14" customFormat="1" ht="15" customHeight="1" x14ac:dyDescent="0.3">
      <c r="A64" s="53" t="s">
        <v>270</v>
      </c>
      <c r="B64" s="86">
        <f>B63-B43</f>
        <v>2869.5337948481147</v>
      </c>
      <c r="C64" s="86">
        <f>C63-C43</f>
        <v>3103.0181829413791</v>
      </c>
      <c r="D64" s="86">
        <f>D63-D43</f>
        <v>3117.7291440805498</v>
      </c>
      <c r="E64" s="86">
        <f>E63-E43</f>
        <v>3247.9714990255566</v>
      </c>
      <c r="F64" s="86">
        <f>F63-F43</f>
        <v>3585.090221665946</v>
      </c>
      <c r="G64" s="86">
        <f>G63-G43</f>
        <v>3688.2816151163324</v>
      </c>
      <c r="H64" s="86">
        <f>H63-H43</f>
        <v>3892.653967598194</v>
      </c>
      <c r="I64" s="86">
        <f>I63-I43</f>
        <v>3695.0190891153893</v>
      </c>
      <c r="J64" s="86">
        <f>J63-J43</f>
        <v>3763.8193252996703</v>
      </c>
      <c r="K64" s="86">
        <f>K63-K43</f>
        <v>5881.7966875334132</v>
      </c>
      <c r="L64" s="86">
        <f>L63-L43</f>
        <v>8206.791316182469</v>
      </c>
      <c r="M64" s="86">
        <f>M63-M43</f>
        <v>9153.2920046349245</v>
      </c>
      <c r="N64" s="86">
        <f>N63-N43</f>
        <v>10130.198645837067</v>
      </c>
      <c r="O64" s="86">
        <f>O63-O43</f>
        <v>11515.133084652109</v>
      </c>
      <c r="P64" s="86">
        <f>P63-P43</f>
        <v>14086.858038915854</v>
      </c>
      <c r="Q64" s="86">
        <f>Q63-Q43</f>
        <v>18093.883170240584</v>
      </c>
      <c r="R64" s="86">
        <f>R63-R43</f>
        <v>22579.465342281208</v>
      </c>
      <c r="S64" s="86">
        <f>S63-S43</f>
        <v>34045.541164195667</v>
      </c>
      <c r="T64" s="86">
        <f>T63-T43</f>
        <v>45319.37567272265</v>
      </c>
      <c r="U64" s="86">
        <f>U63-U43</f>
        <v>57155.815661275359</v>
      </c>
      <c r="V64" s="86">
        <f>V63-V43</f>
        <v>73556.841754085239</v>
      </c>
      <c r="W64" s="86">
        <f>W63-W43</f>
        <v>99962.115477134488</v>
      </c>
      <c r="X64" s="87">
        <f>X63-X43</f>
        <v>143121.68512981877</v>
      </c>
      <c r="Y64" s="149"/>
    </row>
    <row r="65" spans="1:25" s="14" customFormat="1" ht="15" customHeight="1" x14ac:dyDescent="0.3">
      <c r="A65" s="22" t="s">
        <v>291</v>
      </c>
      <c r="B65" s="88">
        <f>+B63/B87</f>
        <v>7.0870851338198787E-2</v>
      </c>
      <c r="C65" s="704">
        <f>+C63/C87</f>
        <v>7.6237353114053441E-2</v>
      </c>
      <c r="D65" s="704">
        <f>+D63/D87</f>
        <v>6.7551647822148106E-2</v>
      </c>
      <c r="E65" s="704">
        <f>+E63/E87</f>
        <v>6.9700834242378759E-2</v>
      </c>
      <c r="F65" s="704">
        <f>+F63/F87</f>
        <v>7.7394083372984923E-2</v>
      </c>
      <c r="G65" s="704">
        <f>+G63/G87</f>
        <v>7.4222585411533384E-2</v>
      </c>
      <c r="H65" s="704">
        <f>+H63/H87</f>
        <v>7.4312259649835538E-2</v>
      </c>
      <c r="I65" s="704">
        <f>+I63/I87</f>
        <v>7.0253126644259506E-2</v>
      </c>
      <c r="J65" s="704">
        <f>+J63/J87</f>
        <v>7.3348331478894621E-2</v>
      </c>
      <c r="K65" s="704">
        <f>+K63/K87</f>
        <v>0.12124385101125938</v>
      </c>
      <c r="L65" s="704">
        <f>+L63/L87</f>
        <v>0.13491783233909865</v>
      </c>
      <c r="M65" s="704">
        <f>+M63/M87</f>
        <v>0.1326719215012904</v>
      </c>
      <c r="N65" s="704">
        <f>+N63/N87</f>
        <v>0.10905604131190434</v>
      </c>
      <c r="O65" s="704">
        <f>+O63/O87</f>
        <v>0.1014947106772553</v>
      </c>
      <c r="P65" s="704">
        <f>+P63/P87</f>
        <v>0.16138825023517403</v>
      </c>
      <c r="Q65" s="704">
        <f>+Q63/Q87</f>
        <v>0.16040620238921255</v>
      </c>
      <c r="R65" s="704">
        <f>+R63/R87</f>
        <v>0.15921370487171566</v>
      </c>
      <c r="S65" s="704">
        <f>+S63/S87</f>
        <v>0.17285909759577969</v>
      </c>
      <c r="T65" s="704">
        <f>+T63/T87</f>
        <v>0.17270097019602831</v>
      </c>
      <c r="U65" s="704">
        <f>+U63/U87</f>
        <v>0.18046818559316577</v>
      </c>
      <c r="V65" s="704">
        <f>+V63/V87</f>
        <v>0.17585090165736544</v>
      </c>
      <c r="W65" s="704">
        <f>+W63/W87</f>
        <v>0.15773635049652329</v>
      </c>
      <c r="X65" s="217">
        <f>+X63/X87</f>
        <v>0.18904286623682728</v>
      </c>
      <c r="Y65" s="149"/>
    </row>
    <row r="66" spans="1:25" s="14" customFormat="1" ht="15" customHeight="1" x14ac:dyDescent="0.3">
      <c r="A66" s="22" t="s">
        <v>282</v>
      </c>
      <c r="B66" s="88">
        <f>+B64/B87</f>
        <v>7.0870851338198787E-2</v>
      </c>
      <c r="C66" s="704">
        <f>+C64/C87</f>
        <v>7.6237353114053441E-2</v>
      </c>
      <c r="D66" s="704">
        <f>+D64/D87</f>
        <v>6.7551647822148106E-2</v>
      </c>
      <c r="E66" s="704">
        <f>+E64/E87</f>
        <v>6.9700834242378759E-2</v>
      </c>
      <c r="F66" s="704">
        <f>+F64/F87</f>
        <v>7.7394083372984923E-2</v>
      </c>
      <c r="G66" s="704">
        <f>+G64/G87</f>
        <v>7.4222585411533384E-2</v>
      </c>
      <c r="H66" s="704">
        <f>+H64/H87</f>
        <v>7.4312259649835538E-2</v>
      </c>
      <c r="I66" s="704">
        <f>+I64/I87</f>
        <v>7.0253126644259506E-2</v>
      </c>
      <c r="J66" s="704">
        <f>+J64/J87</f>
        <v>7.3348331478894621E-2</v>
      </c>
      <c r="K66" s="704">
        <f>+K64/K87</f>
        <v>0.12124385101125938</v>
      </c>
      <c r="L66" s="704">
        <f>+L64/L87</f>
        <v>0.13491783233909865</v>
      </c>
      <c r="M66" s="704">
        <f>+M64/M87</f>
        <v>0.1326719215012904</v>
      </c>
      <c r="N66" s="704">
        <f>+N64/N87</f>
        <v>0.10905604131190434</v>
      </c>
      <c r="O66" s="704">
        <f>+O64/O87</f>
        <v>0.1014947106772553</v>
      </c>
      <c r="P66" s="704">
        <f>+P64/P87</f>
        <v>8.6812494952551542E-2</v>
      </c>
      <c r="Q66" s="704">
        <f>+Q64/Q87</f>
        <v>8.2434011576802996E-2</v>
      </c>
      <c r="R66" s="704">
        <f>+R64/R87</f>
        <v>7.9647121734987211E-2</v>
      </c>
      <c r="S66" s="704">
        <f>+S64/S87</f>
        <v>9.1741184344052318E-2</v>
      </c>
      <c r="T66" s="704">
        <f>+T64/T87</f>
        <v>8.9017469000748334E-2</v>
      </c>
      <c r="U66" s="704">
        <f>+U64/U87</f>
        <v>8.9651729405069408E-2</v>
      </c>
      <c r="V66" s="704">
        <f>+V64/V87</f>
        <v>8.6664997842931593E-2</v>
      </c>
      <c r="W66" s="704">
        <f>+W64/W87</f>
        <v>7.8893386353255254E-2</v>
      </c>
      <c r="X66" s="217">
        <f>+X64/X87</f>
        <v>8.8383511242405788E-2</v>
      </c>
      <c r="Y66" s="149"/>
    </row>
    <row r="67" spans="1:25" s="14" customFormat="1" ht="15" customHeight="1" x14ac:dyDescent="0.3">
      <c r="A67" s="22" t="s">
        <v>283</v>
      </c>
      <c r="B67" s="88">
        <f>+B63/B88</f>
        <v>0.11182286444289904</v>
      </c>
      <c r="C67" s="88">
        <f>+C63/C88</f>
        <v>0.1057186144527654</v>
      </c>
      <c r="D67" s="88">
        <f>+D63/D88</f>
        <v>0.10348316431957315</v>
      </c>
      <c r="E67" s="88">
        <f>+E63/E88</f>
        <v>0.10282476637058617</v>
      </c>
      <c r="F67" s="88">
        <f>+F63/F88</f>
        <v>0.11897574963401431</v>
      </c>
      <c r="G67" s="88">
        <f>+G63/G88</f>
        <v>0.11415520873081836</v>
      </c>
      <c r="H67" s="88">
        <f>+H63/H88</f>
        <v>0.11903995854214519</v>
      </c>
      <c r="I67" s="88">
        <f>+I63/I88</f>
        <v>0.11291248637785888</v>
      </c>
      <c r="J67" s="88">
        <f>+J63/J88</f>
        <v>0.12154643028531777</v>
      </c>
      <c r="K67" s="88">
        <f>+K63/K88</f>
        <v>0.17726892727846896</v>
      </c>
      <c r="L67" s="88">
        <f>+L63/L88</f>
        <v>0.20725482294297665</v>
      </c>
      <c r="M67" s="88">
        <f>+M63/M88</f>
        <v>0.19468567487960597</v>
      </c>
      <c r="N67" s="88">
        <f>+N63/N88</f>
        <v>0.17732092054518078</v>
      </c>
      <c r="O67" s="88">
        <f>+O63/O88</f>
        <v>0.15934676796263114</v>
      </c>
      <c r="P67" s="88">
        <f>+P63/P88</f>
        <v>0.24883271602540119</v>
      </c>
      <c r="Q67" s="88">
        <f>+Q63/Q88</f>
        <v>0.25767634985794352</v>
      </c>
      <c r="R67" s="88">
        <f>+R63/R88</f>
        <v>0.25039319522803999</v>
      </c>
      <c r="S67" s="88">
        <f>+S63/S88</f>
        <v>0.27584178713277213</v>
      </c>
      <c r="T67" s="88">
        <f>+T63/T88</f>
        <v>0.28132207607301968</v>
      </c>
      <c r="U67" s="88">
        <f>+U63/U88</f>
        <v>0.28319756548417274</v>
      </c>
      <c r="V67" s="88">
        <f>+V63/V88</f>
        <v>0.27277076602291916</v>
      </c>
      <c r="W67" s="88">
        <f>+W63/W88</f>
        <v>0.26760980476371499</v>
      </c>
      <c r="X67" s="89">
        <f>+X63/X88</f>
        <v>0.29168982378911568</v>
      </c>
    </row>
    <row r="68" spans="1:25" s="14" customFormat="1" ht="15" customHeight="1" x14ac:dyDescent="0.3">
      <c r="A68" s="22" t="s">
        <v>284</v>
      </c>
      <c r="B68" s="88">
        <f>+B63/B88</f>
        <v>0.11182286444289904</v>
      </c>
      <c r="C68" s="88">
        <f>+C63/C88</f>
        <v>0.1057186144527654</v>
      </c>
      <c r="D68" s="88">
        <f>+D63/D88</f>
        <v>0.10348316431957315</v>
      </c>
      <c r="E68" s="88">
        <f>+E63/E88</f>
        <v>0.10282476637058617</v>
      </c>
      <c r="F68" s="88">
        <f>+F63/F88</f>
        <v>0.11897574963401431</v>
      </c>
      <c r="G68" s="88">
        <f>+G63/G88</f>
        <v>0.11415520873081836</v>
      </c>
      <c r="H68" s="88">
        <f>+H63/H88</f>
        <v>0.11903995854214519</v>
      </c>
      <c r="I68" s="88">
        <f>+I63/I88</f>
        <v>0.11291248637785888</v>
      </c>
      <c r="J68" s="88">
        <f>+J63/J88</f>
        <v>0.12154643028531777</v>
      </c>
      <c r="K68" s="88">
        <f>+K63/K88</f>
        <v>0.17726892727846896</v>
      </c>
      <c r="L68" s="88">
        <f>+L63/L88</f>
        <v>0.20725482294297665</v>
      </c>
      <c r="M68" s="88">
        <f>+M63/M88</f>
        <v>0.19468567487960597</v>
      </c>
      <c r="N68" s="88">
        <f>+N63/N88</f>
        <v>0.17732092054518078</v>
      </c>
      <c r="O68" s="88">
        <f>+O63/O88</f>
        <v>0.15934676796263114</v>
      </c>
      <c r="P68" s="88">
        <f>+P63/P88</f>
        <v>0.24883271602540119</v>
      </c>
      <c r="Q68" s="88">
        <f>+Q63/Q88</f>
        <v>0.25767634985794352</v>
      </c>
      <c r="R68" s="88">
        <f>+R63/R88</f>
        <v>0.25039319522803999</v>
      </c>
      <c r="S68" s="88">
        <f>+S63/S88</f>
        <v>0.27584178713277213</v>
      </c>
      <c r="T68" s="88">
        <f>+T63/T88</f>
        <v>0.28132207607301968</v>
      </c>
      <c r="U68" s="88">
        <f>+U63/U88</f>
        <v>0.28319756548417274</v>
      </c>
      <c r="V68" s="88">
        <f>+V63/V88</f>
        <v>0.27277076602291916</v>
      </c>
      <c r="W68" s="88">
        <f>+W63/W88</f>
        <v>0.26760980476371499</v>
      </c>
      <c r="X68" s="89">
        <f>+X63/X88</f>
        <v>0.29168982378911568</v>
      </c>
    </row>
    <row r="69" spans="1:25" s="14" customFormat="1" ht="15" customHeight="1" x14ac:dyDescent="0.3">
      <c r="A69" s="22" t="s">
        <v>285</v>
      </c>
      <c r="B69" s="88">
        <f>+B63/B89</f>
        <v>1.1195883882636037E-2</v>
      </c>
      <c r="C69" s="88">
        <f>+C63/C89</f>
        <v>1.1122327915310919E-2</v>
      </c>
      <c r="D69" s="88">
        <f>+D63/D89</f>
        <v>1.1149421661521138E-2</v>
      </c>
      <c r="E69" s="88">
        <f>+E63/E89</f>
        <v>1.101264374753618E-2</v>
      </c>
      <c r="F69" s="88">
        <f>+F63/F89</f>
        <v>1.1296113025090331E-2</v>
      </c>
      <c r="G69" s="88">
        <f>+G63/G89</f>
        <v>1.138453334347546E-2</v>
      </c>
      <c r="H69" s="88">
        <f>+H63/H89</f>
        <v>1.2669071871426652E-2</v>
      </c>
      <c r="I69" s="88">
        <f>+I63/I89</f>
        <v>1.1997043442255703E-2</v>
      </c>
      <c r="J69" s="88">
        <f>+J63/J89</f>
        <v>1.2925690527935497E-2</v>
      </c>
      <c r="K69" s="88">
        <f>+K63/K89</f>
        <v>1.7363447350823014E-2</v>
      </c>
      <c r="L69" s="88">
        <f>+L63/L89</f>
        <v>2.0145478245334997E-2</v>
      </c>
      <c r="M69" s="88">
        <f>+M63/M89</f>
        <v>1.8868285520985035E-2</v>
      </c>
      <c r="N69" s="88">
        <f>+N63/N89</f>
        <v>1.7389759360761831E-2</v>
      </c>
      <c r="O69" s="88">
        <f>+O63/O89</f>
        <v>1.6084738615630284E-2</v>
      </c>
      <c r="P69" s="88">
        <f>+P63/P89</f>
        <v>2.9195839615454629E-2</v>
      </c>
      <c r="Q69" s="88">
        <f>+Q63/Q89</f>
        <v>3.0625440009121846E-2</v>
      </c>
      <c r="R69" s="88">
        <f>+R63/R89</f>
        <v>3.6168795471903589E-2</v>
      </c>
      <c r="S69" s="88">
        <f>+S63/S89</f>
        <v>3.8603799552401515E-2</v>
      </c>
      <c r="T69" s="88">
        <f>+T63/T89</f>
        <v>4.0349803062399124E-2</v>
      </c>
      <c r="U69" s="88">
        <f>+U63/U89</f>
        <v>4.3615594799316593E-2</v>
      </c>
      <c r="V69" s="88">
        <f>+V63/V89</f>
        <v>4.4575731534255633E-2</v>
      </c>
      <c r="W69" s="88">
        <f>+W63/W89</f>
        <v>4.3646335702265143E-2</v>
      </c>
      <c r="X69" s="89">
        <f>+X63/X89</f>
        <v>5.2292655125711386E-2</v>
      </c>
    </row>
    <row r="70" spans="1:25" s="14" customFormat="1" ht="15" customHeight="1" x14ac:dyDescent="0.3">
      <c r="A70" s="22" t="s">
        <v>286</v>
      </c>
      <c r="B70" s="88">
        <f>B64/B89</f>
        <v>1.1195883882636037E-2</v>
      </c>
      <c r="C70" s="88">
        <f>C64/C89</f>
        <v>1.1122327915310919E-2</v>
      </c>
      <c r="D70" s="88">
        <f>D64/D89</f>
        <v>1.1149421661521138E-2</v>
      </c>
      <c r="E70" s="88">
        <f>E64/E89</f>
        <v>1.101264374753618E-2</v>
      </c>
      <c r="F70" s="88">
        <f>F64/F89</f>
        <v>1.1296113025090331E-2</v>
      </c>
      <c r="G70" s="88">
        <f>G64/G89</f>
        <v>1.138453334347546E-2</v>
      </c>
      <c r="H70" s="88">
        <f>H64/H89</f>
        <v>1.2669071871426652E-2</v>
      </c>
      <c r="I70" s="88">
        <f>I64/I89</f>
        <v>1.1997043442255703E-2</v>
      </c>
      <c r="J70" s="88">
        <f>J64/J89</f>
        <v>1.2925690527935497E-2</v>
      </c>
      <c r="K70" s="88">
        <f>K64/K89</f>
        <v>1.7363447350823014E-2</v>
      </c>
      <c r="L70" s="88">
        <f>L64/L89</f>
        <v>2.0145478245334997E-2</v>
      </c>
      <c r="M70" s="88">
        <f>M64/M89</f>
        <v>1.8868285520985035E-2</v>
      </c>
      <c r="N70" s="88">
        <f>N64/N89</f>
        <v>1.7389759360761831E-2</v>
      </c>
      <c r="O70" s="88">
        <f>O64/O89</f>
        <v>1.6084738615630284E-2</v>
      </c>
      <c r="P70" s="88">
        <f>P64/P89</f>
        <v>1.5704759643646968E-2</v>
      </c>
      <c r="Q70" s="88">
        <f>Q64/Q89</f>
        <v>1.5738654981251623E-2</v>
      </c>
      <c r="R70" s="88">
        <f>R64/R89</f>
        <v>1.8093545767807351E-2</v>
      </c>
      <c r="S70" s="88">
        <f>S64/S89</f>
        <v>2.0488122062278877E-2</v>
      </c>
      <c r="T70" s="88">
        <f>T64/T89</f>
        <v>2.0798014853167381E-2</v>
      </c>
      <c r="U70" s="88">
        <f>U64/U89</f>
        <v>2.1667051674162573E-2</v>
      </c>
      <c r="V70" s="88">
        <f>V64/V89</f>
        <v>2.1968358654142595E-2</v>
      </c>
      <c r="W70" s="88">
        <f>W64/W89</f>
        <v>2.1830143873771059E-2</v>
      </c>
      <c r="X70" s="89">
        <f>X64/X89</f>
        <v>2.4448468033744772E-2</v>
      </c>
    </row>
    <row r="71" spans="1:25" s="14" customFormat="1" ht="15" customHeight="1" x14ac:dyDescent="0.3">
      <c r="A71" s="22" t="s">
        <v>287</v>
      </c>
      <c r="B71" s="45">
        <f>+B63*1000000/B91</f>
        <v>810.84327126636845</v>
      </c>
      <c r="C71" s="45">
        <f>+C63*1000000/C91</f>
        <v>900.66351574871294</v>
      </c>
      <c r="D71" s="45">
        <f>+D63*1000000/D91</f>
        <v>868.72772272988936</v>
      </c>
      <c r="E71" s="45">
        <f>+E63*1000000/E91</f>
        <v>1001.7566360869823</v>
      </c>
      <c r="F71" s="45">
        <f>+F63*1000000/F91</f>
        <v>844.47379927938778</v>
      </c>
      <c r="G71" s="45">
        <f>+G63*1000000/G91</f>
        <v>835.19924256209345</v>
      </c>
      <c r="H71" s="45">
        <f>+H63*1000000/H91</f>
        <v>869.81491106523788</v>
      </c>
      <c r="I71" s="45">
        <f>+I63*1000000/I91</f>
        <v>811.94756298667471</v>
      </c>
      <c r="J71" s="45">
        <f>+J63*1000000/J91</f>
        <v>851.94066308331992</v>
      </c>
      <c r="K71" s="45">
        <f>+K63*1000000/K91</f>
        <v>1186.4788153225688</v>
      </c>
      <c r="L71" s="45">
        <f>+L63*1000000/L91</f>
        <v>1538.4039625327098</v>
      </c>
      <c r="M71" s="45">
        <f>+M63*1000000/M91</f>
        <v>1671.0082659848711</v>
      </c>
      <c r="N71" s="45">
        <f>+N63*1000000/N91</f>
        <v>1860.5227848664531</v>
      </c>
      <c r="O71" s="45">
        <f>+O63*1000000/O91</f>
        <v>2143.9721814961995</v>
      </c>
      <c r="P71" s="45">
        <f>+P63*1000000/P91</f>
        <v>5128.2668014289411</v>
      </c>
      <c r="Q71" s="45">
        <f>+Q63*1000000/Q91</f>
        <v>6872.7968638825569</v>
      </c>
      <c r="R71" s="45">
        <f>+R63*1000000/R91</f>
        <v>8885.7304353618874</v>
      </c>
      <c r="S71" s="45">
        <f>+S63*1000000/S91</f>
        <v>12838.863900808707</v>
      </c>
      <c r="T71" s="45">
        <f>+T63*1000000/T91</f>
        <v>17339.626302366825</v>
      </c>
      <c r="U71" s="45">
        <f>+U63*1000000/U91</f>
        <v>22316.732367081167</v>
      </c>
      <c r="V71" s="45">
        <f>+V63*1000000/V91</f>
        <v>28912.025367070044</v>
      </c>
      <c r="W71" s="45">
        <f>+W63*1000000/W91</f>
        <v>38413.945267071118</v>
      </c>
      <c r="X71" s="81">
        <f>+X63*1000000/X91</f>
        <v>60783.444319889539</v>
      </c>
    </row>
    <row r="72" spans="1:25" s="14" customFormat="1" ht="15" customHeight="1" x14ac:dyDescent="0.3">
      <c r="A72" s="22" t="s">
        <v>288</v>
      </c>
      <c r="B72" s="45">
        <f>+B64*1000000/B91</f>
        <v>810.84327126636845</v>
      </c>
      <c r="C72" s="45">
        <f>+C64*1000000/C91</f>
        <v>900.66351574871294</v>
      </c>
      <c r="D72" s="45">
        <f>+D64*1000000/D91</f>
        <v>868.72772272988936</v>
      </c>
      <c r="E72" s="45">
        <f>+E64*1000000/E91</f>
        <v>1001.7566360869823</v>
      </c>
      <c r="F72" s="45">
        <f>+F64*1000000/F91</f>
        <v>844.47379927938778</v>
      </c>
      <c r="G72" s="45">
        <f>+G64*1000000/G91</f>
        <v>835.19924256209345</v>
      </c>
      <c r="H72" s="45">
        <f>+H64*1000000/H91</f>
        <v>869.81491106523788</v>
      </c>
      <c r="I72" s="45">
        <f>+I64*1000000/I91</f>
        <v>811.94756298667471</v>
      </c>
      <c r="J72" s="45">
        <f>+J64*1000000/J91</f>
        <v>851.94066308331992</v>
      </c>
      <c r="K72" s="45">
        <f>+K64*1000000/K91</f>
        <v>1186.4788153225688</v>
      </c>
      <c r="L72" s="45">
        <f>+L64*1000000/L91</f>
        <v>1538.4039625327098</v>
      </c>
      <c r="M72" s="45">
        <f>+M64*1000000/M91</f>
        <v>1671.0082659848711</v>
      </c>
      <c r="N72" s="45">
        <f>+N64*1000000/N91</f>
        <v>1860.5227848664531</v>
      </c>
      <c r="O72" s="45">
        <f>+O64*1000000/O91</f>
        <v>2143.9721814961995</v>
      </c>
      <c r="P72" s="45">
        <f>+P64*1000000/P91</f>
        <v>2758.5504841005968</v>
      </c>
      <c r="Q72" s="45">
        <f>+Q64*1000000/Q91</f>
        <v>3531.9844731914882</v>
      </c>
      <c r="R72" s="45">
        <f>+R64*1000000/R91</f>
        <v>4445.1126506966684</v>
      </c>
      <c r="S72" s="45">
        <f>+S64*1000000/S91</f>
        <v>6813.9461345946956</v>
      </c>
      <c r="T72" s="45">
        <f>+T64*1000000/T91</f>
        <v>8937.5852672019137</v>
      </c>
      <c r="U72" s="45">
        <f>+U64*1000000/U91</f>
        <v>11086.351008643829</v>
      </c>
      <c r="V72" s="45">
        <f>+V64*1000000/V91</f>
        <v>14248.778894259145</v>
      </c>
      <c r="W72" s="45">
        <f>+W64*1000000/W91</f>
        <v>19213.112359757819</v>
      </c>
      <c r="X72" s="81">
        <f>+X64*1000000/X91</f>
        <v>28418.180179668365</v>
      </c>
    </row>
    <row r="73" spans="1:25" s="14" customFormat="1" ht="15" customHeight="1" x14ac:dyDescent="0.3">
      <c r="A73" s="22" t="s">
        <v>289</v>
      </c>
      <c r="B73" s="88">
        <f>+B71/B92</f>
        <v>0.33785136302765351</v>
      </c>
      <c r="C73" s="88">
        <f>+C71/C92</f>
        <v>0.37527646489529703</v>
      </c>
      <c r="D73" s="88">
        <f>+D71/D92</f>
        <v>0.36196988447078726</v>
      </c>
      <c r="E73" s="88">
        <f>+E71/E92</f>
        <v>0.41739859836957599</v>
      </c>
      <c r="F73" s="88">
        <f>+F71/F92</f>
        <v>0.35186408303307826</v>
      </c>
      <c r="G73" s="88">
        <f>+G71/G92</f>
        <v>0.34799968440087226</v>
      </c>
      <c r="H73" s="88">
        <f>+H71/H92</f>
        <v>0.36242287961051578</v>
      </c>
      <c r="I73" s="88">
        <f>+I71/I92</f>
        <v>0.33831148457778115</v>
      </c>
      <c r="J73" s="88">
        <f>+J71/J92</f>
        <v>0.35497527628471665</v>
      </c>
      <c r="K73" s="88">
        <f>+K71/K92</f>
        <v>0.49436617305107033</v>
      </c>
      <c r="L73" s="88">
        <f>+L71/L92</f>
        <v>0.46618301894930597</v>
      </c>
      <c r="M73" s="88">
        <f>+M71/M92</f>
        <v>0.33393450559250021</v>
      </c>
      <c r="N73" s="88">
        <f>+N71/N92</f>
        <v>0.24610089746910754</v>
      </c>
      <c r="O73" s="88">
        <f>+O71/O92</f>
        <v>0.2357049451952726</v>
      </c>
      <c r="P73" s="88">
        <f>+P71/P92</f>
        <v>0.43921435435328376</v>
      </c>
      <c r="Q73" s="88">
        <f>+Q71/Q92</f>
        <v>0.48951544614548126</v>
      </c>
      <c r="R73" s="88">
        <f>+R71/R92</f>
        <v>0.5315703778034151</v>
      </c>
      <c r="S73" s="88">
        <f>+S71/S92</f>
        <v>0.62935607356905421</v>
      </c>
      <c r="T73" s="88">
        <f>+T71/T92</f>
        <v>0.65000848336957662</v>
      </c>
      <c r="U73" s="88">
        <f>+U71/U92</f>
        <v>0.7302586335521366</v>
      </c>
      <c r="V73" s="88">
        <f>+V71/V92</f>
        <v>0.74611603153322736</v>
      </c>
      <c r="W73" s="88">
        <f>+W71/W92</f>
        <v>0.77447531290348848</v>
      </c>
      <c r="X73" s="89">
        <f>+X71/X92</f>
        <v>1.0740642550164252</v>
      </c>
    </row>
    <row r="74" spans="1:25" s="14" customFormat="1" ht="15" customHeight="1" x14ac:dyDescent="0.3">
      <c r="A74" s="22" t="s">
        <v>290</v>
      </c>
      <c r="B74" s="88">
        <f>+B72/B92</f>
        <v>0.33785136302765351</v>
      </c>
      <c r="C74" s="88">
        <f>+C72/C92</f>
        <v>0.37527646489529703</v>
      </c>
      <c r="D74" s="88">
        <f>+D72/D92</f>
        <v>0.36196988447078726</v>
      </c>
      <c r="E74" s="88">
        <f>+E72/E92</f>
        <v>0.41739859836957599</v>
      </c>
      <c r="F74" s="88">
        <f>+F72/F92</f>
        <v>0.35186408303307826</v>
      </c>
      <c r="G74" s="88">
        <f>+G72/G92</f>
        <v>0.34799968440087226</v>
      </c>
      <c r="H74" s="88">
        <f>+H72/H92</f>
        <v>0.36242287961051578</v>
      </c>
      <c r="I74" s="88">
        <f>+I72/I92</f>
        <v>0.33831148457778115</v>
      </c>
      <c r="J74" s="88">
        <f>+J72/J92</f>
        <v>0.35497527628471665</v>
      </c>
      <c r="K74" s="88">
        <f>+K72/K92</f>
        <v>0.49436617305107033</v>
      </c>
      <c r="L74" s="88">
        <f>+L72/L92</f>
        <v>0.46618301894930597</v>
      </c>
      <c r="M74" s="88">
        <f>+M72/M92</f>
        <v>0.33393450559250021</v>
      </c>
      <c r="N74" s="88">
        <f>+N72/N92</f>
        <v>0.24610089746910754</v>
      </c>
      <c r="O74" s="88">
        <f>+O72/O92</f>
        <v>0.2357049451952726</v>
      </c>
      <c r="P74" s="88">
        <f>+P72/P92</f>
        <v>0.23625817780923233</v>
      </c>
      <c r="Q74" s="88">
        <f>+Q72/Q92</f>
        <v>0.25156584566890944</v>
      </c>
      <c r="R74" s="88">
        <f>+R72/R92</f>
        <v>0.2659196369165272</v>
      </c>
      <c r="S74" s="88">
        <f>+S72/S92</f>
        <v>0.33401696738209291</v>
      </c>
      <c r="T74" s="88">
        <f>+T72/T92</f>
        <v>0.33504218275610714</v>
      </c>
      <c r="U74" s="88">
        <f>+U72/U92</f>
        <v>0.36277280228505365</v>
      </c>
      <c r="V74" s="88">
        <f>+V72/V92</f>
        <v>0.36771005240219928</v>
      </c>
      <c r="W74" s="88">
        <f>+W72/W92</f>
        <v>0.38736144135209921</v>
      </c>
      <c r="X74" s="89">
        <f>+X72/X92</f>
        <v>0.50215896557231354</v>
      </c>
    </row>
    <row r="75" spans="1:25" s="14" customFormat="1" ht="15" customHeight="1" x14ac:dyDescent="0.3">
      <c r="A75" s="22" t="s">
        <v>600</v>
      </c>
      <c r="B75" s="88">
        <f>+B71/B93</f>
        <v>0.1023387220799043</v>
      </c>
      <c r="C75" s="88">
        <f>+C71/C93</f>
        <v>0.11483129261058546</v>
      </c>
      <c r="D75" s="88">
        <f>+D71/D93</f>
        <v>0.12199010719617592</v>
      </c>
      <c r="E75" s="88">
        <f>+E71/E93</f>
        <v>0.15071469795635473</v>
      </c>
      <c r="F75" s="88">
        <f>+F71/F93</f>
        <v>0.12953111834778447</v>
      </c>
      <c r="G75" s="88">
        <f>+G71/G93</f>
        <v>0.12248704246530139</v>
      </c>
      <c r="H75" s="88">
        <f>+H71/H93</f>
        <v>0.14202370123073965</v>
      </c>
      <c r="I75" s="88">
        <f>+I71/I93</f>
        <v>0.13906445588950783</v>
      </c>
      <c r="J75" s="88">
        <f>+J71/J93</f>
        <v>0.1581849879185046</v>
      </c>
      <c r="K75" s="88">
        <f>+K71/K93</f>
        <v>0.24429507281444118</v>
      </c>
      <c r="L75" s="88">
        <f>+L71/L93</f>
        <v>0.30973311873450926</v>
      </c>
      <c r="M75" s="88">
        <f>+M71/M93</f>
        <v>0.29877228278585444</v>
      </c>
      <c r="N75" s="88">
        <f>+N71/N93</f>
        <v>0.25983796083162836</v>
      </c>
      <c r="O75" s="88">
        <f>+O71/O93</f>
        <v>0.24943893387588489</v>
      </c>
      <c r="P75" s="88">
        <f>+P71/P93</f>
        <v>0.42926120358093994</v>
      </c>
      <c r="Q75" s="88">
        <f>+Q71/Q93</f>
        <v>0.50373487383687032</v>
      </c>
      <c r="R75" s="88">
        <f>+R71/R93</f>
        <v>0.55420686123644647</v>
      </c>
      <c r="S75" s="88">
        <f>+S71/S93</f>
        <v>0.63652582569899241</v>
      </c>
      <c r="T75" s="88">
        <f>+T71/T93</f>
        <v>0.67727635852222767</v>
      </c>
      <c r="U75" s="88">
        <f>+U71/U93</f>
        <v>0.71398055984123421</v>
      </c>
      <c r="V75" s="88">
        <f>+V71/V93</f>
        <v>0.70869211896683382</v>
      </c>
      <c r="W75" s="88">
        <f>+W71/W93</f>
        <v>0.75993275131399296</v>
      </c>
      <c r="X75" s="89">
        <f>+X71/X93</f>
        <v>1.0270690021358906</v>
      </c>
    </row>
    <row r="76" spans="1:25" s="14" customFormat="1" ht="15" customHeight="1" thickBot="1" x14ac:dyDescent="0.35">
      <c r="A76" s="96" t="s">
        <v>601</v>
      </c>
      <c r="B76" s="90">
        <f>+B72/B93</f>
        <v>0.1023387220799043</v>
      </c>
      <c r="C76" s="90">
        <f>+C72/C93</f>
        <v>0.11483129261058546</v>
      </c>
      <c r="D76" s="90">
        <f>+D72/D93</f>
        <v>0.12199010719617592</v>
      </c>
      <c r="E76" s="90">
        <f>+E72/E93</f>
        <v>0.15071469795635473</v>
      </c>
      <c r="F76" s="90">
        <f>+F72/F93</f>
        <v>0.12953111834778447</v>
      </c>
      <c r="G76" s="90">
        <f>+G72/G93</f>
        <v>0.12248704246530139</v>
      </c>
      <c r="H76" s="90">
        <f>+H72/H93</f>
        <v>0.14202370123073965</v>
      </c>
      <c r="I76" s="90">
        <f>+I72/I93</f>
        <v>0.13906445588950783</v>
      </c>
      <c r="J76" s="90">
        <f>+J72/J93</f>
        <v>0.1581849879185046</v>
      </c>
      <c r="K76" s="90">
        <f>+K72/K93</f>
        <v>0.24429507281444118</v>
      </c>
      <c r="L76" s="90">
        <f>+L72/L93</f>
        <v>0.30973311873450926</v>
      </c>
      <c r="M76" s="90">
        <f>+M72/M93</f>
        <v>0.29877228278585444</v>
      </c>
      <c r="N76" s="90">
        <f>+N72/N93</f>
        <v>0.25983796083162836</v>
      </c>
      <c r="O76" s="90">
        <f>+O72/O93</f>
        <v>0.24943893387588489</v>
      </c>
      <c r="P76" s="90">
        <f>+P72/P93</f>
        <v>0.23090426976495415</v>
      </c>
      <c r="Q76" s="90">
        <f>+Q72/Q93</f>
        <v>0.25887332162350696</v>
      </c>
      <c r="R76" s="90">
        <f>+R72/R93</f>
        <v>0.27724360399018677</v>
      </c>
      <c r="S76" s="90">
        <f>+S72/S93</f>
        <v>0.33782215646963493</v>
      </c>
      <c r="T76" s="90">
        <f>+T72/T93</f>
        <v>0.34909721225803875</v>
      </c>
      <c r="U76" s="90">
        <f>+U72/U93</f>
        <v>0.35468629410207969</v>
      </c>
      <c r="V76" s="90">
        <f>+V72/V93</f>
        <v>0.34926634087571529</v>
      </c>
      <c r="W76" s="90">
        <f>+W72/W93</f>
        <v>0.38008783621013564</v>
      </c>
      <c r="X76" s="91">
        <f>+X72/X93</f>
        <v>0.48018720041666402</v>
      </c>
    </row>
    <row r="77" spans="1:25" ht="15" customHeight="1" x14ac:dyDescent="0.3">
      <c r="A77" s="700" t="s">
        <v>299</v>
      </c>
      <c r="B77" s="16"/>
      <c r="C77" s="16"/>
      <c r="D77" s="16"/>
      <c r="E77" s="16"/>
      <c r="F77" s="16"/>
      <c r="G77" s="16"/>
      <c r="H77" s="16"/>
      <c r="I77" s="16"/>
      <c r="J77" s="16"/>
      <c r="K77" s="16"/>
      <c r="L77" s="16"/>
      <c r="M77" s="16"/>
      <c r="N77" s="16"/>
      <c r="O77" s="16"/>
      <c r="P77" s="16"/>
      <c r="Q77" s="16"/>
      <c r="R77" s="16"/>
      <c r="S77" s="16"/>
      <c r="T77" s="16"/>
      <c r="U77" s="16"/>
      <c r="V77" s="16"/>
      <c r="W77" s="16"/>
      <c r="X77" s="16"/>
    </row>
    <row r="78" spans="1:25" ht="14.4" customHeight="1" x14ac:dyDescent="0.3">
      <c r="A78" s="700" t="s">
        <v>301</v>
      </c>
      <c r="B78" s="706"/>
      <c r="C78" s="706"/>
      <c r="D78" s="706"/>
      <c r="E78" s="706"/>
      <c r="F78" s="706"/>
      <c r="G78" s="706"/>
      <c r="H78" s="706"/>
      <c r="I78" s="706"/>
      <c r="J78" s="706"/>
      <c r="K78" s="706"/>
      <c r="L78" s="706"/>
      <c r="M78" s="706"/>
      <c r="N78" s="706"/>
      <c r="O78" s="706"/>
      <c r="P78" s="706"/>
      <c r="Q78" s="706"/>
      <c r="R78" s="706"/>
      <c r="S78" s="706"/>
      <c r="T78" s="706"/>
      <c r="U78" s="706"/>
      <c r="V78" s="706"/>
      <c r="W78" s="706"/>
      <c r="X78" s="706"/>
    </row>
    <row r="79" spans="1:25" ht="14.4" customHeight="1" x14ac:dyDescent="0.3">
      <c r="A79" s="145" t="s">
        <v>302</v>
      </c>
      <c r="B79" s="104"/>
      <c r="C79" s="104"/>
      <c r="D79" s="104"/>
      <c r="E79" s="104"/>
      <c r="F79" s="104"/>
      <c r="G79" s="104"/>
      <c r="H79" s="104"/>
      <c r="I79" s="104"/>
      <c r="J79" s="104"/>
      <c r="K79" s="104"/>
      <c r="L79" s="104"/>
      <c r="M79" s="104"/>
      <c r="N79" s="104"/>
      <c r="O79" s="104"/>
      <c r="P79" s="104"/>
      <c r="Q79" s="104"/>
      <c r="R79" s="104"/>
      <c r="S79" s="104"/>
      <c r="T79" s="104"/>
      <c r="U79" s="104"/>
      <c r="V79" s="104"/>
      <c r="W79" s="104"/>
    </row>
    <row r="80" spans="1:25" ht="15" customHeight="1" x14ac:dyDescent="0.3">
      <c r="A80" s="57" t="s">
        <v>300</v>
      </c>
      <c r="B80" s="705"/>
      <c r="C80" s="705"/>
      <c r="D80" s="705"/>
      <c r="E80" s="705"/>
      <c r="F80" s="705"/>
      <c r="G80" s="705"/>
      <c r="H80" s="705"/>
      <c r="I80" s="705"/>
      <c r="J80" s="705"/>
      <c r="K80" s="705"/>
      <c r="L80" s="705"/>
      <c r="M80" s="705"/>
      <c r="N80" s="705"/>
      <c r="O80" s="705"/>
      <c r="P80" s="705"/>
      <c r="Q80" s="705"/>
      <c r="R80" s="705"/>
      <c r="S80" s="705"/>
      <c r="T80" s="705"/>
      <c r="U80" s="705"/>
      <c r="V80" s="705"/>
      <c r="W80" s="705"/>
      <c r="X80" s="705"/>
    </row>
    <row r="81" spans="1:155" ht="15" customHeight="1" x14ac:dyDescent="0.3">
      <c r="A81" s="57" t="s">
        <v>303</v>
      </c>
      <c r="B81" s="705"/>
      <c r="C81" s="705"/>
      <c r="D81" s="705"/>
      <c r="E81" s="705"/>
      <c r="F81" s="705"/>
      <c r="G81" s="705"/>
      <c r="H81" s="705"/>
      <c r="I81" s="705"/>
      <c r="J81" s="705"/>
      <c r="K81" s="705"/>
      <c r="L81" s="705"/>
      <c r="M81" s="705"/>
      <c r="N81" s="705"/>
      <c r="O81" s="705"/>
      <c r="P81" s="705"/>
      <c r="Q81" s="705"/>
      <c r="R81" s="705"/>
      <c r="S81" s="705"/>
      <c r="T81" s="705"/>
      <c r="U81" s="705"/>
      <c r="V81" s="705"/>
      <c r="W81" s="705"/>
    </row>
    <row r="82" spans="1:155" ht="15" customHeight="1" x14ac:dyDescent="0.3">
      <c r="A82" s="57" t="s">
        <v>585</v>
      </c>
      <c r="B82" s="701"/>
      <c r="C82" s="701"/>
      <c r="D82" s="701"/>
      <c r="E82" s="701"/>
      <c r="F82" s="701"/>
      <c r="G82" s="701"/>
      <c r="H82" s="701"/>
      <c r="I82" s="701"/>
      <c r="J82" s="701"/>
      <c r="K82" s="701"/>
      <c r="L82" s="701"/>
      <c r="M82" s="6"/>
      <c r="N82" s="701"/>
      <c r="O82" s="701"/>
      <c r="P82" s="701"/>
      <c r="Q82" s="701"/>
      <c r="R82" s="701"/>
      <c r="S82" s="701"/>
      <c r="T82" s="701"/>
      <c r="U82" s="701"/>
      <c r="V82" s="701"/>
      <c r="W82" s="701"/>
    </row>
    <row r="83" spans="1:155" ht="15" customHeight="1" x14ac:dyDescent="0.3">
      <c r="B83" s="28"/>
      <c r="C83" s="28"/>
      <c r="D83" s="28"/>
      <c r="E83" s="28"/>
      <c r="F83" s="28"/>
      <c r="G83" s="28"/>
      <c r="H83" s="28"/>
      <c r="I83" s="28"/>
      <c r="J83" s="28"/>
      <c r="K83" s="28"/>
      <c r="L83" s="28"/>
      <c r="M83" s="28"/>
      <c r="N83" s="28"/>
      <c r="O83" s="28"/>
      <c r="P83" s="28"/>
      <c r="Q83" s="28"/>
      <c r="R83" s="28"/>
      <c r="S83" s="28"/>
      <c r="T83" s="28"/>
      <c r="U83" s="28"/>
      <c r="V83" s="28"/>
      <c r="W83" s="28"/>
    </row>
    <row r="84" spans="1:155" ht="15" customHeight="1" thickBot="1" x14ac:dyDescent="0.35">
      <c r="A84" s="72"/>
      <c r="B84" s="73"/>
      <c r="C84" s="73"/>
      <c r="D84" s="29"/>
      <c r="E84" s="29"/>
      <c r="F84" s="29"/>
      <c r="G84" s="29"/>
      <c r="H84" s="29"/>
      <c r="I84" s="29"/>
      <c r="J84" s="29"/>
      <c r="K84" s="29"/>
      <c r="L84" s="29"/>
      <c r="M84" s="74"/>
      <c r="N84" s="74"/>
      <c r="O84" s="74"/>
      <c r="P84" s="75"/>
      <c r="Q84" s="75"/>
      <c r="R84" s="75"/>
      <c r="S84" s="75"/>
      <c r="T84" s="75"/>
      <c r="U84" s="75"/>
      <c r="V84" s="75"/>
      <c r="W84" s="75"/>
      <c r="X84" s="75"/>
    </row>
    <row r="85" spans="1:155" s="362" customFormat="1" ht="25.05" customHeight="1" thickBot="1" x14ac:dyDescent="0.35">
      <c r="A85" s="353" t="s">
        <v>292</v>
      </c>
      <c r="B85" s="107">
        <v>1993</v>
      </c>
      <c r="C85" s="107">
        <v>1994</v>
      </c>
      <c r="D85" s="107">
        <v>1995</v>
      </c>
      <c r="E85" s="107">
        <v>1996</v>
      </c>
      <c r="F85" s="107">
        <v>1997</v>
      </c>
      <c r="G85" s="107">
        <v>1998</v>
      </c>
      <c r="H85" s="107">
        <v>1999</v>
      </c>
      <c r="I85" s="107">
        <v>2000</v>
      </c>
      <c r="J85" s="107">
        <v>2001</v>
      </c>
      <c r="K85" s="107">
        <v>2002</v>
      </c>
      <c r="L85" s="107">
        <v>2003</v>
      </c>
      <c r="M85" s="107">
        <v>2004</v>
      </c>
      <c r="N85" s="107">
        <v>2005</v>
      </c>
      <c r="O85" s="107">
        <v>2006</v>
      </c>
      <c r="P85" s="107">
        <v>2007</v>
      </c>
      <c r="Q85" s="107">
        <v>2008</v>
      </c>
      <c r="R85" s="107">
        <v>2009</v>
      </c>
      <c r="S85" s="107">
        <v>2010</v>
      </c>
      <c r="T85" s="107">
        <v>2011</v>
      </c>
      <c r="U85" s="107">
        <v>2012</v>
      </c>
      <c r="V85" s="107">
        <v>2013</v>
      </c>
      <c r="W85" s="107">
        <v>2014</v>
      </c>
      <c r="X85" s="108">
        <v>2015</v>
      </c>
    </row>
    <row r="86" spans="1:155" ht="4.95" customHeight="1" x14ac:dyDescent="0.3">
      <c r="A86" s="5"/>
      <c r="B86" s="2"/>
      <c r="C86" s="2"/>
      <c r="D86" s="2"/>
      <c r="E86" s="2"/>
      <c r="F86" s="2"/>
      <c r="G86" s="2"/>
      <c r="H86" s="2"/>
      <c r="I86" s="2"/>
      <c r="J86" s="2"/>
      <c r="K86" s="2"/>
      <c r="L86" s="2"/>
      <c r="M86" s="2"/>
      <c r="N86" s="2"/>
      <c r="O86" s="2"/>
      <c r="P86" s="3"/>
      <c r="Q86" s="3"/>
      <c r="R86" s="3"/>
      <c r="S86" s="3"/>
      <c r="T86" s="3"/>
      <c r="U86" s="3"/>
      <c r="V86" s="3"/>
      <c r="W86" s="3"/>
      <c r="X86" s="4"/>
    </row>
    <row r="87" spans="1:155" ht="15" customHeight="1" thickBot="1" x14ac:dyDescent="0.35">
      <c r="A87" s="5" t="s">
        <v>293</v>
      </c>
      <c r="B87" s="2">
        <f>37683.14201832+B12</f>
        <v>40489.619366283245</v>
      </c>
      <c r="C87" s="2">
        <f>37728.02706336+C12</f>
        <v>40702.071310098712</v>
      </c>
      <c r="D87" s="2">
        <f>43182.35558217+D12</f>
        <v>46153.265606325331</v>
      </c>
      <c r="E87" s="2">
        <f>43616.70756213+E12</f>
        <v>46598.746404254074</v>
      </c>
      <c r="F87" s="2">
        <f>43182.35558217+F12</f>
        <v>46322.53610897281</v>
      </c>
      <c r="G87" s="2">
        <f>46462.60758605+G12</f>
        <v>49692.173812948495</v>
      </c>
      <c r="H87" s="2">
        <f>48874.1080759+H12</f>
        <v>52382.392702639459</v>
      </c>
      <c r="I87" s="2">
        <f>49238.10387057+I12</f>
        <v>52595.795598192286</v>
      </c>
      <c r="J87" s="2">
        <f>47904.5788947+J12</f>
        <v>51314.314169268844</v>
      </c>
      <c r="K87" s="2">
        <f>45064.82199548+K12</f>
        <v>48512.123612662195</v>
      </c>
      <c r="L87" s="2">
        <f>56804.59552509+L12</f>
        <v>60828.069751044859</v>
      </c>
      <c r="M87" s="2">
        <f>64275.34887446+M12</f>
        <v>68991.930629013295</v>
      </c>
      <c r="N87" s="2">
        <f>86839.23963866+N12</f>
        <v>92889.843826847893</v>
      </c>
      <c r="O87" s="2">
        <f>105892.94457618+O12</f>
        <v>113455.49938330551</v>
      </c>
      <c r="P87" s="3">
        <f>152344.358683636+P12</f>
        <v>162267.63263301214</v>
      </c>
      <c r="Q87" s="3">
        <f>206234.753186564+Q12</f>
        <v>219495.36149144801</v>
      </c>
      <c r="R87" s="3">
        <f>266703.946949572+R12</f>
        <v>283493.80178998422</v>
      </c>
      <c r="S87" s="3">
        <f>350069.192558867+S12</f>
        <v>371104.22551900352</v>
      </c>
      <c r="T87" s="3">
        <f>479827.388346388+T12</f>
        <v>509106.54033919645</v>
      </c>
      <c r="U87" s="3">
        <f>599682.304341848+U12</f>
        <v>637531.65767757571</v>
      </c>
      <c r="V87" s="3">
        <f>799842.02281355+V12</f>
        <v>848749.13269364997</v>
      </c>
      <c r="W87" s="3">
        <f>1200708.6939324+W12</f>
        <v>1267053.1726137511</v>
      </c>
      <c r="X87" s="4">
        <f>1525493.87894558+X12</f>
        <v>1619325.6311947696</v>
      </c>
    </row>
    <row r="88" spans="1:155" ht="15" customHeight="1" x14ac:dyDescent="0.3">
      <c r="A88" s="5" t="s">
        <v>294</v>
      </c>
      <c r="B88" s="2">
        <f>22854.94537756+B12</f>
        <v>25661.422725523244</v>
      </c>
      <c r="C88" s="2">
        <f>26377.62857837+C12</f>
        <v>29351.672825108712</v>
      </c>
      <c r="D88" s="2">
        <f>27156.9775852+D12</f>
        <v>30127.887609355334</v>
      </c>
      <c r="E88" s="2">
        <f>28605.40466657+E12</f>
        <v>31587.443508694072</v>
      </c>
      <c r="F88" s="2">
        <f>26992.76868927+F12</f>
        <v>30132.949216072808</v>
      </c>
      <c r="G88" s="2">
        <f>29079.79272503+G12</f>
        <v>32309.358951928498</v>
      </c>
      <c r="H88" s="2">
        <f>29192.11291431+H12</f>
        <v>32700.397541049457</v>
      </c>
      <c r="I88" s="2">
        <f>29366.93605845+I12</f>
        <v>32724.627786072288</v>
      </c>
      <c r="J88" s="2">
        <f>27556.36810226+J12</f>
        <v>30966.103376828843</v>
      </c>
      <c r="K88" s="2">
        <f>29732.77555615+K12</f>
        <v>33180.077173332196</v>
      </c>
      <c r="L88" s="2">
        <f>35574.11486581+L12</f>
        <v>39597.589091764858</v>
      </c>
      <c r="M88" s="2">
        <f>42299.1630366099+M12</f>
        <v>47015.74479116319</v>
      </c>
      <c r="N88" s="2">
        <f>51078.57501239+N12</f>
        <v>57129.179200577892</v>
      </c>
      <c r="O88" s="2">
        <f>64702.0617388+O12</f>
        <v>72264.616545925513</v>
      </c>
      <c r="P88" s="3">
        <f>95320.4806450661+P12</f>
        <v>105243.75459444223</v>
      </c>
      <c r="Q88" s="3">
        <f>123377.532519064+Q12</f>
        <v>136638.14082394802</v>
      </c>
      <c r="R88" s="3">
        <f>163471.028248062+R12</f>
        <v>180260.88308847419</v>
      </c>
      <c r="S88" s="3">
        <f>211521.253032597+S12</f>
        <v>232556.28599273349</v>
      </c>
      <c r="T88" s="3">
        <f>283256.553263758+T12</f>
        <v>312535.70525656646</v>
      </c>
      <c r="U88" s="3">
        <f>368418.904382418+U12</f>
        <v>406268.25771814579</v>
      </c>
      <c r="V88" s="3">
        <f>498267.73015589+V12</f>
        <v>547174.84003599</v>
      </c>
      <c r="W88" s="3">
        <f>680490.427123391+W12</f>
        <v>746834.90580474201</v>
      </c>
      <c r="X88" s="82">
        <f>955645.92480936+X12</f>
        <v>1049477.6770585496</v>
      </c>
    </row>
    <row r="89" spans="1:155" ht="15" customHeight="1" x14ac:dyDescent="0.3">
      <c r="A89" s="712" t="s">
        <v>388</v>
      </c>
      <c r="B89" s="2">
        <v>256302.56841967991</v>
      </c>
      <c r="C89" s="2">
        <v>278989.99261384713</v>
      </c>
      <c r="D89" s="2">
        <v>279631.46777742298</v>
      </c>
      <c r="E89" s="2">
        <v>294931.13311253837</v>
      </c>
      <c r="F89" s="2">
        <v>317373.79164876736</v>
      </c>
      <c r="G89" s="2">
        <v>323973.01706091512</v>
      </c>
      <c r="H89" s="2">
        <v>307256.44365295133</v>
      </c>
      <c r="I89" s="2">
        <v>307994.14096483809</v>
      </c>
      <c r="J89" s="2">
        <v>291189.03297004983</v>
      </c>
      <c r="K89" s="2">
        <v>338745.90504371363</v>
      </c>
      <c r="L89" s="2">
        <v>407376.34600870701</v>
      </c>
      <c r="M89" s="2">
        <v>485115.19472475466</v>
      </c>
      <c r="N89" s="2">
        <v>582538.17293727468</v>
      </c>
      <c r="O89" s="2">
        <v>715904.27173384849</v>
      </c>
      <c r="P89" s="3">
        <v>896980.17407190299</v>
      </c>
      <c r="Q89" s="3">
        <v>1149646.0905836353</v>
      </c>
      <c r="R89" s="3">
        <v>1247929.2689250195</v>
      </c>
      <c r="S89" s="3">
        <v>1661720.9259445816</v>
      </c>
      <c r="T89" s="3">
        <v>2179024.1036307774</v>
      </c>
      <c r="U89" s="3">
        <v>2637913.8482155497</v>
      </c>
      <c r="V89" s="3">
        <v>3348308.4882272054</v>
      </c>
      <c r="W89" s="3">
        <v>4579086.4254100993</v>
      </c>
      <c r="X89" s="4">
        <v>5854014.4491784265</v>
      </c>
    </row>
    <row r="90" spans="1:155" s="9" customFormat="1" ht="15" customHeight="1" x14ac:dyDescent="0.3">
      <c r="A90" s="5" t="s">
        <v>382</v>
      </c>
      <c r="B90" s="77">
        <v>0.53854689806908695</v>
      </c>
      <c r="C90" s="77">
        <v>0.51201609556997318</v>
      </c>
      <c r="D90" s="77">
        <v>0.52824060315936561</v>
      </c>
      <c r="E90" s="77">
        <v>0.53287573251849629</v>
      </c>
      <c r="F90" s="77">
        <v>0.54406557256877108</v>
      </c>
      <c r="G90" s="77">
        <v>0.54621953200054474</v>
      </c>
      <c r="H90" s="77">
        <v>0.54709939096495119</v>
      </c>
      <c r="I90" s="77">
        <v>0.55395862629079817</v>
      </c>
      <c r="J90" s="77">
        <v>0.55949310051936862</v>
      </c>
      <c r="K90" s="77">
        <v>0.59374974922846202</v>
      </c>
      <c r="L90" s="77">
        <v>0.61643389547852601</v>
      </c>
      <c r="M90" s="77">
        <v>0.60509373104492969</v>
      </c>
      <c r="N90" s="77">
        <v>0.58478980890625198</v>
      </c>
      <c r="O90" s="77">
        <v>0.55461925761684072</v>
      </c>
      <c r="P90" s="77">
        <v>0.51828137274205366</v>
      </c>
      <c r="Q90" s="77">
        <v>0.51293869896799804</v>
      </c>
      <c r="R90" s="77">
        <v>0.5062648028866451</v>
      </c>
      <c r="S90" s="77">
        <v>0.48906840663804563</v>
      </c>
      <c r="T90" s="77">
        <v>0.48457268947274368</v>
      </c>
      <c r="U90" s="77">
        <v>0.48748899358223718</v>
      </c>
      <c r="V90" s="77">
        <v>0.48479254311817432</v>
      </c>
      <c r="W90" s="77">
        <v>0.48588753924460226</v>
      </c>
      <c r="X90" s="83">
        <v>0.47117691597309197</v>
      </c>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c r="DO90" s="44"/>
      <c r="DP90" s="44"/>
      <c r="DQ90" s="44"/>
      <c r="DR90" s="44"/>
      <c r="DS90" s="44"/>
      <c r="DT90" s="44"/>
      <c r="DU90" s="44"/>
      <c r="DV90" s="44"/>
      <c r="DW90" s="44"/>
      <c r="DX90" s="44"/>
      <c r="DY90" s="44"/>
      <c r="DZ90" s="44"/>
      <c r="EA90" s="44"/>
      <c r="EB90" s="44"/>
      <c r="EC90" s="44"/>
      <c r="ED90" s="44"/>
      <c r="EE90" s="44"/>
      <c r="EF90" s="44"/>
      <c r="EG90" s="44"/>
      <c r="EH90" s="44"/>
      <c r="EI90" s="44"/>
      <c r="EJ90" s="44"/>
      <c r="EK90" s="44"/>
      <c r="EL90" s="44"/>
      <c r="EM90" s="44"/>
      <c r="EN90" s="44"/>
      <c r="EO90" s="44"/>
      <c r="EP90" s="44"/>
      <c r="EQ90" s="44"/>
      <c r="ER90" s="44"/>
      <c r="ES90" s="44"/>
      <c r="ET90" s="44"/>
      <c r="EU90" s="44"/>
      <c r="EV90" s="44"/>
      <c r="EW90" s="44"/>
      <c r="EX90" s="44"/>
      <c r="EY90" s="44"/>
    </row>
    <row r="91" spans="1:155" s="9" customFormat="1" ht="15" customHeight="1" x14ac:dyDescent="0.3">
      <c r="A91" s="5" t="s">
        <v>295</v>
      </c>
      <c r="B91" s="2">
        <v>3538950</v>
      </c>
      <c r="C91" s="2">
        <v>3445258</v>
      </c>
      <c r="D91" s="2">
        <v>3588845</v>
      </c>
      <c r="E91" s="2">
        <v>3242276</v>
      </c>
      <c r="F91" s="2">
        <v>4245354</v>
      </c>
      <c r="G91" s="2">
        <v>4416050</v>
      </c>
      <c r="H91" s="2">
        <v>4475267</v>
      </c>
      <c r="I91" s="2">
        <v>4550810</v>
      </c>
      <c r="J91" s="2">
        <v>4417936</v>
      </c>
      <c r="K91" s="2">
        <v>4957355</v>
      </c>
      <c r="L91" s="2">
        <v>5334614</v>
      </c>
      <c r="M91" s="2">
        <v>5477706</v>
      </c>
      <c r="N91" s="2">
        <v>5444813</v>
      </c>
      <c r="O91" s="2">
        <v>5370934</v>
      </c>
      <c r="P91" s="3">
        <v>5106616</v>
      </c>
      <c r="Q91" s="3">
        <v>5122866</v>
      </c>
      <c r="R91" s="3">
        <v>5079616</v>
      </c>
      <c r="S91" s="3">
        <v>4996450</v>
      </c>
      <c r="T91" s="3">
        <v>5070651</v>
      </c>
      <c r="U91" s="3">
        <v>5155512</v>
      </c>
      <c r="V91" s="3">
        <v>5162326</v>
      </c>
      <c r="W91" s="3">
        <v>5202807</v>
      </c>
      <c r="X91" s="4">
        <v>5036272</v>
      </c>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44"/>
      <c r="DK91" s="44"/>
      <c r="DL91" s="44"/>
      <c r="DM91" s="44"/>
      <c r="DN91" s="44"/>
      <c r="DO91" s="44"/>
      <c r="DP91" s="44"/>
      <c r="DQ91" s="44"/>
      <c r="DR91" s="44"/>
      <c r="DS91" s="44"/>
      <c r="DT91" s="44"/>
      <c r="DU91" s="44"/>
      <c r="DV91" s="44"/>
      <c r="DW91" s="44"/>
      <c r="DX91" s="44"/>
      <c r="DY91" s="44"/>
      <c r="DZ91" s="44"/>
      <c r="EA91" s="44"/>
      <c r="EB91" s="44"/>
      <c r="EC91" s="44"/>
      <c r="ED91" s="44"/>
      <c r="EE91" s="44"/>
      <c r="EF91" s="44"/>
      <c r="EG91" s="44"/>
      <c r="EH91" s="44"/>
      <c r="EI91" s="44"/>
      <c r="EJ91" s="44"/>
      <c r="EK91" s="44"/>
      <c r="EL91" s="44"/>
      <c r="EM91" s="44"/>
      <c r="EN91" s="44"/>
      <c r="EO91" s="44"/>
      <c r="EP91" s="44"/>
      <c r="EQ91" s="44"/>
      <c r="ER91" s="44"/>
      <c r="ES91" s="44"/>
      <c r="ET91" s="44"/>
      <c r="EU91" s="44"/>
      <c r="EV91" s="44"/>
      <c r="EW91" s="44"/>
      <c r="EX91" s="44"/>
      <c r="EY91" s="44"/>
    </row>
    <row r="92" spans="1:155" s="9" customFormat="1" ht="15" customHeight="1" x14ac:dyDescent="0.3">
      <c r="A92" s="5" t="s">
        <v>296</v>
      </c>
      <c r="B92" s="78">
        <v>2400</v>
      </c>
      <c r="C92" s="78">
        <v>2400</v>
      </c>
      <c r="D92" s="78">
        <v>2400</v>
      </c>
      <c r="E92" s="78">
        <v>2400</v>
      </c>
      <c r="F92" s="78">
        <v>2400</v>
      </c>
      <c r="G92" s="78">
        <v>2400</v>
      </c>
      <c r="H92" s="78">
        <v>2400</v>
      </c>
      <c r="I92" s="78">
        <v>2400</v>
      </c>
      <c r="J92" s="78">
        <v>2400</v>
      </c>
      <c r="K92" s="78">
        <v>2400</v>
      </c>
      <c r="L92" s="78">
        <v>3300</v>
      </c>
      <c r="M92" s="78">
        <v>5004</v>
      </c>
      <c r="N92" s="78">
        <v>7560</v>
      </c>
      <c r="O92" s="79">
        <v>9096</v>
      </c>
      <c r="P92" s="46">
        <v>11676</v>
      </c>
      <c r="Q92" s="46">
        <v>14040</v>
      </c>
      <c r="R92" s="46">
        <v>16716</v>
      </c>
      <c r="S92" s="46">
        <v>20400</v>
      </c>
      <c r="T92" s="46">
        <v>26676</v>
      </c>
      <c r="U92" s="46">
        <v>30560.0390625</v>
      </c>
      <c r="V92" s="46">
        <v>38750.0390625</v>
      </c>
      <c r="W92" s="46">
        <v>49599.9609375</v>
      </c>
      <c r="X92" s="60">
        <v>56592</v>
      </c>
    </row>
    <row r="93" spans="1:155" ht="15" customHeight="1" x14ac:dyDescent="0.3">
      <c r="A93" s="98" t="s">
        <v>297</v>
      </c>
      <c r="B93" s="99">
        <v>7923.1326597304596</v>
      </c>
      <c r="C93" s="99">
        <v>7843.3630352227465</v>
      </c>
      <c r="D93" s="99">
        <v>7121.2964944187024</v>
      </c>
      <c r="E93" s="99">
        <v>6646.7083149188256</v>
      </c>
      <c r="F93" s="99">
        <v>6519.4665965287086</v>
      </c>
      <c r="G93" s="99">
        <v>6818.6742511861366</v>
      </c>
      <c r="H93" s="99">
        <v>6124.4348902869942</v>
      </c>
      <c r="I93" s="99">
        <v>5838.6419289757187</v>
      </c>
      <c r="J93" s="99">
        <v>5385.7238559339876</v>
      </c>
      <c r="K93" s="99">
        <v>4856.7447621990341</v>
      </c>
      <c r="L93" s="99">
        <v>4966.8694417253055</v>
      </c>
      <c r="M93" s="99">
        <v>5592.9159505822336</v>
      </c>
      <c r="N93" s="99">
        <v>7160.3193733191574</v>
      </c>
      <c r="O93" s="99">
        <v>8595.1785801128826</v>
      </c>
      <c r="P93" s="100">
        <v>11946.727909833047</v>
      </c>
      <c r="Q93" s="100">
        <v>13643.678889121831</v>
      </c>
      <c r="R93" s="100">
        <v>16033.237869949224</v>
      </c>
      <c r="S93" s="100">
        <v>20170.216796325392</v>
      </c>
      <c r="T93" s="100">
        <v>25601.995528384818</v>
      </c>
      <c r="U93" s="100">
        <v>31256.778716837438</v>
      </c>
      <c r="V93" s="100">
        <v>40796.312803956978</v>
      </c>
      <c r="W93" s="100">
        <v>50549.13767126092</v>
      </c>
      <c r="X93" s="101">
        <v>59181.4612197276</v>
      </c>
    </row>
    <row r="94" spans="1:155" ht="15" customHeight="1" x14ac:dyDescent="0.3">
      <c r="A94" s="57" t="s">
        <v>298</v>
      </c>
    </row>
    <row r="95" spans="1:155" ht="14.4" customHeight="1" x14ac:dyDescent="0.3">
      <c r="A95" s="28" t="s">
        <v>370</v>
      </c>
    </row>
    <row r="96" spans="1:155" x14ac:dyDescent="0.3">
      <c r="A96" s="57"/>
    </row>
  </sheetData>
  <printOptions horizontalCentered="1" verticalCentered="1"/>
  <pageMargins left="0.31496062992125984" right="0.31496062992125984" top="0.35433070866141736" bottom="0.35433070866141736" header="0.31496062992125984" footer="0.31496062992125984"/>
  <pageSetup scale="10" orientation="landscape" r:id="rId1"/>
  <ignoredErrors>
    <ignoredError sqref="B63:X63" formulaRange="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81"/>
  <sheetViews>
    <sheetView showGridLines="0" zoomScale="89" zoomScaleNormal="89" workbookViewId="0">
      <pane xSplit="1" ySplit="4" topLeftCell="B5" activePane="bottomRight" state="frozen"/>
      <selection pane="topRight" activeCell="B1" sqref="B1"/>
      <selection pane="bottomLeft" activeCell="A5" sqref="A5"/>
      <selection pane="bottomRight" activeCell="A28" sqref="A28"/>
    </sheetView>
  </sheetViews>
  <sheetFormatPr defaultColWidth="11.44140625" defaultRowHeight="14.4" x14ac:dyDescent="0.3"/>
  <cols>
    <col min="1" max="1" width="62.6640625" style="409" customWidth="1"/>
    <col min="2" max="7" width="15.77734375" style="409" customWidth="1"/>
    <col min="8" max="9" width="15.77734375" style="26" customWidth="1"/>
    <col min="10" max="10" width="12.21875" style="26" bestFit="1" customWidth="1"/>
    <col min="11" max="16384" width="11.44140625" style="26"/>
  </cols>
  <sheetData>
    <row r="1" spans="1:11" ht="30" customHeight="1" x14ac:dyDescent="0.25">
      <c r="A1" s="714" t="s">
        <v>516</v>
      </c>
      <c r="B1" s="389"/>
      <c r="C1" s="389"/>
      <c r="D1" s="389"/>
      <c r="E1" s="389"/>
      <c r="F1" s="389"/>
      <c r="G1" s="389"/>
    </row>
    <row r="2" spans="1:11" ht="30" customHeight="1" x14ac:dyDescent="0.25">
      <c r="A2" s="389"/>
      <c r="B2" s="389"/>
      <c r="C2" s="389"/>
      <c r="D2" s="389"/>
      <c r="E2" s="389"/>
      <c r="F2" s="389"/>
      <c r="G2" s="389"/>
    </row>
    <row r="3" spans="1:11" s="24" customFormat="1" ht="19.95" customHeight="1" thickBot="1" x14ac:dyDescent="0.3">
      <c r="A3" s="718" t="s">
        <v>517</v>
      </c>
      <c r="B3" s="390"/>
      <c r="C3" s="390"/>
      <c r="D3" s="390"/>
      <c r="E3" s="390"/>
      <c r="F3" s="390"/>
      <c r="G3" s="390"/>
    </row>
    <row r="4" spans="1:11" s="24" customFormat="1" ht="25.05" customHeight="1" thickBot="1" x14ac:dyDescent="0.3">
      <c r="A4" s="391" t="s">
        <v>260</v>
      </c>
      <c r="B4" s="375">
        <v>2010</v>
      </c>
      <c r="C4" s="375">
        <v>2011</v>
      </c>
      <c r="D4" s="375">
        <v>2012</v>
      </c>
      <c r="E4" s="375">
        <v>2013</v>
      </c>
      <c r="F4" s="375">
        <v>2014</v>
      </c>
      <c r="G4" s="392" t="s">
        <v>137</v>
      </c>
    </row>
    <row r="5" spans="1:11" s="24" customFormat="1" ht="4.95" customHeight="1" x14ac:dyDescent="0.3">
      <c r="A5" s="393"/>
      <c r="B5" s="394"/>
      <c r="C5" s="394"/>
      <c r="D5" s="394"/>
      <c r="E5" s="394"/>
      <c r="F5" s="394"/>
      <c r="G5" s="395"/>
      <c r="H5" s="63"/>
      <c r="I5" s="64"/>
      <c r="J5" s="64"/>
      <c r="K5" s="65"/>
    </row>
    <row r="6" spans="1:11" s="24" customFormat="1" ht="15" customHeight="1" x14ac:dyDescent="0.3">
      <c r="A6" s="733" t="s">
        <v>262</v>
      </c>
      <c r="B6" s="415"/>
      <c r="C6" s="415"/>
      <c r="D6" s="415"/>
      <c r="E6" s="415"/>
      <c r="F6" s="415"/>
      <c r="G6" s="416"/>
      <c r="H6" s="63"/>
      <c r="I6" s="64"/>
      <c r="J6" s="64"/>
      <c r="K6" s="65"/>
    </row>
    <row r="7" spans="1:11" s="24" customFormat="1" ht="15" customHeight="1" x14ac:dyDescent="0.3">
      <c r="A7" s="393" t="s">
        <v>138</v>
      </c>
      <c r="B7" s="394">
        <v>939540218.5400002</v>
      </c>
      <c r="C7" s="394">
        <v>1018971134.0399995</v>
      </c>
      <c r="D7" s="394">
        <v>991463705.73000002</v>
      </c>
      <c r="E7" s="394">
        <v>1590562643.6299996</v>
      </c>
      <c r="F7" s="394">
        <v>2135842954.1400008</v>
      </c>
      <c r="G7" s="395">
        <v>661952934</v>
      </c>
      <c r="H7" s="63"/>
      <c r="I7" s="64"/>
      <c r="J7" s="64"/>
      <c r="K7" s="65"/>
    </row>
    <row r="8" spans="1:11" s="24" customFormat="1" ht="15" customHeight="1" x14ac:dyDescent="0.3">
      <c r="A8" s="393" t="s">
        <v>139</v>
      </c>
      <c r="B8" s="394">
        <v>63345515.420000017</v>
      </c>
      <c r="C8" s="394">
        <v>40945773.31999997</v>
      </c>
      <c r="D8" s="394">
        <v>12387298.380000001</v>
      </c>
      <c r="E8" s="394">
        <v>11136749.540000001</v>
      </c>
      <c r="F8" s="394">
        <v>2449589.1500000004</v>
      </c>
      <c r="G8" s="395">
        <v>370691980.74000001</v>
      </c>
      <c r="H8" s="63"/>
      <c r="I8" s="65"/>
    </row>
    <row r="9" spans="1:11" s="24" customFormat="1" ht="15" customHeight="1" x14ac:dyDescent="0.3">
      <c r="A9" s="393" t="s">
        <v>140</v>
      </c>
      <c r="B9" s="394">
        <v>6427314.8599999994</v>
      </c>
      <c r="C9" s="394">
        <v>12855871.090000002</v>
      </c>
      <c r="D9" s="394">
        <v>14929242.099999998</v>
      </c>
      <c r="E9" s="394">
        <v>8500657.5299999956</v>
      </c>
      <c r="F9" s="394">
        <v>10774855.459999999</v>
      </c>
      <c r="G9" s="395">
        <v>374818</v>
      </c>
      <c r="H9" s="63"/>
      <c r="I9" s="65"/>
      <c r="J9" s="63"/>
      <c r="K9" s="63"/>
    </row>
    <row r="10" spans="1:11" s="24" customFormat="1" ht="15" customHeight="1" x14ac:dyDescent="0.3">
      <c r="A10" s="393" t="s">
        <v>141</v>
      </c>
      <c r="B10" s="394">
        <f>B7+B8+B9</f>
        <v>1009313048.8200003</v>
      </c>
      <c r="C10" s="394">
        <f t="shared" ref="C10:G10" si="0">C7+C8+C9</f>
        <v>1072772778.4499995</v>
      </c>
      <c r="D10" s="394">
        <f t="shared" si="0"/>
        <v>1018780246.21</v>
      </c>
      <c r="E10" s="394">
        <f t="shared" si="0"/>
        <v>1610200050.6999996</v>
      </c>
      <c r="F10" s="394">
        <f t="shared" si="0"/>
        <v>2149067398.750001</v>
      </c>
      <c r="G10" s="395">
        <f t="shared" si="0"/>
        <v>1033019732.74</v>
      </c>
      <c r="H10" s="63"/>
      <c r="I10" s="65"/>
      <c r="J10" s="63"/>
      <c r="K10" s="63"/>
    </row>
    <row r="11" spans="1:11" s="24" customFormat="1" ht="15" customHeight="1" x14ac:dyDescent="0.3">
      <c r="A11" s="396" t="s">
        <v>142</v>
      </c>
      <c r="B11" s="394">
        <f>B10*70.7%</f>
        <v>713584325.51574028</v>
      </c>
      <c r="C11" s="394">
        <f t="shared" ref="C11:G11" si="1">C10*70.7%</f>
        <v>758450354.36414969</v>
      </c>
      <c r="D11" s="394">
        <f t="shared" si="1"/>
        <v>720277634.07047009</v>
      </c>
      <c r="E11" s="394">
        <f t="shared" si="1"/>
        <v>1138411435.8448999</v>
      </c>
      <c r="F11" s="394">
        <f t="shared" si="1"/>
        <v>1519390650.9162509</v>
      </c>
      <c r="G11" s="395">
        <f t="shared" si="1"/>
        <v>730344951.04718006</v>
      </c>
      <c r="H11" s="63"/>
      <c r="I11" s="65"/>
      <c r="J11" s="63"/>
      <c r="K11" s="63"/>
    </row>
    <row r="12" spans="1:11" s="24" customFormat="1" ht="15" customHeight="1" x14ac:dyDescent="0.3">
      <c r="A12" s="168" t="s">
        <v>261</v>
      </c>
      <c r="B12" s="415"/>
      <c r="C12" s="415"/>
      <c r="D12" s="415"/>
      <c r="E12" s="415"/>
      <c r="F12" s="415"/>
      <c r="G12" s="416"/>
      <c r="H12" s="63"/>
      <c r="I12" s="65"/>
      <c r="J12" s="63"/>
      <c r="K12" s="63"/>
    </row>
    <row r="13" spans="1:11" s="24" customFormat="1" ht="15" customHeight="1" x14ac:dyDescent="0.3">
      <c r="A13" s="393" t="s">
        <v>143</v>
      </c>
      <c r="B13" s="397">
        <v>202450569.20043173</v>
      </c>
      <c r="C13" s="397">
        <v>231732284.94527251</v>
      </c>
      <c r="D13" s="397">
        <v>255881810.01173952</v>
      </c>
      <c r="E13" s="397">
        <v>383792100</v>
      </c>
      <c r="F13" s="397">
        <v>374750850</v>
      </c>
      <c r="G13" s="395"/>
      <c r="H13" s="63"/>
      <c r="I13" s="65"/>
      <c r="J13" s="63"/>
      <c r="K13" s="63"/>
    </row>
    <row r="14" spans="1:11" s="24" customFormat="1" ht="15" customHeight="1" x14ac:dyDescent="0.3">
      <c r="A14" s="733" t="s">
        <v>264</v>
      </c>
      <c r="B14" s="420"/>
      <c r="C14" s="420"/>
      <c r="D14" s="420"/>
      <c r="E14" s="420"/>
      <c r="F14" s="420"/>
      <c r="G14" s="421"/>
      <c r="H14" s="63"/>
    </row>
    <row r="15" spans="1:11" s="24" customFormat="1" ht="15" customHeight="1" x14ac:dyDescent="0.3">
      <c r="A15" s="393" t="s">
        <v>147</v>
      </c>
      <c r="B15" s="397">
        <v>809486.89199999999</v>
      </c>
      <c r="C15" s="397">
        <v>1070076.2249999999</v>
      </c>
      <c r="D15" s="397">
        <v>1537619.112</v>
      </c>
      <c r="E15" s="397">
        <v>1501735.1309999998</v>
      </c>
      <c r="F15" s="397">
        <v>1702694.439</v>
      </c>
      <c r="G15" s="401">
        <v>314889.13199999998</v>
      </c>
      <c r="H15" s="63"/>
      <c r="I15" s="65"/>
      <c r="J15" s="63"/>
      <c r="K15" s="63"/>
    </row>
    <row r="16" spans="1:11" s="24" customFormat="1" ht="15" customHeight="1" x14ac:dyDescent="0.3">
      <c r="A16" s="109" t="s">
        <v>263</v>
      </c>
      <c r="B16" s="418"/>
      <c r="C16" s="418"/>
      <c r="D16" s="418"/>
      <c r="E16" s="418"/>
      <c r="F16" s="418"/>
      <c r="G16" s="419"/>
      <c r="H16" s="63"/>
      <c r="I16" s="65"/>
      <c r="J16" s="63"/>
      <c r="K16" s="63"/>
    </row>
    <row r="17" spans="1:8" s="24" customFormat="1" ht="15" customHeight="1" x14ac:dyDescent="0.3">
      <c r="A17" s="398" t="s">
        <v>144</v>
      </c>
      <c r="B17" s="399">
        <v>452784974.77956831</v>
      </c>
      <c r="C17" s="399">
        <v>479596398.40472764</v>
      </c>
      <c r="D17" s="399">
        <v>486377638.34826076</v>
      </c>
      <c r="E17" s="399">
        <v>621405990</v>
      </c>
      <c r="F17" s="399">
        <v>430735332.5</v>
      </c>
      <c r="G17" s="400">
        <v>307530450</v>
      </c>
      <c r="H17" s="63"/>
    </row>
    <row r="18" spans="1:8" s="24" customFormat="1" ht="15" customHeight="1" x14ac:dyDescent="0.3">
      <c r="A18" s="733" t="s">
        <v>265</v>
      </c>
      <c r="B18" s="420"/>
      <c r="C18" s="420"/>
      <c r="D18" s="420"/>
      <c r="E18" s="420"/>
      <c r="F18" s="420"/>
      <c r="G18" s="421"/>
      <c r="H18" s="63"/>
    </row>
    <row r="19" spans="1:8" s="24" customFormat="1" ht="15" customHeight="1" x14ac:dyDescent="0.3">
      <c r="A19" s="398" t="s">
        <v>145</v>
      </c>
      <c r="B19" s="399">
        <v>159672131.20999989</v>
      </c>
      <c r="C19" s="399">
        <v>130472236.66</v>
      </c>
      <c r="D19" s="399">
        <v>148745225.33000004</v>
      </c>
      <c r="E19" s="399">
        <v>120881452.8</v>
      </c>
      <c r="F19" s="399">
        <v>165219653.14000013</v>
      </c>
      <c r="G19" s="401">
        <v>152771397</v>
      </c>
      <c r="H19" s="63"/>
    </row>
    <row r="20" spans="1:8" s="24" customFormat="1" ht="15" customHeight="1" x14ac:dyDescent="0.3">
      <c r="A20" s="417" t="s">
        <v>146</v>
      </c>
      <c r="B20" s="413">
        <v>3862901.41</v>
      </c>
      <c r="C20" s="413">
        <v>5766280.6399999997</v>
      </c>
      <c r="D20" s="413">
        <v>32364831.260000005</v>
      </c>
      <c r="E20" s="413">
        <v>37199375.929999985</v>
      </c>
      <c r="F20" s="413">
        <v>16073330.380000014</v>
      </c>
      <c r="G20" s="402">
        <v>11899744</v>
      </c>
      <c r="H20" s="63"/>
    </row>
    <row r="21" spans="1:8" s="24" customFormat="1" ht="15" customHeight="1" x14ac:dyDescent="0.3">
      <c r="A21" s="53" t="s">
        <v>307</v>
      </c>
      <c r="B21" s="403">
        <f t="shared" ref="B21:G21" si="2">SUM(B11:B13)</f>
        <v>916034894.71617198</v>
      </c>
      <c r="C21" s="403">
        <f t="shared" si="2"/>
        <v>990182639.30942225</v>
      </c>
      <c r="D21" s="403">
        <f t="shared" si="2"/>
        <v>976159444.08220959</v>
      </c>
      <c r="E21" s="403">
        <f t="shared" si="2"/>
        <v>1522203535.8448999</v>
      </c>
      <c r="F21" s="403">
        <f t="shared" si="2"/>
        <v>1894141500.9162509</v>
      </c>
      <c r="G21" s="404">
        <f t="shared" si="2"/>
        <v>730344951.04718006</v>
      </c>
      <c r="H21" s="64"/>
    </row>
    <row r="22" spans="1:8" s="24" customFormat="1" ht="15" customHeight="1" x14ac:dyDescent="0.3">
      <c r="A22" s="229" t="s">
        <v>312</v>
      </c>
      <c r="B22" s="88">
        <f>B21/B60</f>
        <v>5.8564674163360024E-2</v>
      </c>
      <c r="C22" s="88">
        <f>C21/C60</f>
        <v>5.3713161166137967E-2</v>
      </c>
      <c r="D22" s="88">
        <f>D21/D60</f>
        <v>4.595913917116435E-2</v>
      </c>
      <c r="E22" s="88">
        <f>E21/E60</f>
        <v>5.8860344301551577E-2</v>
      </c>
      <c r="F22" s="88">
        <f>F21/F60</f>
        <v>7.0693271558626092E-2</v>
      </c>
      <c r="G22" s="89">
        <f>G21/G60</f>
        <v>3.0243115456441597E-2</v>
      </c>
    </row>
    <row r="23" spans="1:8" s="24" customFormat="1" ht="15" customHeight="1" x14ac:dyDescent="0.3">
      <c r="A23" s="229" t="s">
        <v>271</v>
      </c>
      <c r="B23" s="88">
        <f>B21/B61</f>
        <v>0.17189222671567164</v>
      </c>
      <c r="C23" s="88">
        <f>C21/C61</f>
        <v>0.16170825409177361</v>
      </c>
      <c r="D23" s="88">
        <f>D21/D61</f>
        <v>0.14356054671829593</v>
      </c>
      <c r="E23" s="88">
        <f>E21/E61</f>
        <v>0.19449716915819579</v>
      </c>
      <c r="F23" s="88">
        <f>F21/F61</f>
        <v>0.22657243124436366</v>
      </c>
      <c r="G23" s="89">
        <f>G21/G61</f>
        <v>9.0918180404242877E-2</v>
      </c>
    </row>
    <row r="24" spans="1:8" s="24" customFormat="1" ht="15" customHeight="1" x14ac:dyDescent="0.3">
      <c r="A24" s="229" t="s">
        <v>309</v>
      </c>
      <c r="B24" s="88">
        <f>B21/B62</f>
        <v>1.3169866456404033E-2</v>
      </c>
      <c r="C24" s="88">
        <f>C21/C62</f>
        <v>1.2490215775343703E-2</v>
      </c>
      <c r="D24" s="88">
        <f>D21/D62</f>
        <v>1.110224062216586E-2</v>
      </c>
      <c r="E24" s="88">
        <f>E21/E62</f>
        <v>1.6061036607038455E-2</v>
      </c>
      <c r="F24" s="88">
        <f>F21/F62</f>
        <v>1.8769231336268358E-2</v>
      </c>
      <c r="G24" s="89">
        <f>G21/G62</f>
        <v>7.2403304814338048E-3</v>
      </c>
    </row>
    <row r="25" spans="1:8" s="24" customFormat="1" ht="15" customHeight="1" x14ac:dyDescent="0.3">
      <c r="A25" s="229" t="s">
        <v>310</v>
      </c>
      <c r="B25" s="399">
        <f>B21/B63</f>
        <v>228.59883816589462</v>
      </c>
      <c r="C25" s="399">
        <f>C21/C63</f>
        <v>258.52284792562517</v>
      </c>
      <c r="D25" s="399">
        <f>D21/D63</f>
        <v>265.2768448406822</v>
      </c>
      <c r="E25" s="399">
        <f>E21/E63</f>
        <v>388.71586323641242</v>
      </c>
      <c r="F25" s="399">
        <f>F21/F63</f>
        <v>475.42712538158639</v>
      </c>
      <c r="G25" s="400">
        <f>G21/G63</f>
        <v>175.51646901852374</v>
      </c>
      <c r="H25" s="25"/>
    </row>
    <row r="26" spans="1:8" s="24" customFormat="1" ht="15" customHeight="1" x14ac:dyDescent="0.3">
      <c r="A26" s="229" t="s">
        <v>311</v>
      </c>
      <c r="B26" s="405">
        <f>B25/B64</f>
        <v>7.9374596585380069E-2</v>
      </c>
      <c r="C26" s="405">
        <f>C25/C64</f>
        <v>8.1604434319957439E-2</v>
      </c>
      <c r="D26" s="405">
        <f>D25/D64</f>
        <v>7.5706862112066842E-2</v>
      </c>
      <c r="E26" s="405">
        <f>E25/E64</f>
        <v>0.10186474403469926</v>
      </c>
      <c r="F26" s="405">
        <f>F25/F64</f>
        <v>0.11652625622097705</v>
      </c>
      <c r="G26" s="406">
        <f>G25/G64</f>
        <v>4.131743620963365E-2</v>
      </c>
      <c r="H26" s="25"/>
    </row>
    <row r="27" spans="1:8" s="24" customFormat="1" ht="15" customHeight="1" thickBot="1" x14ac:dyDescent="0.35">
      <c r="A27" s="241" t="s">
        <v>602</v>
      </c>
      <c r="B27" s="407">
        <f>B25/B67</f>
        <v>9.1464750268711925E-2</v>
      </c>
      <c r="C27" s="407">
        <f>C25/C67</f>
        <v>9.5778702775871694E-2</v>
      </c>
      <c r="D27" s="407">
        <f>D25/D67</f>
        <v>8.9157490958675645E-2</v>
      </c>
      <c r="E27" s="407">
        <f>E25/E67</f>
        <v>0.12898774312597133</v>
      </c>
      <c r="F27" s="407">
        <f>F25/F67</f>
        <v>0.14800987125979986</v>
      </c>
      <c r="G27" s="408">
        <f>G25/G67</f>
        <v>5.6153597325344383E-2</v>
      </c>
    </row>
    <row r="28" spans="1:8" s="24" customFormat="1" ht="15" customHeight="1" x14ac:dyDescent="0.3">
      <c r="A28" s="195"/>
      <c r="B28" s="405"/>
      <c r="C28" s="405"/>
      <c r="D28" s="405"/>
      <c r="E28" s="405"/>
      <c r="F28" s="405"/>
      <c r="G28" s="405"/>
    </row>
    <row r="29" spans="1:8" s="24" customFormat="1" ht="15" customHeight="1" x14ac:dyDescent="0.3">
      <c r="A29" s="195"/>
      <c r="B29" s="195"/>
      <c r="C29" s="195"/>
      <c r="D29" s="195"/>
      <c r="E29" s="195"/>
      <c r="F29" s="195"/>
      <c r="G29" s="195"/>
    </row>
    <row r="30" spans="1:8" s="24" customFormat="1" ht="19.95" customHeight="1" thickBot="1" x14ac:dyDescent="0.3">
      <c r="A30" s="718" t="s">
        <v>518</v>
      </c>
      <c r="B30" s="390"/>
      <c r="C30" s="390"/>
      <c r="D30" s="390"/>
      <c r="E30" s="390"/>
      <c r="F30" s="390"/>
      <c r="G30" s="390"/>
    </row>
    <row r="31" spans="1:8" s="24" customFormat="1" ht="25.05" customHeight="1" thickBot="1" x14ac:dyDescent="0.3">
      <c r="A31" s="391" t="s">
        <v>260</v>
      </c>
      <c r="B31" s="375">
        <v>2010</v>
      </c>
      <c r="C31" s="375">
        <v>2011</v>
      </c>
      <c r="D31" s="375">
        <v>2012</v>
      </c>
      <c r="E31" s="375">
        <v>2013</v>
      </c>
      <c r="F31" s="375">
        <v>2014</v>
      </c>
      <c r="G31" s="392" t="s">
        <v>137</v>
      </c>
    </row>
    <row r="32" spans="1:8" s="24" customFormat="1" ht="4.95" customHeight="1" x14ac:dyDescent="0.3">
      <c r="A32" s="393"/>
      <c r="B32" s="394"/>
      <c r="C32" s="394"/>
      <c r="D32" s="394"/>
      <c r="E32" s="394"/>
      <c r="F32" s="394"/>
      <c r="G32" s="395"/>
    </row>
    <row r="33" spans="1:11" s="24" customFormat="1" ht="15" customHeight="1" x14ac:dyDescent="0.3">
      <c r="A33" s="733" t="s">
        <v>262</v>
      </c>
      <c r="B33" s="415"/>
      <c r="C33" s="415"/>
      <c r="D33" s="415"/>
      <c r="E33" s="415"/>
      <c r="F33" s="415"/>
      <c r="G33" s="416"/>
      <c r="H33" s="63"/>
      <c r="I33" s="64"/>
      <c r="J33" s="64"/>
      <c r="K33" s="65"/>
    </row>
    <row r="34" spans="1:11" s="24" customFormat="1" ht="15" customHeight="1" x14ac:dyDescent="0.3">
      <c r="A34" s="393" t="s">
        <v>138</v>
      </c>
      <c r="B34" s="394">
        <v>939540218.5400002</v>
      </c>
      <c r="C34" s="394">
        <v>1018971134.0399995</v>
      </c>
      <c r="D34" s="394">
        <v>991463705.73000002</v>
      </c>
      <c r="E34" s="394">
        <v>1590562643.6299996</v>
      </c>
      <c r="F34" s="394">
        <v>2135842954.1400008</v>
      </c>
      <c r="G34" s="395">
        <v>661952934</v>
      </c>
    </row>
    <row r="35" spans="1:11" s="24" customFormat="1" ht="15" customHeight="1" x14ac:dyDescent="0.3">
      <c r="A35" s="393" t="s">
        <v>139</v>
      </c>
      <c r="B35" s="394">
        <v>63345515.420000017</v>
      </c>
      <c r="C35" s="394">
        <v>40945773.31999997</v>
      </c>
      <c r="D35" s="394">
        <v>12387298.380000001</v>
      </c>
      <c r="E35" s="394">
        <v>11136749.540000001</v>
      </c>
      <c r="F35" s="394">
        <v>2449589.1500000004</v>
      </c>
      <c r="G35" s="395">
        <v>370691980.74000001</v>
      </c>
    </row>
    <row r="36" spans="1:11" s="24" customFormat="1" ht="15" customHeight="1" x14ac:dyDescent="0.3">
      <c r="A36" s="393" t="s">
        <v>140</v>
      </c>
      <c r="B36" s="394">
        <v>6427314.8599999994</v>
      </c>
      <c r="C36" s="394">
        <v>12855871.090000002</v>
      </c>
      <c r="D36" s="394">
        <v>14929242.099999998</v>
      </c>
      <c r="E36" s="394">
        <v>8500657.5299999956</v>
      </c>
      <c r="F36" s="394">
        <v>10774855.459999999</v>
      </c>
      <c r="G36" s="395">
        <v>374818</v>
      </c>
    </row>
    <row r="37" spans="1:11" s="24" customFormat="1" ht="15" customHeight="1" x14ac:dyDescent="0.3">
      <c r="A37" s="393" t="s">
        <v>141</v>
      </c>
      <c r="B37" s="394">
        <f>B34+B35+B36</f>
        <v>1009313048.8200003</v>
      </c>
      <c r="C37" s="394">
        <f t="shared" ref="C37:G37" si="3">C34+C35+C36</f>
        <v>1072772778.4499995</v>
      </c>
      <c r="D37" s="394">
        <f t="shared" si="3"/>
        <v>1018780246.21</v>
      </c>
      <c r="E37" s="394">
        <f t="shared" si="3"/>
        <v>1610200050.6999996</v>
      </c>
      <c r="F37" s="394">
        <f t="shared" si="3"/>
        <v>2149067398.750001</v>
      </c>
      <c r="G37" s="395">
        <f t="shared" si="3"/>
        <v>1033019732.74</v>
      </c>
    </row>
    <row r="38" spans="1:11" s="24" customFormat="1" ht="15" customHeight="1" x14ac:dyDescent="0.3">
      <c r="A38" s="396" t="s">
        <v>142</v>
      </c>
      <c r="B38" s="394">
        <f>B37*70.7%</f>
        <v>713584325.51574028</v>
      </c>
      <c r="C38" s="394">
        <f t="shared" ref="C38:G38" si="4">C37*70.7%</f>
        <v>758450354.36414969</v>
      </c>
      <c r="D38" s="394">
        <f t="shared" si="4"/>
        <v>720277634.07047009</v>
      </c>
      <c r="E38" s="394">
        <f t="shared" si="4"/>
        <v>1138411435.8448999</v>
      </c>
      <c r="F38" s="394">
        <f t="shared" si="4"/>
        <v>1519390650.9162509</v>
      </c>
      <c r="G38" s="395">
        <f t="shared" si="4"/>
        <v>730344951.04718006</v>
      </c>
    </row>
    <row r="39" spans="1:11" s="24" customFormat="1" ht="15" customHeight="1" x14ac:dyDescent="0.3">
      <c r="A39" s="168" t="s">
        <v>261</v>
      </c>
      <c r="B39" s="415"/>
      <c r="C39" s="415"/>
      <c r="D39" s="415"/>
      <c r="E39" s="415"/>
      <c r="F39" s="415"/>
      <c r="G39" s="416"/>
    </row>
    <row r="40" spans="1:11" s="24" customFormat="1" ht="15" customHeight="1" x14ac:dyDescent="0.3">
      <c r="A40" s="393" t="s">
        <v>143</v>
      </c>
      <c r="B40" s="397">
        <v>202450569.20043173</v>
      </c>
      <c r="C40" s="397">
        <v>231732284.94527251</v>
      </c>
      <c r="D40" s="397">
        <v>255881810.01173952</v>
      </c>
      <c r="E40" s="397">
        <v>383792100</v>
      </c>
      <c r="F40" s="397">
        <v>374750850</v>
      </c>
      <c r="G40" s="395"/>
    </row>
    <row r="41" spans="1:11" s="24" customFormat="1" ht="15" customHeight="1" x14ac:dyDescent="0.3">
      <c r="A41" s="733" t="s">
        <v>264</v>
      </c>
      <c r="B41" s="420"/>
      <c r="C41" s="420"/>
      <c r="D41" s="420"/>
      <c r="E41" s="420"/>
      <c r="F41" s="420"/>
      <c r="G41" s="421"/>
    </row>
    <row r="42" spans="1:11" s="24" customFormat="1" ht="15" customHeight="1" x14ac:dyDescent="0.3">
      <c r="A42" s="393" t="s">
        <v>147</v>
      </c>
      <c r="B42" s="397">
        <v>809486.89199999999</v>
      </c>
      <c r="C42" s="397">
        <v>1070076.2249999999</v>
      </c>
      <c r="D42" s="397">
        <v>1537619.112</v>
      </c>
      <c r="E42" s="397">
        <v>1501735.1309999998</v>
      </c>
      <c r="F42" s="397">
        <v>1702694.439</v>
      </c>
      <c r="G42" s="401">
        <v>314889.13199999998</v>
      </c>
    </row>
    <row r="43" spans="1:11" s="24" customFormat="1" ht="15" customHeight="1" x14ac:dyDescent="0.3">
      <c r="A43" s="109" t="s">
        <v>263</v>
      </c>
      <c r="B43" s="418"/>
      <c r="C43" s="418"/>
      <c r="D43" s="418"/>
      <c r="E43" s="418"/>
      <c r="F43" s="418"/>
      <c r="G43" s="419"/>
    </row>
    <row r="44" spans="1:11" s="24" customFormat="1" ht="15" customHeight="1" x14ac:dyDescent="0.3">
      <c r="A44" s="398" t="s">
        <v>144</v>
      </c>
      <c r="B44" s="399">
        <v>452784974.77956831</v>
      </c>
      <c r="C44" s="399">
        <v>479596398.40472764</v>
      </c>
      <c r="D44" s="399">
        <v>486377638.34826076</v>
      </c>
      <c r="E44" s="399">
        <v>621405990</v>
      </c>
      <c r="F44" s="399">
        <v>430735332.5</v>
      </c>
      <c r="G44" s="400">
        <v>307530450</v>
      </c>
    </row>
    <row r="45" spans="1:11" s="24" customFormat="1" ht="15" customHeight="1" x14ac:dyDescent="0.3">
      <c r="A45" s="733" t="s">
        <v>265</v>
      </c>
      <c r="B45" s="420"/>
      <c r="C45" s="420"/>
      <c r="D45" s="420"/>
      <c r="E45" s="420"/>
      <c r="F45" s="420"/>
      <c r="G45" s="421"/>
    </row>
    <row r="46" spans="1:11" s="24" customFormat="1" ht="15" customHeight="1" x14ac:dyDescent="0.3">
      <c r="A46" s="398" t="s">
        <v>145</v>
      </c>
      <c r="B46" s="399">
        <v>159672131.20999989</v>
      </c>
      <c r="C46" s="399">
        <v>130472236.66</v>
      </c>
      <c r="D46" s="399">
        <v>148745225.33000004</v>
      </c>
      <c r="E46" s="399">
        <v>120881452.8</v>
      </c>
      <c r="F46" s="399">
        <v>165219653.14000013</v>
      </c>
      <c r="G46" s="401">
        <v>152771397</v>
      </c>
    </row>
    <row r="47" spans="1:11" s="24" customFormat="1" ht="15" customHeight="1" x14ac:dyDescent="0.3">
      <c r="A47" s="417" t="s">
        <v>146</v>
      </c>
      <c r="B47" s="413">
        <v>3862901.41</v>
      </c>
      <c r="C47" s="413">
        <v>5766280.6399999997</v>
      </c>
      <c r="D47" s="413">
        <v>32364831.260000005</v>
      </c>
      <c r="E47" s="413">
        <v>37199375.929999985</v>
      </c>
      <c r="F47" s="413">
        <v>16073330.380000014</v>
      </c>
      <c r="G47" s="402">
        <v>11899744</v>
      </c>
    </row>
    <row r="48" spans="1:11" s="24" customFormat="1" ht="15" customHeight="1" x14ac:dyDescent="0.3">
      <c r="A48" s="53" t="s">
        <v>308</v>
      </c>
      <c r="B48" s="403">
        <f t="shared" ref="B48:G48" si="5">SUM(B38:B47)</f>
        <v>1533164389.00774</v>
      </c>
      <c r="C48" s="403">
        <f t="shared" si="5"/>
        <v>1607087631.23915</v>
      </c>
      <c r="D48" s="403">
        <f t="shared" si="5"/>
        <v>1645184758.1324704</v>
      </c>
      <c r="E48" s="403">
        <f t="shared" si="5"/>
        <v>2303192089.7058997</v>
      </c>
      <c r="F48" s="403">
        <f t="shared" si="5"/>
        <v>2507872511.3752513</v>
      </c>
      <c r="G48" s="404">
        <f t="shared" si="5"/>
        <v>1202861431.1791801</v>
      </c>
      <c r="H48" s="64"/>
    </row>
    <row r="49" spans="1:8" s="24" customFormat="1" ht="15" customHeight="1" x14ac:dyDescent="0.3">
      <c r="A49" s="229" t="s">
        <v>319</v>
      </c>
      <c r="B49" s="88">
        <f>B48/B60</f>
        <v>9.8019489649382757E-2</v>
      </c>
      <c r="C49" s="88">
        <f>C48/C60</f>
        <v>8.7177610996147431E-2</v>
      </c>
      <c r="D49" s="88">
        <f>D48/D60</f>
        <v>7.7457915015490833E-2</v>
      </c>
      <c r="E49" s="88">
        <f>E48/E60</f>
        <v>8.9059495790392421E-2</v>
      </c>
      <c r="F49" s="88">
        <f>F48/F60</f>
        <v>9.3598980010365679E-2</v>
      </c>
      <c r="G49" s="89">
        <f>G48/G60</f>
        <v>4.9809719488157995E-2</v>
      </c>
    </row>
    <row r="50" spans="1:8" s="24" customFormat="1" ht="15" customHeight="1" x14ac:dyDescent="0.3">
      <c r="A50" s="229" t="s">
        <v>316</v>
      </c>
      <c r="B50" s="88">
        <f>B48/B61</f>
        <v>0.28769541670065818</v>
      </c>
      <c r="C50" s="88">
        <f>C48/C61</f>
        <v>0.26245595984334091</v>
      </c>
      <c r="D50" s="88">
        <f>D48/D61</f>
        <v>0.24195189091487615</v>
      </c>
      <c r="E50" s="88">
        <f>E48/E61</f>
        <v>0.29428675661740861</v>
      </c>
      <c r="F50" s="88">
        <f>F48/F61</f>
        <v>0.29998538751108977</v>
      </c>
      <c r="G50" s="89">
        <f>G48/G61</f>
        <v>0.14974016380129632</v>
      </c>
    </row>
    <row r="51" spans="1:8" s="24" customFormat="1" ht="15" customHeight="1" x14ac:dyDescent="0.3">
      <c r="A51" s="229" t="s">
        <v>317</v>
      </c>
      <c r="B51" s="88">
        <f>B48/B62</f>
        <v>2.204235927628331E-2</v>
      </c>
      <c r="C51" s="88">
        <f>C48/C62</f>
        <v>2.02718877176662E-2</v>
      </c>
      <c r="D51" s="88">
        <f>D48/D62</f>
        <v>1.8711325453475997E-2</v>
      </c>
      <c r="E51" s="88">
        <f>E48/E62</f>
        <v>2.4301383878520304E-2</v>
      </c>
      <c r="F51" s="88">
        <f>F48/F62</f>
        <v>2.4850751279722694E-2</v>
      </c>
      <c r="G51" s="89">
        <f>G48/G62</f>
        <v>1.1924658714516263E-2</v>
      </c>
    </row>
    <row r="52" spans="1:8" s="24" customFormat="1" ht="15" customHeight="1" x14ac:dyDescent="0.3">
      <c r="A52" s="229" t="s">
        <v>318</v>
      </c>
      <c r="B52" s="399">
        <f>B48/B63</f>
        <v>382.60507330682759</v>
      </c>
      <c r="C52" s="399">
        <f>C48/C63</f>
        <v>419.58811920167597</v>
      </c>
      <c r="D52" s="399">
        <f>D48/D63</f>
        <v>447.08825434526824</v>
      </c>
      <c r="E52" s="399">
        <f>E48/E63</f>
        <v>588.15216248487798</v>
      </c>
      <c r="F52" s="399">
        <f>F48/F63</f>
        <v>629.47283417309666</v>
      </c>
      <c r="G52" s="400">
        <f>G48/G63</f>
        <v>289.07161036223727</v>
      </c>
    </row>
    <row r="53" spans="1:8" s="24" customFormat="1" ht="15" customHeight="1" x14ac:dyDescent="0.3">
      <c r="A53" s="229" t="s">
        <v>338</v>
      </c>
      <c r="B53" s="405">
        <f>B52/B64</f>
        <v>0.13284898378709292</v>
      </c>
      <c r="C53" s="405">
        <f>C52/C64</f>
        <v>0.13244574469749873</v>
      </c>
      <c r="D53" s="405">
        <f>D52/D64</f>
        <v>0.12759367989305601</v>
      </c>
      <c r="E53" s="405">
        <f>E52/E64</f>
        <v>0.15412792517947535</v>
      </c>
      <c r="F53" s="405">
        <f>F52/F64</f>
        <v>0.15428255739536684</v>
      </c>
      <c r="G53" s="406">
        <f>G52/G64</f>
        <v>6.8048872495818563E-2</v>
      </c>
    </row>
    <row r="54" spans="1:8" s="24" customFormat="1" ht="15" customHeight="1" thickBot="1" x14ac:dyDescent="0.35">
      <c r="A54" s="241" t="s">
        <v>603</v>
      </c>
      <c r="B54" s="407">
        <f>B52/B67</f>
        <v>0.15308423158369402</v>
      </c>
      <c r="C54" s="407">
        <f>C52/C67</f>
        <v>0.15545088598461509</v>
      </c>
      <c r="D54" s="407">
        <f>D52/D67</f>
        <v>0.15026289617722904</v>
      </c>
      <c r="E54" s="407">
        <f>E52/E67</f>
        <v>0.19516677148687431</v>
      </c>
      <c r="F54" s="407">
        <f>F52/F67</f>
        <v>0.19596734846107677</v>
      </c>
      <c r="G54" s="408">
        <f>G52/G67</f>
        <v>9.2483690546194708E-2</v>
      </c>
    </row>
    <row r="55" spans="1:8" s="24" customFormat="1" ht="15" customHeight="1" x14ac:dyDescent="0.3">
      <c r="A55" s="297" t="s">
        <v>523</v>
      </c>
      <c r="B55" s="88"/>
      <c r="C55" s="88"/>
      <c r="D55" s="88"/>
      <c r="E55" s="88"/>
      <c r="F55" s="88"/>
      <c r="G55" s="88"/>
    </row>
    <row r="56" spans="1:8" s="24" customFormat="1" ht="15" customHeight="1" x14ac:dyDescent="0.3">
      <c r="A56" s="297"/>
      <c r="B56" s="88"/>
      <c r="C56" s="88"/>
      <c r="D56" s="88"/>
      <c r="E56" s="88"/>
      <c r="F56" s="88"/>
      <c r="G56" s="88"/>
    </row>
    <row r="57" spans="1:8" s="24" customFormat="1" ht="15" customHeight="1" thickBot="1" x14ac:dyDescent="0.35">
      <c r="A57" s="422"/>
      <c r="B57" s="88"/>
      <c r="C57" s="88"/>
      <c r="D57" s="88"/>
      <c r="E57" s="88"/>
      <c r="F57" s="88"/>
      <c r="G57" s="88"/>
    </row>
    <row r="58" spans="1:8" s="22" customFormat="1" ht="25.05" customHeight="1" thickBot="1" x14ac:dyDescent="0.35">
      <c r="A58" s="721" t="s">
        <v>292</v>
      </c>
      <c r="B58" s="411" t="s">
        <v>182</v>
      </c>
      <c r="C58" s="411" t="s">
        <v>183</v>
      </c>
      <c r="D58" s="411" t="s">
        <v>184</v>
      </c>
      <c r="E58" s="411" t="s">
        <v>185</v>
      </c>
      <c r="F58" s="411" t="s">
        <v>186</v>
      </c>
      <c r="G58" s="412" t="s">
        <v>187</v>
      </c>
    </row>
    <row r="59" spans="1:8" s="24" customFormat="1" ht="4.95" customHeight="1" x14ac:dyDescent="0.3">
      <c r="A59" s="22"/>
      <c r="B59" s="399"/>
      <c r="C59" s="399"/>
      <c r="D59" s="399"/>
      <c r="E59" s="399"/>
      <c r="F59" s="399"/>
      <c r="G59" s="400"/>
    </row>
    <row r="60" spans="1:8" s="24" customFormat="1" ht="15" customHeight="1" x14ac:dyDescent="0.3">
      <c r="A60" s="22" t="s">
        <v>346</v>
      </c>
      <c r="B60" s="399">
        <v>15641423909.590765</v>
      </c>
      <c r="C60" s="399">
        <v>18434637206.451675</v>
      </c>
      <c r="D60" s="399">
        <v>21239724278.706047</v>
      </c>
      <c r="E60" s="399">
        <v>25861274749.709103</v>
      </c>
      <c r="F60" s="399">
        <v>26793801717.684479</v>
      </c>
      <c r="G60" s="400">
        <v>24149130802.978207</v>
      </c>
    </row>
    <row r="61" spans="1:8" s="24" customFormat="1" ht="15" customHeight="1" x14ac:dyDescent="0.3">
      <c r="A61" s="22" t="s">
        <v>519</v>
      </c>
      <c r="B61" s="95">
        <v>5329123440.999999</v>
      </c>
      <c r="C61" s="95">
        <v>6123265907.9200001</v>
      </c>
      <c r="D61" s="95">
        <v>6799635877.6599998</v>
      </c>
      <c r="E61" s="95">
        <v>7826353167.1599998</v>
      </c>
      <c r="F61" s="95">
        <v>8359982238.4099989</v>
      </c>
      <c r="G61" s="59">
        <v>8032991287.329999</v>
      </c>
    </row>
    <row r="62" spans="1:8" s="24" customFormat="1" ht="15" customHeight="1" x14ac:dyDescent="0.3">
      <c r="A62" s="195" t="s">
        <v>387</v>
      </c>
      <c r="B62" s="399">
        <v>69555367000</v>
      </c>
      <c r="C62" s="399">
        <v>79276664000</v>
      </c>
      <c r="D62" s="399">
        <v>87924544000</v>
      </c>
      <c r="E62" s="399">
        <v>94776170000</v>
      </c>
      <c r="F62" s="399">
        <v>100917372000</v>
      </c>
      <c r="G62" s="400">
        <v>100871770000</v>
      </c>
    </row>
    <row r="63" spans="1:8" s="24" customFormat="1" ht="15" customHeight="1" x14ac:dyDescent="0.3">
      <c r="A63" s="22" t="s">
        <v>383</v>
      </c>
      <c r="B63" s="399">
        <v>4007172.1364191873</v>
      </c>
      <c r="C63" s="399">
        <v>3830155.2348451978</v>
      </c>
      <c r="D63" s="399">
        <v>3679776.290570945</v>
      </c>
      <c r="E63" s="399">
        <v>3915979.9735754896</v>
      </c>
      <c r="F63" s="399">
        <v>3984083.7844411563</v>
      </c>
      <c r="G63" s="395">
        <v>4161119.2108137761</v>
      </c>
      <c r="H63" s="25"/>
    </row>
    <row r="64" spans="1:8" s="24" customFormat="1" ht="15" customHeight="1" x14ac:dyDescent="0.3">
      <c r="A64" s="195" t="s">
        <v>367</v>
      </c>
      <c r="B64" s="394">
        <f>240*12</f>
        <v>2880</v>
      </c>
      <c r="C64" s="394">
        <f>264*12</f>
        <v>3168</v>
      </c>
      <c r="D64" s="394">
        <f>292*12</f>
        <v>3504</v>
      </c>
      <c r="E64" s="394">
        <f>318*12</f>
        <v>3816</v>
      </c>
      <c r="F64" s="394">
        <f>340*12</f>
        <v>4080</v>
      </c>
      <c r="G64" s="395">
        <f>354*12</f>
        <v>4248</v>
      </c>
    </row>
    <row r="65" spans="1:8" s="24" customFormat="1" ht="15" customHeight="1" x14ac:dyDescent="0.3">
      <c r="A65" s="22" t="s">
        <v>520</v>
      </c>
      <c r="B65" s="394">
        <f>324.7946*12</f>
        <v>3897.5352000000003</v>
      </c>
      <c r="C65" s="394">
        <f>344.7492*12</f>
        <v>4136.9903999999997</v>
      </c>
      <c r="D65" s="394">
        <f>375.7636*12</f>
        <v>4509.1632</v>
      </c>
      <c r="E65" s="394">
        <f>423.0576*12</f>
        <v>5076.6911999999993</v>
      </c>
      <c r="F65" s="394">
        <f>445.8091*12</f>
        <v>5349.7092000000002</v>
      </c>
      <c r="G65" s="395">
        <f>461.6758*12</f>
        <v>5540.1095999999998</v>
      </c>
      <c r="H65" s="388"/>
    </row>
    <row r="66" spans="1:8" s="24" customFormat="1" ht="15" customHeight="1" x14ac:dyDescent="0.3">
      <c r="A66" s="22" t="s">
        <v>526</v>
      </c>
      <c r="B66" s="399">
        <f>488.9709*12</f>
        <v>5867.6507999999994</v>
      </c>
      <c r="C66" s="399">
        <f>489.5948*12</f>
        <v>5875.1376</v>
      </c>
      <c r="D66" s="399">
        <f>512.662*12</f>
        <v>6151.9440000000004</v>
      </c>
      <c r="E66" s="399">
        <f>621.0219*12</f>
        <v>7452.2627999999995</v>
      </c>
      <c r="F66" s="399">
        <f>638.4047*12</f>
        <v>7660.8564000000006</v>
      </c>
      <c r="G66" s="400">
        <f>671.9449*12</f>
        <v>8063.3387999999995</v>
      </c>
      <c r="H66" s="388"/>
    </row>
    <row r="67" spans="1:8" s="24" customFormat="1" ht="15" customHeight="1" x14ac:dyDescent="0.3">
      <c r="A67" s="124" t="s">
        <v>527</v>
      </c>
      <c r="B67" s="413">
        <f>208.2759*12</f>
        <v>2499.3108000000002</v>
      </c>
      <c r="C67" s="413">
        <f>224.9307*12</f>
        <v>2699.1684</v>
      </c>
      <c r="D67" s="413">
        <f>247.9478*12</f>
        <v>2975.3735999999999</v>
      </c>
      <c r="E67" s="403">
        <f>251.1323*12</f>
        <v>3013.5875999999998</v>
      </c>
      <c r="F67" s="413">
        <f>267.6776*12</f>
        <v>3212.1311999999998</v>
      </c>
      <c r="G67" s="414">
        <f>260.4708*12</f>
        <v>3125.6495999999997</v>
      </c>
      <c r="H67" s="388"/>
    </row>
    <row r="68" spans="1:8" x14ac:dyDescent="0.3">
      <c r="A68" s="10" t="s">
        <v>126</v>
      </c>
    </row>
    <row r="69" spans="1:8" x14ac:dyDescent="0.3">
      <c r="A69" s="57" t="s">
        <v>521</v>
      </c>
    </row>
    <row r="70" spans="1:8" x14ac:dyDescent="0.3">
      <c r="A70" s="242" t="s">
        <v>524</v>
      </c>
    </row>
    <row r="71" spans="1:8" x14ac:dyDescent="0.3">
      <c r="A71" s="57" t="s">
        <v>525</v>
      </c>
    </row>
    <row r="72" spans="1:8" x14ac:dyDescent="0.3">
      <c r="A72" s="57" t="s">
        <v>522</v>
      </c>
    </row>
    <row r="75" spans="1:8" x14ac:dyDescent="0.3">
      <c r="A75" s="57"/>
    </row>
    <row r="76" spans="1:8" x14ac:dyDescent="0.3">
      <c r="A76" s="242"/>
    </row>
    <row r="79" spans="1:8" x14ac:dyDescent="0.3">
      <c r="A79" s="14"/>
    </row>
    <row r="80" spans="1:8" x14ac:dyDescent="0.3">
      <c r="A80" s="14"/>
    </row>
    <row r="81" spans="1:1" x14ac:dyDescent="0.3">
      <c r="A81" s="14"/>
    </row>
  </sheetData>
  <printOptions horizontalCentered="1" verticalCentered="1"/>
  <pageMargins left="0.31496062992125984" right="0.31496062992125984" top="0.35433070866141736" bottom="0.35433070866141736" header="0.31496062992125984" footer="0.31496062992125984"/>
  <pageSetup scale="64" orientation="landscape" r:id="rId1"/>
  <ignoredErrors>
    <ignoredError sqref="B58:G5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88"/>
  <sheetViews>
    <sheetView showGridLines="0" zoomScale="70" zoomScaleNormal="70" workbookViewId="0">
      <pane xSplit="1" ySplit="4" topLeftCell="B5" activePane="bottomRight" state="frozen"/>
      <selection pane="topRight" activeCell="C1" sqref="C1"/>
      <selection pane="bottomLeft" activeCell="A5" sqref="A5"/>
      <selection pane="bottomRight" activeCell="I38" sqref="I38"/>
    </sheetView>
  </sheetViews>
  <sheetFormatPr defaultColWidth="11.44140625" defaultRowHeight="14.4" x14ac:dyDescent="0.3"/>
  <cols>
    <col min="1" max="1" width="78.6640625" style="1" customWidth="1"/>
    <col min="2" max="24" width="12.77734375" style="1" customWidth="1"/>
    <col min="25" max="16384" width="11.44140625" style="1"/>
  </cols>
  <sheetData>
    <row r="1" spans="1:26" ht="30" customHeight="1" x14ac:dyDescent="0.3">
      <c r="A1" s="714" t="s">
        <v>528</v>
      </c>
    </row>
    <row r="2" spans="1:26" s="14" customFormat="1" ht="30" customHeight="1" x14ac:dyDescent="0.3">
      <c r="A2" s="484"/>
      <c r="B2" s="484"/>
      <c r="C2" s="484"/>
      <c r="D2" s="484"/>
      <c r="E2" s="484"/>
      <c r="F2" s="484"/>
      <c r="G2" s="484"/>
      <c r="H2" s="484"/>
      <c r="I2" s="484"/>
      <c r="J2" s="484"/>
      <c r="K2" s="484"/>
      <c r="L2" s="484"/>
      <c r="M2" s="484"/>
      <c r="N2" s="484"/>
      <c r="O2" s="484"/>
      <c r="P2" s="484"/>
      <c r="Q2" s="484"/>
      <c r="R2" s="484"/>
      <c r="S2" s="484"/>
      <c r="T2" s="484"/>
      <c r="U2" s="484"/>
      <c r="V2" s="484"/>
      <c r="W2" s="56"/>
      <c r="X2" s="56"/>
    </row>
    <row r="3" spans="1:26" s="12" customFormat="1" ht="19.95" customHeight="1" thickBot="1" x14ac:dyDescent="0.35">
      <c r="A3" s="718" t="s">
        <v>517</v>
      </c>
      <c r="B3" s="474"/>
      <c r="C3" s="474"/>
      <c r="D3" s="474"/>
      <c r="E3" s="474"/>
      <c r="F3" s="474"/>
      <c r="G3" s="474"/>
      <c r="H3" s="474"/>
      <c r="I3" s="474"/>
      <c r="J3" s="474"/>
      <c r="K3" s="474"/>
      <c r="L3" s="474"/>
      <c r="M3" s="474"/>
      <c r="N3" s="474"/>
      <c r="O3" s="474"/>
      <c r="P3" s="474"/>
      <c r="Q3" s="474"/>
      <c r="R3" s="474"/>
      <c r="S3" s="474"/>
      <c r="T3" s="474"/>
      <c r="U3" s="474"/>
      <c r="V3" s="474"/>
      <c r="W3" s="467"/>
      <c r="X3" s="467"/>
    </row>
    <row r="4" spans="1:26" s="12" customFormat="1" ht="25.05" customHeight="1" thickBot="1" x14ac:dyDescent="0.35">
      <c r="A4" s="410" t="s">
        <v>260</v>
      </c>
      <c r="B4" s="375">
        <v>1995</v>
      </c>
      <c r="C4" s="375">
        <v>1996</v>
      </c>
      <c r="D4" s="375">
        <v>1997</v>
      </c>
      <c r="E4" s="375">
        <v>1998</v>
      </c>
      <c r="F4" s="375">
        <v>1999</v>
      </c>
      <c r="G4" s="375">
        <v>2000</v>
      </c>
      <c r="H4" s="375">
        <v>2001</v>
      </c>
      <c r="I4" s="375">
        <v>2002</v>
      </c>
      <c r="J4" s="375">
        <v>2003</v>
      </c>
      <c r="K4" s="375">
        <v>2004</v>
      </c>
      <c r="L4" s="375">
        <v>2005</v>
      </c>
      <c r="M4" s="375">
        <v>2006</v>
      </c>
      <c r="N4" s="375">
        <v>2007</v>
      </c>
      <c r="O4" s="375">
        <v>2008</v>
      </c>
      <c r="P4" s="375">
        <v>2009</v>
      </c>
      <c r="Q4" s="375">
        <v>2010</v>
      </c>
      <c r="R4" s="375">
        <v>2011</v>
      </c>
      <c r="S4" s="375">
        <v>2012</v>
      </c>
      <c r="T4" s="375">
        <v>2013</v>
      </c>
      <c r="U4" s="375">
        <v>2014</v>
      </c>
      <c r="V4" s="375">
        <v>2015</v>
      </c>
      <c r="W4" s="375">
        <v>2016</v>
      </c>
      <c r="X4" s="392">
        <v>2017</v>
      </c>
    </row>
    <row r="5" spans="1:26" s="12" customFormat="1" ht="4.95" customHeight="1" x14ac:dyDescent="0.3">
      <c r="A5" s="468"/>
      <c r="B5" s="464"/>
      <c r="C5" s="464"/>
      <c r="D5" s="464"/>
      <c r="E5" s="464"/>
      <c r="F5" s="464"/>
      <c r="G5" s="464"/>
      <c r="H5" s="464"/>
      <c r="I5" s="464"/>
      <c r="J5" s="464"/>
      <c r="K5" s="464"/>
      <c r="L5" s="464"/>
      <c r="M5" s="464"/>
      <c r="N5" s="464"/>
      <c r="O5" s="464"/>
      <c r="P5" s="464"/>
      <c r="Q5" s="464"/>
      <c r="R5" s="464"/>
      <c r="S5" s="464"/>
      <c r="T5" s="464"/>
      <c r="U5" s="464"/>
      <c r="V5" s="464"/>
      <c r="W5" s="464"/>
      <c r="X5" s="479"/>
      <c r="Y5" s="469"/>
      <c r="Z5" s="469"/>
    </row>
    <row r="6" spans="1:26" s="12" customFormat="1" ht="15" customHeight="1" x14ac:dyDescent="0.3">
      <c r="A6" s="168" t="s">
        <v>261</v>
      </c>
      <c r="B6" s="504"/>
      <c r="C6" s="504"/>
      <c r="D6" s="504"/>
      <c r="E6" s="504"/>
      <c r="F6" s="504"/>
      <c r="G6" s="504"/>
      <c r="H6" s="504"/>
      <c r="I6" s="504"/>
      <c r="J6" s="504"/>
      <c r="K6" s="504"/>
      <c r="L6" s="504"/>
      <c r="M6" s="504"/>
      <c r="N6" s="504"/>
      <c r="O6" s="504"/>
      <c r="P6" s="504"/>
      <c r="Q6" s="504"/>
      <c r="R6" s="504"/>
      <c r="S6" s="504"/>
      <c r="T6" s="504"/>
      <c r="U6" s="504"/>
      <c r="V6" s="504"/>
      <c r="W6" s="504"/>
      <c r="X6" s="505"/>
      <c r="Y6" s="469"/>
      <c r="Z6" s="469"/>
    </row>
    <row r="7" spans="1:26" s="12" customFormat="1" ht="15" customHeight="1" x14ac:dyDescent="0.3">
      <c r="A7" s="468" t="s">
        <v>53</v>
      </c>
      <c r="B7" s="233">
        <v>0</v>
      </c>
      <c r="C7" s="233">
        <v>0</v>
      </c>
      <c r="D7" s="233">
        <v>0</v>
      </c>
      <c r="E7" s="233">
        <v>0</v>
      </c>
      <c r="F7" s="233">
        <v>0</v>
      </c>
      <c r="G7" s="233">
        <v>0</v>
      </c>
      <c r="H7" s="233">
        <v>0</v>
      </c>
      <c r="I7" s="233">
        <v>0</v>
      </c>
      <c r="J7" s="233">
        <v>0</v>
      </c>
      <c r="K7" s="233">
        <v>0</v>
      </c>
      <c r="L7" s="233">
        <v>0</v>
      </c>
      <c r="M7" s="233">
        <v>0</v>
      </c>
      <c r="N7" s="233">
        <v>0</v>
      </c>
      <c r="O7" s="233">
        <v>0</v>
      </c>
      <c r="P7" s="233">
        <v>0</v>
      </c>
      <c r="Q7" s="233">
        <v>3.844646</v>
      </c>
      <c r="R7" s="233">
        <v>7.3512029999999999</v>
      </c>
      <c r="S7" s="233">
        <v>10.128237</v>
      </c>
      <c r="T7" s="233">
        <v>17.017340999999998</v>
      </c>
      <c r="U7" s="233">
        <v>19.0198833</v>
      </c>
      <c r="V7" s="233">
        <v>19.176068999999998</v>
      </c>
      <c r="W7" s="233">
        <v>17.791419999999999</v>
      </c>
      <c r="X7" s="236">
        <v>20.814705</v>
      </c>
      <c r="Y7" s="469"/>
      <c r="Z7" s="469"/>
    </row>
    <row r="8" spans="1:26" s="12" customFormat="1" ht="15" customHeight="1" x14ac:dyDescent="0.3">
      <c r="A8" s="468" t="s">
        <v>54</v>
      </c>
      <c r="B8" s="233">
        <v>0</v>
      </c>
      <c r="C8" s="233">
        <v>0</v>
      </c>
      <c r="D8" s="233">
        <v>0</v>
      </c>
      <c r="E8" s="233">
        <v>0</v>
      </c>
      <c r="F8" s="233">
        <v>0</v>
      </c>
      <c r="G8" s="233">
        <v>0</v>
      </c>
      <c r="H8" s="233">
        <v>0</v>
      </c>
      <c r="I8" s="233">
        <v>0</v>
      </c>
      <c r="J8" s="233">
        <v>0</v>
      </c>
      <c r="K8" s="233">
        <v>0</v>
      </c>
      <c r="L8" s="233">
        <v>0</v>
      </c>
      <c r="M8" s="233">
        <v>0</v>
      </c>
      <c r="N8" s="233">
        <v>0</v>
      </c>
      <c r="O8" s="233">
        <v>0</v>
      </c>
      <c r="P8" s="233">
        <v>0</v>
      </c>
      <c r="Q8" s="233">
        <v>0</v>
      </c>
      <c r="R8" s="233">
        <v>0</v>
      </c>
      <c r="S8" s="233">
        <v>0.83730000000000004</v>
      </c>
      <c r="T8" s="233">
        <v>0.21390000000000001</v>
      </c>
      <c r="U8" s="233">
        <v>2.6620499999999998</v>
      </c>
      <c r="V8" s="233">
        <v>1.0505</v>
      </c>
      <c r="W8" s="233">
        <v>1.0444</v>
      </c>
      <c r="X8" s="236">
        <v>1.8088280000000001</v>
      </c>
      <c r="Y8" s="469"/>
      <c r="Z8" s="469"/>
    </row>
    <row r="9" spans="1:26" s="12" customFormat="1" ht="15" customHeight="1" x14ac:dyDescent="0.3">
      <c r="A9" s="733" t="s">
        <v>262</v>
      </c>
      <c r="B9" s="558"/>
      <c r="C9" s="558"/>
      <c r="D9" s="558"/>
      <c r="E9" s="558"/>
      <c r="F9" s="558"/>
      <c r="G9" s="558"/>
      <c r="H9" s="558"/>
      <c r="I9" s="558"/>
      <c r="J9" s="558"/>
      <c r="K9" s="558"/>
      <c r="L9" s="558"/>
      <c r="M9" s="558"/>
      <c r="N9" s="558"/>
      <c r="O9" s="558"/>
      <c r="P9" s="558"/>
      <c r="Q9" s="558"/>
      <c r="R9" s="558"/>
      <c r="S9" s="558"/>
      <c r="T9" s="558"/>
      <c r="U9" s="558"/>
      <c r="V9" s="558"/>
      <c r="W9" s="558"/>
      <c r="X9" s="559"/>
      <c r="Y9" s="469"/>
      <c r="Z9" s="469"/>
    </row>
    <row r="10" spans="1:26" s="12" customFormat="1" ht="15" customHeight="1" x14ac:dyDescent="0.3">
      <c r="A10" s="468" t="s">
        <v>220</v>
      </c>
      <c r="B10" s="233">
        <v>54.302305165436813</v>
      </c>
      <c r="C10" s="233">
        <v>71.847645714285719</v>
      </c>
      <c r="D10" s="233">
        <v>88.502857142857138</v>
      </c>
      <c r="E10" s="233">
        <v>104.09036571428571</v>
      </c>
      <c r="F10" s="233">
        <v>114.26380685714285</v>
      </c>
      <c r="G10" s="233">
        <v>136.22742857142856</v>
      </c>
      <c r="H10" s="233">
        <v>123.6</v>
      </c>
      <c r="I10" s="233">
        <v>131.80000000000001</v>
      </c>
      <c r="J10" s="233">
        <v>207.44166549999997</v>
      </c>
      <c r="K10" s="233">
        <v>200.7</v>
      </c>
      <c r="L10" s="233">
        <v>187.9</v>
      </c>
      <c r="M10" s="233">
        <v>173.3</v>
      </c>
      <c r="N10" s="233">
        <v>152.79</v>
      </c>
      <c r="O10" s="233">
        <v>164.82820000000001</v>
      </c>
      <c r="P10" s="233">
        <v>188.7</v>
      </c>
      <c r="Q10" s="233">
        <v>201.0247</v>
      </c>
      <c r="R10" s="233">
        <v>219.34649999999999</v>
      </c>
      <c r="S10" s="233">
        <v>234.71299999999999</v>
      </c>
      <c r="T10" s="233">
        <v>257.31079999999997</v>
      </c>
      <c r="U10" s="233">
        <v>259.66669999999999</v>
      </c>
      <c r="V10" s="233">
        <v>282.86450000000002</v>
      </c>
      <c r="W10" s="233">
        <v>291.3</v>
      </c>
      <c r="X10" s="236">
        <v>293.058761</v>
      </c>
      <c r="Y10" s="469"/>
      <c r="Z10" s="469"/>
    </row>
    <row r="11" spans="1:26" s="12" customFormat="1" ht="15" customHeight="1" x14ac:dyDescent="0.3">
      <c r="A11" s="733" t="s">
        <v>264</v>
      </c>
      <c r="B11" s="558"/>
      <c r="C11" s="558"/>
      <c r="D11" s="558"/>
      <c r="E11" s="558"/>
      <c r="F11" s="558"/>
      <c r="G11" s="558"/>
      <c r="H11" s="558"/>
      <c r="I11" s="558"/>
      <c r="J11" s="558"/>
      <c r="K11" s="558"/>
      <c r="L11" s="558"/>
      <c r="M11" s="558"/>
      <c r="N11" s="558"/>
      <c r="O11" s="558"/>
      <c r="P11" s="558"/>
      <c r="Q11" s="558"/>
      <c r="R11" s="558"/>
      <c r="S11" s="558"/>
      <c r="T11" s="558"/>
      <c r="U11" s="558"/>
      <c r="V11" s="558"/>
      <c r="W11" s="558"/>
      <c r="X11" s="559"/>
      <c r="Y11" s="469"/>
      <c r="Z11" s="469"/>
    </row>
    <row r="12" spans="1:26" s="12" customFormat="1" ht="15" customHeight="1" x14ac:dyDescent="0.3">
      <c r="A12" s="468" t="s">
        <v>221</v>
      </c>
      <c r="B12" s="233">
        <v>0</v>
      </c>
      <c r="C12" s="233">
        <v>0</v>
      </c>
      <c r="D12" s="233">
        <v>0</v>
      </c>
      <c r="E12" s="233">
        <v>0</v>
      </c>
      <c r="F12" s="233">
        <v>0</v>
      </c>
      <c r="G12" s="233">
        <v>0</v>
      </c>
      <c r="H12" s="233">
        <v>8.471743</v>
      </c>
      <c r="I12" s="233">
        <v>4.9756349999999996</v>
      </c>
      <c r="J12" s="233">
        <v>3.0443380000000002</v>
      </c>
      <c r="K12" s="233">
        <v>3.2317999999999998</v>
      </c>
      <c r="L12" s="233">
        <v>3.3543729999999998</v>
      </c>
      <c r="M12" s="233">
        <v>3.360948</v>
      </c>
      <c r="N12" s="233">
        <v>3.3124980000000002</v>
      </c>
      <c r="O12" s="233">
        <v>4.9938060000000002</v>
      </c>
      <c r="P12" s="233">
        <v>9.6460260000000009</v>
      </c>
      <c r="Q12" s="233">
        <v>9.3402510000000003</v>
      </c>
      <c r="R12" s="233">
        <v>7.7964779999999996</v>
      </c>
      <c r="S12" s="233">
        <v>8.0163259999999994</v>
      </c>
      <c r="T12" s="233">
        <v>13.682496</v>
      </c>
      <c r="U12" s="233">
        <v>12.852987000000001</v>
      </c>
      <c r="V12" s="233">
        <v>14.888999999999999</v>
      </c>
      <c r="W12" s="233">
        <v>17.654</v>
      </c>
      <c r="X12" s="236">
        <v>19</v>
      </c>
      <c r="Y12" s="469"/>
      <c r="Z12" s="469"/>
    </row>
    <row r="13" spans="1:26" s="12" customFormat="1" ht="15" customHeight="1" x14ac:dyDescent="0.3">
      <c r="A13" s="468" t="s">
        <v>56</v>
      </c>
      <c r="B13" s="233">
        <v>0</v>
      </c>
      <c r="C13" s="233">
        <v>0</v>
      </c>
      <c r="D13" s="233">
        <v>0</v>
      </c>
      <c r="E13" s="233">
        <v>0</v>
      </c>
      <c r="F13" s="233">
        <v>0</v>
      </c>
      <c r="G13" s="233">
        <v>0</v>
      </c>
      <c r="H13" s="233">
        <v>0</v>
      </c>
      <c r="I13" s="233">
        <v>0</v>
      </c>
      <c r="J13" s="233">
        <v>0</v>
      </c>
      <c r="K13" s="233">
        <v>0</v>
      </c>
      <c r="L13" s="233">
        <v>0</v>
      </c>
      <c r="M13" s="233">
        <v>0</v>
      </c>
      <c r="N13" s="233">
        <v>0</v>
      </c>
      <c r="O13" s="233">
        <v>0</v>
      </c>
      <c r="P13" s="233">
        <v>0</v>
      </c>
      <c r="Q13" s="233">
        <v>0.4607</v>
      </c>
      <c r="R13" s="233">
        <v>13.52289</v>
      </c>
      <c r="S13" s="233">
        <v>19.723202000000001</v>
      </c>
      <c r="T13" s="233">
        <v>16.151</v>
      </c>
      <c r="U13" s="233">
        <v>7.4660289999999998</v>
      </c>
      <c r="V13" s="233">
        <v>2.4700479999999998</v>
      </c>
      <c r="W13" s="233">
        <v>0.70625599999999999</v>
      </c>
      <c r="X13" s="236">
        <v>0.01</v>
      </c>
      <c r="Y13" s="469"/>
      <c r="Z13" s="469"/>
    </row>
    <row r="14" spans="1:26" s="12" customFormat="1" ht="15" customHeight="1" x14ac:dyDescent="0.3">
      <c r="A14" s="109" t="s">
        <v>263</v>
      </c>
      <c r="B14" s="558"/>
      <c r="C14" s="558"/>
      <c r="D14" s="558"/>
      <c r="E14" s="558"/>
      <c r="F14" s="558"/>
      <c r="G14" s="558"/>
      <c r="H14" s="558"/>
      <c r="I14" s="558"/>
      <c r="J14" s="558"/>
      <c r="K14" s="558"/>
      <c r="L14" s="558"/>
      <c r="M14" s="558"/>
      <c r="N14" s="558"/>
      <c r="O14" s="558"/>
      <c r="P14" s="558"/>
      <c r="Q14" s="558"/>
      <c r="R14" s="558"/>
      <c r="S14" s="558"/>
      <c r="T14" s="558"/>
      <c r="U14" s="558"/>
      <c r="V14" s="558"/>
      <c r="W14" s="558"/>
      <c r="X14" s="559"/>
      <c r="Y14" s="469"/>
      <c r="Z14" s="469"/>
    </row>
    <row r="15" spans="1:26" s="12" customFormat="1" ht="15" customHeight="1" x14ac:dyDescent="0.3">
      <c r="A15" s="475" t="s">
        <v>55</v>
      </c>
      <c r="B15" s="560">
        <v>0</v>
      </c>
      <c r="C15" s="560">
        <v>0</v>
      </c>
      <c r="D15" s="560">
        <v>0</v>
      </c>
      <c r="E15" s="560">
        <v>0</v>
      </c>
      <c r="F15" s="560">
        <v>0</v>
      </c>
      <c r="G15" s="560">
        <v>0</v>
      </c>
      <c r="H15" s="560">
        <v>0</v>
      </c>
      <c r="I15" s="560">
        <v>0</v>
      </c>
      <c r="J15" s="560">
        <v>0</v>
      </c>
      <c r="K15" s="560">
        <v>0.185943</v>
      </c>
      <c r="L15" s="560">
        <v>1.3941349999999999</v>
      </c>
      <c r="M15" s="560">
        <v>3.6000830000000001</v>
      </c>
      <c r="N15" s="560">
        <v>9.5204450000000005</v>
      </c>
      <c r="O15" s="560">
        <v>24.969619999999999</v>
      </c>
      <c r="P15" s="560">
        <v>21.6</v>
      </c>
      <c r="Q15" s="560">
        <v>21.7</v>
      </c>
      <c r="R15" s="560">
        <v>22.546979032107743</v>
      </c>
      <c r="S15" s="560">
        <v>25.225230400000001</v>
      </c>
      <c r="T15" s="560">
        <v>21.352295000000002</v>
      </c>
      <c r="U15" s="560">
        <v>18.708015</v>
      </c>
      <c r="V15" s="560">
        <v>18.708015</v>
      </c>
      <c r="W15" s="560">
        <v>18.70035</v>
      </c>
      <c r="X15" s="561">
        <v>14.644838999999999</v>
      </c>
      <c r="Y15" s="469"/>
      <c r="Z15" s="469"/>
    </row>
    <row r="16" spans="1:26" s="12" customFormat="1" ht="15" customHeight="1" x14ac:dyDescent="0.3">
      <c r="A16" s="53" t="s">
        <v>307</v>
      </c>
      <c r="B16" s="562">
        <f t="shared" ref="B16:X16" si="0">SUM(B7:B12)</f>
        <v>54.302305165436813</v>
      </c>
      <c r="C16" s="562">
        <f t="shared" si="0"/>
        <v>71.847645714285719</v>
      </c>
      <c r="D16" s="562">
        <f t="shared" si="0"/>
        <v>88.502857142857138</v>
      </c>
      <c r="E16" s="562">
        <f t="shared" si="0"/>
        <v>104.09036571428571</v>
      </c>
      <c r="F16" s="562">
        <f t="shared" si="0"/>
        <v>114.26380685714285</v>
      </c>
      <c r="G16" s="562">
        <f t="shared" si="0"/>
        <v>136.22742857142856</v>
      </c>
      <c r="H16" s="562">
        <f t="shared" si="0"/>
        <v>132.071743</v>
      </c>
      <c r="I16" s="562">
        <f t="shared" si="0"/>
        <v>136.77563500000002</v>
      </c>
      <c r="J16" s="562">
        <f t="shared" si="0"/>
        <v>210.48600349999998</v>
      </c>
      <c r="K16" s="562">
        <f t="shared" si="0"/>
        <v>203.93179999999998</v>
      </c>
      <c r="L16" s="562">
        <f t="shared" si="0"/>
        <v>191.25437300000002</v>
      </c>
      <c r="M16" s="562">
        <f t="shared" si="0"/>
        <v>176.66094800000002</v>
      </c>
      <c r="N16" s="562">
        <f t="shared" si="0"/>
        <v>156.102498</v>
      </c>
      <c r="O16" s="562">
        <f t="shared" si="0"/>
        <v>169.82200600000002</v>
      </c>
      <c r="P16" s="562">
        <f t="shared" si="0"/>
        <v>198.34602599999999</v>
      </c>
      <c r="Q16" s="562">
        <f t="shared" si="0"/>
        <v>214.209597</v>
      </c>
      <c r="R16" s="562">
        <f t="shared" si="0"/>
        <v>234.494181</v>
      </c>
      <c r="S16" s="562">
        <f t="shared" si="0"/>
        <v>253.694863</v>
      </c>
      <c r="T16" s="562">
        <f t="shared" si="0"/>
        <v>288.224537</v>
      </c>
      <c r="U16" s="562">
        <f t="shared" si="0"/>
        <v>294.2016203</v>
      </c>
      <c r="V16" s="562">
        <f t="shared" si="0"/>
        <v>317.98006900000001</v>
      </c>
      <c r="W16" s="562">
        <f t="shared" si="0"/>
        <v>327.78982000000002</v>
      </c>
      <c r="X16" s="563">
        <f t="shared" si="0"/>
        <v>334.68229400000001</v>
      </c>
    </row>
    <row r="17" spans="1:29" s="12" customFormat="1" ht="15" customHeight="1" x14ac:dyDescent="0.3">
      <c r="A17" s="229" t="s">
        <v>312</v>
      </c>
      <c r="B17" s="231">
        <f>+B16/B53</f>
        <v>3.2785901553150643E-2</v>
      </c>
      <c r="C17" s="231">
        <f>+C16/C53</f>
        <v>3.5630053069584139E-2</v>
      </c>
      <c r="D17" s="231">
        <f>+D16/D53</f>
        <v>4.6487720359313339E-2</v>
      </c>
      <c r="E17" s="231">
        <f>+E16/E53</f>
        <v>4.9344555343209022E-2</v>
      </c>
      <c r="F17" s="231">
        <f>+F16/F53</f>
        <v>5.1530766737986039E-2</v>
      </c>
      <c r="G17" s="231">
        <f>+G16/G53</f>
        <v>5.5142312422910851E-2</v>
      </c>
      <c r="H17" s="231">
        <f>+H16/H53</f>
        <v>4.960869596246812E-2</v>
      </c>
      <c r="I17" s="231">
        <f>+I16/I53</f>
        <v>4.7981349540447638E-2</v>
      </c>
      <c r="J17" s="231">
        <f>+J16/J53</f>
        <v>7.0240905116747798E-2</v>
      </c>
      <c r="K17" s="231">
        <f>+K16/K53</f>
        <v>6.9113492483088637E-2</v>
      </c>
      <c r="L17" s="231">
        <f>+L16/L53</f>
        <v>5.8021276408557532E-2</v>
      </c>
      <c r="M17" s="231">
        <f>+M16/M53</f>
        <v>4.7160897189475484E-2</v>
      </c>
      <c r="N17" s="231">
        <f>+N16/N53</f>
        <v>4.0198620238561217E-2</v>
      </c>
      <c r="O17" s="231">
        <f>+O16/O53</f>
        <v>3.846155724208844E-2</v>
      </c>
      <c r="P17" s="231">
        <f>+P16/P53</f>
        <v>4.3392356141667345E-2</v>
      </c>
      <c r="Q17" s="231">
        <f>+Q16/Q53</f>
        <v>4.5369259362020728E-2</v>
      </c>
      <c r="R17" s="231">
        <f>+R16/R53</f>
        <v>4.5738719323089164E-2</v>
      </c>
      <c r="S17" s="231">
        <f>+S16/S53</f>
        <v>4.7672845846534292E-2</v>
      </c>
      <c r="T17" s="231">
        <f>+T16/T53</f>
        <v>5.0935662001201705E-2</v>
      </c>
      <c r="U17" s="231">
        <f>+U16/U53</f>
        <v>5.2110558139617263E-2</v>
      </c>
      <c r="V17" s="231">
        <f>+V16/V53</f>
        <v>5.5082944697068127E-2</v>
      </c>
      <c r="W17" s="231">
        <f>+W16/W53</f>
        <v>5.4428889054937035E-2</v>
      </c>
      <c r="X17" s="465">
        <f>+X16/X53</f>
        <v>5.2927020499433264E-2</v>
      </c>
      <c r="Y17" s="472"/>
      <c r="Z17" s="472"/>
      <c r="AA17" s="472"/>
      <c r="AB17" s="472"/>
      <c r="AC17" s="472"/>
    </row>
    <row r="18" spans="1:29" s="12" customFormat="1" ht="15" customHeight="1" x14ac:dyDescent="0.3">
      <c r="A18" s="229" t="s">
        <v>271</v>
      </c>
      <c r="B18" s="231"/>
      <c r="C18" s="231"/>
      <c r="D18" s="231"/>
      <c r="E18" s="231">
        <f>+E16/E54</f>
        <v>0.12214711506107372</v>
      </c>
      <c r="F18" s="231">
        <f>+F16/F54</f>
        <v>0.13211050725334864</v>
      </c>
      <c r="G18" s="231">
        <f>+G16/G54</f>
        <v>0.15145226533958131</v>
      </c>
      <c r="H18" s="231">
        <f>+H16/H54</f>
        <v>0.12642301392010202</v>
      </c>
      <c r="I18" s="231">
        <f>+I16/I54</f>
        <v>0.12720635858643353</v>
      </c>
      <c r="J18" s="231">
        <f>+J16/J54</f>
        <v>0.19184187049967602</v>
      </c>
      <c r="K18" s="231">
        <f>+K16/K54</f>
        <v>0.20485285942655365</v>
      </c>
      <c r="L18" s="231">
        <f>+L16/L54</f>
        <v>0.17060397331805949</v>
      </c>
      <c r="M18" s="231" t="e">
        <f>+M16/M54</f>
        <v>#DIV/0!</v>
      </c>
      <c r="N18" s="231">
        <f>+N16/N54</f>
        <v>0.12414335536703459</v>
      </c>
      <c r="O18" s="231" t="e">
        <f>+O16/O54</f>
        <v>#DIV/0!</v>
      </c>
      <c r="P18" s="231">
        <f>+P16/P54</f>
        <v>0.15280012788167094</v>
      </c>
      <c r="Q18" s="231">
        <f>+Q16/Q54</f>
        <v>0.12667553533095605</v>
      </c>
      <c r="R18" s="231">
        <f>+R16/R54</f>
        <v>0.12638723683196734</v>
      </c>
      <c r="S18" s="231">
        <f>+S16/S54</f>
        <v>0.13071731769021891</v>
      </c>
      <c r="T18" s="231">
        <f>+T16/T54</f>
        <v>0.13575645848052376</v>
      </c>
      <c r="U18" s="231">
        <f>+U16/U54</f>
        <v>0.13881972753357583</v>
      </c>
      <c r="V18" s="231">
        <f>+V16/V54</f>
        <v>0.14224114023708342</v>
      </c>
      <c r="W18" s="231">
        <f>+W16/W54</f>
        <v>46.556055799264492</v>
      </c>
      <c r="X18" s="465">
        <f>+X16/X54</f>
        <v>0.19954988537050244</v>
      </c>
      <c r="Y18" s="472"/>
      <c r="Z18" s="472"/>
      <c r="AA18" s="472"/>
      <c r="AB18" s="472"/>
      <c r="AC18" s="472"/>
    </row>
    <row r="19" spans="1:29" s="12" customFormat="1" ht="15" customHeight="1" x14ac:dyDescent="0.3">
      <c r="A19" s="229" t="s">
        <v>309</v>
      </c>
      <c r="B19" s="231">
        <f>+B16/B55</f>
        <v>5.7157312947146797E-3</v>
      </c>
      <c r="C19" s="231">
        <f>+C16/C55</f>
        <v>6.9650182457743895E-3</v>
      </c>
      <c r="D19" s="231">
        <f>+D16/D55</f>
        <v>7.9483827263291448E-3</v>
      </c>
      <c r="E19" s="231">
        <f>+E16/E55</f>
        <v>8.668129452240575E-3</v>
      </c>
      <c r="F19" s="231">
        <f>+F16/F55</f>
        <v>9.1669921343588579E-3</v>
      </c>
      <c r="G19" s="231">
        <f>+G16/G55</f>
        <v>1.0372041371043967E-2</v>
      </c>
      <c r="H19" s="231">
        <f>+H16/H55</f>
        <v>9.5616167005726609E-3</v>
      </c>
      <c r="I19" s="231">
        <f>+I16/I55</f>
        <v>9.5602504421005551E-3</v>
      </c>
      <c r="J19" s="231">
        <f>+J16/J55</f>
        <v>1.398884828567061E-2</v>
      </c>
      <c r="K19" s="231">
        <f>+K16/K55</f>
        <v>1.2908464834824E-2</v>
      </c>
      <c r="L19" s="231">
        <f>+L16/L55</f>
        <v>1.1188522914741018E-2</v>
      </c>
      <c r="M19" s="231">
        <f>+M16/M55</f>
        <v>9.5231418760478043E-3</v>
      </c>
      <c r="N19" s="231">
        <f>+N16/N55</f>
        <v>7.7644006187546312E-3</v>
      </c>
      <c r="O19" s="231">
        <f>+O16/O55</f>
        <v>7.924128878727078E-3</v>
      </c>
      <c r="P19" s="231">
        <f>+P16/P55</f>
        <v>9.6000206185567014E-3</v>
      </c>
      <c r="Q19" s="231">
        <f>+Q16/Q55</f>
        <v>1.0001241788563986E-2</v>
      </c>
      <c r="R19" s="231">
        <f>+R16/R55</f>
        <v>1.0134153636717231E-2</v>
      </c>
      <c r="S19" s="231">
        <f>+S16/S55</f>
        <v>1.0653360390701113E-2</v>
      </c>
      <c r="T19" s="231">
        <f>+T16/T55</f>
        <v>1.1836299151160736E-2</v>
      </c>
      <c r="U19" s="231">
        <f>+U16/U55</f>
        <v>1.1742606840370078E-2</v>
      </c>
      <c r="V19" s="231">
        <f>+V16/V55</f>
        <v>1.2300874616057129E-2</v>
      </c>
      <c r="W19" s="231">
        <f>+W16/W55</f>
        <v>1.2431724653095565E-2</v>
      </c>
      <c r="X19" s="465">
        <f>+X16/X55</f>
        <v>1.2872395923076924E-2</v>
      </c>
    </row>
    <row r="20" spans="1:29" s="12" customFormat="1" ht="15" customHeight="1" x14ac:dyDescent="0.3">
      <c r="A20" s="229" t="s">
        <v>310</v>
      </c>
      <c r="B20" s="463">
        <f>+(B16*1000000)/B56</f>
        <v>39.28390944787602</v>
      </c>
      <c r="C20" s="463">
        <f>+(C16*1000000)/C56</f>
        <v>49.386444034963944</v>
      </c>
      <c r="D20" s="463">
        <f>+(D16*1000000)/D56</f>
        <v>60.499964550802012</v>
      </c>
      <c r="E20" s="463">
        <f>+(E16*1000000)/E56</f>
        <v>70.709384509397694</v>
      </c>
      <c r="F20" s="463">
        <f>+(F16*1000000)/F56</f>
        <v>75.857069261678149</v>
      </c>
      <c r="G20" s="463">
        <f>+(G16*1000000)/G56</f>
        <v>86.951161777932739</v>
      </c>
      <c r="H20" s="463">
        <f>+(H16*1000000)/H56</f>
        <v>81.108907552910168</v>
      </c>
      <c r="I20" s="463">
        <f>+(I16*1000000)/I56</f>
        <v>84.750567118233874</v>
      </c>
      <c r="J20" s="463">
        <f>+(J16*1000000)/J56</f>
        <v>124.73074648464049</v>
      </c>
      <c r="K20" s="463">
        <f>+(K16*1000000)/K56</f>
        <v>117.8261886947252</v>
      </c>
      <c r="L20" s="463">
        <f>+(L16*1000000)/L56</f>
        <v>109.57517487225118</v>
      </c>
      <c r="M20" s="463">
        <f>+(M16*1000000)/M56</f>
        <v>98.608595859309645</v>
      </c>
      <c r="N20" s="463">
        <f>+(N16*1000000)/N56</f>
        <v>107.48077495083918</v>
      </c>
      <c r="O20" s="463">
        <f>+(O16*1000000)/O56</f>
        <v>104.8708002309576</v>
      </c>
      <c r="P20" s="463">
        <f>+(P16*1000000)/P56</f>
        <v>118.14482755334345</v>
      </c>
      <c r="Q20" s="463">
        <f>+(Q16*1000000)/Q56</f>
        <v>124.72820833219305</v>
      </c>
      <c r="R20" s="463">
        <f>+(R16*1000000)/R56</f>
        <v>132.64400915011828</v>
      </c>
      <c r="S20" s="463">
        <f>+(S16*1000000)/S56</f>
        <v>137.74805495482238</v>
      </c>
      <c r="T20" s="463">
        <f>+(T16*1000000)/T56</f>
        <v>155.78180567198561</v>
      </c>
      <c r="U20" s="463">
        <f>+(U16*1000000)/U56</f>
        <v>160.13064035574715</v>
      </c>
      <c r="V20" s="463">
        <f>+(V16*1000000)/V56</f>
        <v>172.18751908802042</v>
      </c>
      <c r="W20" s="463">
        <f>+(W16*1000000)/W56</f>
        <v>172.67627566058101</v>
      </c>
      <c r="X20" s="460">
        <f>+(X16*1000000)/X56</f>
        <v>181.13856182336676</v>
      </c>
    </row>
    <row r="21" spans="1:29" s="12" customFormat="1" ht="15" customHeight="1" x14ac:dyDescent="0.3">
      <c r="A21" s="229" t="s">
        <v>311</v>
      </c>
      <c r="B21" s="231">
        <f>+B20/B57</f>
        <v>2.4800447883760113E-2</v>
      </c>
      <c r="C21" s="231">
        <f>+C20/C57</f>
        <v>3.1178310628133803E-2</v>
      </c>
      <c r="D21" s="231">
        <f>+D20/D57</f>
        <v>3.8194422064900257E-2</v>
      </c>
      <c r="E21" s="231">
        <f>+E20/E57</f>
        <v>4.0919782702197739E-2</v>
      </c>
      <c r="F21" s="231">
        <f>+F20/F57</f>
        <v>4.3898766933841524E-2</v>
      </c>
      <c r="G21" s="231">
        <f>+G20/G57</f>
        <v>5.0318959362229597E-2</v>
      </c>
      <c r="H21" s="231">
        <f>+H20/H57</f>
        <v>4.6938025204230419E-2</v>
      </c>
      <c r="I21" s="231">
        <f>+I20/I57</f>
        <v>4.9045467082311271E-2</v>
      </c>
      <c r="J21" s="231">
        <f>+J20/J57</f>
        <v>6.5620131778535609E-2</v>
      </c>
      <c r="K21" s="231">
        <f>+K20/K57</f>
        <v>6.1987683446299027E-2</v>
      </c>
      <c r="L21" s="231">
        <f>+L20/L57</f>
        <v>5.7646872302320691E-2</v>
      </c>
      <c r="M21" s="231">
        <f>+M20/M57</f>
        <v>4.7145054436464738E-2</v>
      </c>
      <c r="N21" s="231">
        <f>+N20/N57</f>
        <v>5.138686888068425E-2</v>
      </c>
      <c r="O21" s="231">
        <f>+O20/O57</f>
        <v>4.5445831266665619E-2</v>
      </c>
      <c r="P21" s="231">
        <f>+P20/P57</f>
        <v>4.7424866551599013E-2</v>
      </c>
      <c r="Q21" s="231">
        <f>+Q20/Q57</f>
        <v>5.0067521006821235E-2</v>
      </c>
      <c r="R21" s="231">
        <f>+R20/R57</f>
        <v>4.9324709634879622E-2</v>
      </c>
      <c r="S21" s="231">
        <f>+S20/S57</f>
        <v>5.1222688886963554E-2</v>
      </c>
      <c r="T21" s="231">
        <f>+T20/T57</f>
        <v>5.7928679782829694E-2</v>
      </c>
      <c r="U21" s="231">
        <f>+U20/U57</f>
        <v>5.5050412663554434E-2</v>
      </c>
      <c r="V21" s="231">
        <f>+V20/V57</f>
        <v>5.7008184044504175E-2</v>
      </c>
      <c r="W21" s="231">
        <f>+W20/W57</f>
        <v>5.7170002536280295E-2</v>
      </c>
      <c r="X21" s="465">
        <f>+X20/X57</f>
        <v>5.0316267173157431E-2</v>
      </c>
    </row>
    <row r="22" spans="1:29" s="12" customFormat="1" ht="15" customHeight="1" thickBot="1" x14ac:dyDescent="0.35">
      <c r="A22" s="241" t="s">
        <v>602</v>
      </c>
      <c r="B22" s="478">
        <f>+B20/B60</f>
        <v>3.0802581418260432E-2</v>
      </c>
      <c r="C22" s="478">
        <f>+C20/C60</f>
        <v>2.8957210358176142E-2</v>
      </c>
      <c r="D22" s="478">
        <f>+D20/D60</f>
        <v>3.6786433136841545E-2</v>
      </c>
      <c r="E22" s="478">
        <f>+E20/E60</f>
        <v>4.1881184641771624E-2</v>
      </c>
      <c r="F22" s="478">
        <f>+F20/F60</f>
        <v>4.9057053044435937E-2</v>
      </c>
      <c r="G22" s="478">
        <f>+G20/G60</f>
        <v>5.0495712649983024E-2</v>
      </c>
      <c r="H22" s="478">
        <f>+H20/H60</f>
        <v>4.1397139277702936E-2</v>
      </c>
      <c r="I22" s="478">
        <f>+I20/I60</f>
        <v>4.1453260257091999E-2</v>
      </c>
      <c r="J22" s="478">
        <f>+J20/J60</f>
        <v>6.3850150049621315E-2</v>
      </c>
      <c r="K22" s="478">
        <f>+K20/K60</f>
        <v>5.1756415483272727E-2</v>
      </c>
      <c r="L22" s="478">
        <f>+L20/L60</f>
        <v>5.9711232543356606E-2</v>
      </c>
      <c r="M22" s="478">
        <f>+M20/M60</f>
        <v>4.9338942989743999E-2</v>
      </c>
      <c r="N22" s="478">
        <f>+N20/N60</f>
        <v>5.093799759508319E-2</v>
      </c>
      <c r="O22" s="478">
        <f>+O20/O60</f>
        <v>4.2371279920255744E-2</v>
      </c>
      <c r="P22" s="478">
        <f>+P20/P60</f>
        <v>4.8657777024702122E-2</v>
      </c>
      <c r="Q22" s="478">
        <f>+Q20/Q60</f>
        <v>6.249327220290099E-2</v>
      </c>
      <c r="R22" s="478">
        <f>+R20/R60</f>
        <v>5.3939484376035837E-2</v>
      </c>
      <c r="S22" s="478">
        <f>+S20/S60</f>
        <v>5.4438149537282349E-2</v>
      </c>
      <c r="T22" s="478">
        <f>+T20/T60</f>
        <v>5.9331368463398752E-2</v>
      </c>
      <c r="U22" s="478">
        <f>+U20/U60</f>
        <v>5.8650995956085826E-2</v>
      </c>
      <c r="V22" s="478">
        <f>+V20/V60</f>
        <v>5.9070502735698124E-2</v>
      </c>
      <c r="W22" s="478">
        <f>+W20/W60</f>
        <v>5.9238175146622239E-2</v>
      </c>
      <c r="X22" s="466">
        <f>+X20/X60</f>
        <v>6.2141239785549793E-2</v>
      </c>
    </row>
    <row r="23" spans="1:29" s="12" customFormat="1" ht="15" customHeight="1" x14ac:dyDescent="0.3">
      <c r="A23" s="229"/>
      <c r="B23" s="231"/>
      <c r="C23" s="231"/>
      <c r="D23" s="231"/>
      <c r="E23" s="231"/>
      <c r="F23" s="231"/>
      <c r="G23" s="231"/>
      <c r="H23" s="231"/>
      <c r="I23" s="231"/>
      <c r="J23" s="231"/>
      <c r="K23" s="231"/>
      <c r="L23" s="231"/>
      <c r="M23" s="231"/>
      <c r="N23" s="231"/>
      <c r="O23" s="231"/>
      <c r="P23" s="231"/>
      <c r="Q23" s="231"/>
      <c r="R23" s="231"/>
      <c r="S23" s="231"/>
      <c r="T23" s="231"/>
      <c r="U23" s="231"/>
      <c r="V23" s="231"/>
      <c r="W23" s="231"/>
      <c r="X23" s="231"/>
    </row>
    <row r="24" spans="1:29" s="12" customFormat="1" ht="15" customHeight="1" x14ac:dyDescent="0.3">
      <c r="A24" s="462"/>
      <c r="B24" s="462"/>
      <c r="C24" s="462"/>
      <c r="D24" s="462"/>
      <c r="E24" s="462"/>
      <c r="F24" s="462"/>
      <c r="G24" s="462"/>
      <c r="H24" s="462"/>
      <c r="I24" s="462"/>
      <c r="J24" s="462"/>
      <c r="K24" s="462"/>
      <c r="L24" s="462"/>
      <c r="M24" s="462"/>
      <c r="N24" s="462"/>
      <c r="O24" s="462"/>
      <c r="P24" s="462"/>
    </row>
    <row r="25" spans="1:29" s="12" customFormat="1" ht="19.95" customHeight="1" thickBot="1" x14ac:dyDescent="0.35">
      <c r="A25" s="718" t="s">
        <v>518</v>
      </c>
      <c r="B25" s="474"/>
      <c r="C25" s="474"/>
      <c r="D25" s="474"/>
      <c r="E25" s="474"/>
      <c r="F25" s="474"/>
      <c r="G25" s="474"/>
      <c r="H25" s="474"/>
      <c r="I25" s="474"/>
      <c r="J25" s="474"/>
      <c r="K25" s="474"/>
      <c r="L25" s="474"/>
      <c r="M25" s="474"/>
      <c r="N25" s="474"/>
      <c r="O25" s="474"/>
      <c r="P25" s="474"/>
      <c r="Q25" s="474"/>
      <c r="R25" s="474"/>
      <c r="S25" s="474"/>
      <c r="T25" s="474"/>
      <c r="U25" s="474"/>
      <c r="V25" s="474"/>
      <c r="W25" s="467"/>
      <c r="X25" s="467"/>
    </row>
    <row r="26" spans="1:29" s="12" customFormat="1" ht="25.05" customHeight="1" thickBot="1" x14ac:dyDescent="0.35">
      <c r="A26" s="410" t="s">
        <v>260</v>
      </c>
      <c r="B26" s="375">
        <v>1995</v>
      </c>
      <c r="C26" s="375">
        <v>1996</v>
      </c>
      <c r="D26" s="375">
        <v>1997</v>
      </c>
      <c r="E26" s="375">
        <v>1998</v>
      </c>
      <c r="F26" s="375">
        <v>1999</v>
      </c>
      <c r="G26" s="375">
        <v>2000</v>
      </c>
      <c r="H26" s="375">
        <v>2001</v>
      </c>
      <c r="I26" s="375">
        <v>2002</v>
      </c>
      <c r="J26" s="375">
        <v>2003</v>
      </c>
      <c r="K26" s="375">
        <v>2004</v>
      </c>
      <c r="L26" s="375">
        <v>2005</v>
      </c>
      <c r="M26" s="375">
        <v>2006</v>
      </c>
      <c r="N26" s="375">
        <v>2007</v>
      </c>
      <c r="O26" s="375">
        <v>2008</v>
      </c>
      <c r="P26" s="375">
        <v>2009</v>
      </c>
      <c r="Q26" s="375">
        <v>2010</v>
      </c>
      <c r="R26" s="375">
        <v>2011</v>
      </c>
      <c r="S26" s="375">
        <v>2012</v>
      </c>
      <c r="T26" s="375">
        <v>2013</v>
      </c>
      <c r="U26" s="375">
        <v>2014</v>
      </c>
      <c r="V26" s="375">
        <v>2015</v>
      </c>
      <c r="W26" s="375">
        <v>2016</v>
      </c>
      <c r="X26" s="392">
        <v>2017</v>
      </c>
    </row>
    <row r="27" spans="1:29" s="12" customFormat="1" ht="4.95" customHeight="1" x14ac:dyDescent="0.3">
      <c r="A27" s="468"/>
      <c r="B27" s="464"/>
      <c r="C27" s="464"/>
      <c r="D27" s="464"/>
      <c r="E27" s="464"/>
      <c r="F27" s="464"/>
      <c r="G27" s="464"/>
      <c r="H27" s="464"/>
      <c r="I27" s="464"/>
      <c r="J27" s="464"/>
      <c r="K27" s="464"/>
      <c r="L27" s="464"/>
      <c r="M27" s="464"/>
      <c r="N27" s="464"/>
      <c r="O27" s="464"/>
      <c r="P27" s="464"/>
      <c r="Q27" s="464"/>
      <c r="R27" s="464"/>
      <c r="S27" s="464"/>
      <c r="T27" s="464"/>
      <c r="U27" s="464"/>
      <c r="V27" s="464"/>
      <c r="W27" s="464"/>
      <c r="X27" s="485"/>
    </row>
    <row r="28" spans="1:29" s="12" customFormat="1" ht="15" customHeight="1" x14ac:dyDescent="0.3">
      <c r="A28" s="168" t="s">
        <v>261</v>
      </c>
      <c r="B28" s="504"/>
      <c r="C28" s="504"/>
      <c r="D28" s="504"/>
      <c r="E28" s="504"/>
      <c r="F28" s="504"/>
      <c r="G28" s="504"/>
      <c r="H28" s="504"/>
      <c r="I28" s="504"/>
      <c r="J28" s="504"/>
      <c r="K28" s="504"/>
      <c r="L28" s="504"/>
      <c r="M28" s="504"/>
      <c r="N28" s="504"/>
      <c r="O28" s="504"/>
      <c r="P28" s="504"/>
      <c r="Q28" s="504"/>
      <c r="R28" s="504"/>
      <c r="S28" s="504"/>
      <c r="T28" s="504"/>
      <c r="U28" s="504"/>
      <c r="V28" s="504"/>
      <c r="W28" s="504"/>
      <c r="X28" s="505"/>
      <c r="Y28" s="469"/>
      <c r="Z28" s="469"/>
    </row>
    <row r="29" spans="1:29" s="12" customFormat="1" ht="15" customHeight="1" x14ac:dyDescent="0.3">
      <c r="A29" s="468" t="s">
        <v>53</v>
      </c>
      <c r="B29" s="464">
        <v>0</v>
      </c>
      <c r="C29" s="464">
        <v>0</v>
      </c>
      <c r="D29" s="464">
        <v>0</v>
      </c>
      <c r="E29" s="464">
        <v>0</v>
      </c>
      <c r="F29" s="464">
        <v>0</v>
      </c>
      <c r="G29" s="464">
        <v>0</v>
      </c>
      <c r="H29" s="464">
        <v>0</v>
      </c>
      <c r="I29" s="464">
        <v>0</v>
      </c>
      <c r="J29" s="464">
        <v>0</v>
      </c>
      <c r="K29" s="464">
        <v>0</v>
      </c>
      <c r="L29" s="464">
        <v>0</v>
      </c>
      <c r="M29" s="464">
        <v>0</v>
      </c>
      <c r="N29" s="464">
        <v>0</v>
      </c>
      <c r="O29" s="464">
        <v>0</v>
      </c>
      <c r="P29" s="464">
        <v>0</v>
      </c>
      <c r="Q29" s="464">
        <v>3.844646</v>
      </c>
      <c r="R29" s="464">
        <v>7.3512029999999999</v>
      </c>
      <c r="S29" s="464">
        <v>10.128237</v>
      </c>
      <c r="T29" s="464">
        <v>17.017340999999998</v>
      </c>
      <c r="U29" s="464">
        <v>19.0198833</v>
      </c>
      <c r="V29" s="464">
        <v>19.176068999999998</v>
      </c>
      <c r="W29" s="464">
        <v>17.791419999999999</v>
      </c>
      <c r="X29" s="479">
        <v>20.814705</v>
      </c>
    </row>
    <row r="30" spans="1:29" s="12" customFormat="1" ht="15" customHeight="1" x14ac:dyDescent="0.3">
      <c r="A30" s="468" t="s">
        <v>54</v>
      </c>
      <c r="B30" s="464">
        <v>0</v>
      </c>
      <c r="C30" s="464">
        <v>0</v>
      </c>
      <c r="D30" s="464">
        <v>0</v>
      </c>
      <c r="E30" s="464">
        <v>0</v>
      </c>
      <c r="F30" s="464">
        <v>0</v>
      </c>
      <c r="G30" s="464">
        <v>0</v>
      </c>
      <c r="H30" s="464">
        <v>0</v>
      </c>
      <c r="I30" s="464">
        <v>0</v>
      </c>
      <c r="J30" s="464">
        <v>0</v>
      </c>
      <c r="K30" s="464">
        <v>0</v>
      </c>
      <c r="L30" s="464">
        <v>0</v>
      </c>
      <c r="M30" s="464">
        <v>0</v>
      </c>
      <c r="N30" s="464">
        <v>0</v>
      </c>
      <c r="O30" s="464">
        <v>0</v>
      </c>
      <c r="P30" s="464">
        <v>0</v>
      </c>
      <c r="Q30" s="464">
        <v>0</v>
      </c>
      <c r="R30" s="464">
        <v>0</v>
      </c>
      <c r="S30" s="464">
        <v>0.83730000000000004</v>
      </c>
      <c r="T30" s="464">
        <v>0.21390000000000001</v>
      </c>
      <c r="U30" s="464">
        <v>2.6620499999999998</v>
      </c>
      <c r="V30" s="464">
        <v>1.0505</v>
      </c>
      <c r="W30" s="464">
        <v>1.0444</v>
      </c>
      <c r="X30" s="479">
        <v>1.8088280000000001</v>
      </c>
    </row>
    <row r="31" spans="1:29" s="12" customFormat="1" ht="15" customHeight="1" x14ac:dyDescent="0.3">
      <c r="A31" s="733" t="s">
        <v>262</v>
      </c>
      <c r="B31" s="504"/>
      <c r="C31" s="504"/>
      <c r="D31" s="504"/>
      <c r="E31" s="504"/>
      <c r="F31" s="504"/>
      <c r="G31" s="504"/>
      <c r="H31" s="504"/>
      <c r="I31" s="504"/>
      <c r="J31" s="504"/>
      <c r="K31" s="504"/>
      <c r="L31" s="504"/>
      <c r="M31" s="504"/>
      <c r="N31" s="504"/>
      <c r="O31" s="504"/>
      <c r="P31" s="504"/>
      <c r="Q31" s="504"/>
      <c r="R31" s="504"/>
      <c r="S31" s="504"/>
      <c r="T31" s="504"/>
      <c r="U31" s="504"/>
      <c r="V31" s="504"/>
      <c r="W31" s="504"/>
      <c r="X31" s="505"/>
      <c r="Y31" s="469"/>
      <c r="Z31" s="469"/>
    </row>
    <row r="32" spans="1:29" s="12" customFormat="1" ht="15" customHeight="1" x14ac:dyDescent="0.3">
      <c r="A32" s="468" t="s">
        <v>220</v>
      </c>
      <c r="B32" s="464">
        <v>54.302305165436813</v>
      </c>
      <c r="C32" s="464">
        <v>71.847645714285719</v>
      </c>
      <c r="D32" s="464">
        <v>88.502857142857138</v>
      </c>
      <c r="E32" s="464">
        <v>104.09036571428571</v>
      </c>
      <c r="F32" s="464">
        <v>114.26380685714285</v>
      </c>
      <c r="G32" s="464">
        <v>136.22742857142856</v>
      </c>
      <c r="H32" s="464">
        <v>123.6</v>
      </c>
      <c r="I32" s="464">
        <v>131.80000000000001</v>
      </c>
      <c r="J32" s="464">
        <v>207.44166549999997</v>
      </c>
      <c r="K32" s="464">
        <v>200.7</v>
      </c>
      <c r="L32" s="464">
        <v>187.9</v>
      </c>
      <c r="M32" s="464">
        <v>173.3</v>
      </c>
      <c r="N32" s="464">
        <v>152.79</v>
      </c>
      <c r="O32" s="464">
        <v>164.82820000000001</v>
      </c>
      <c r="P32" s="464">
        <v>188.7</v>
      </c>
      <c r="Q32" s="464">
        <v>201.0247</v>
      </c>
      <c r="R32" s="464">
        <v>219.34649999999999</v>
      </c>
      <c r="S32" s="464">
        <v>234.71299999999999</v>
      </c>
      <c r="T32" s="464">
        <v>257.31079999999997</v>
      </c>
      <c r="U32" s="464">
        <v>259.66669999999999</v>
      </c>
      <c r="V32" s="464">
        <v>282.86450000000002</v>
      </c>
      <c r="W32" s="464">
        <v>291.3</v>
      </c>
      <c r="X32" s="479">
        <v>293.058761</v>
      </c>
    </row>
    <row r="33" spans="1:26" s="12" customFormat="1" ht="15" customHeight="1" x14ac:dyDescent="0.3">
      <c r="A33" s="733" t="s">
        <v>264</v>
      </c>
      <c r="B33" s="504"/>
      <c r="C33" s="504"/>
      <c r="D33" s="504"/>
      <c r="E33" s="504"/>
      <c r="F33" s="504"/>
      <c r="G33" s="504"/>
      <c r="H33" s="504"/>
      <c r="I33" s="504"/>
      <c r="J33" s="504"/>
      <c r="K33" s="504"/>
      <c r="L33" s="504"/>
      <c r="M33" s="504"/>
      <c r="N33" s="504"/>
      <c r="O33" s="504"/>
      <c r="P33" s="504"/>
      <c r="Q33" s="504"/>
      <c r="R33" s="504"/>
      <c r="S33" s="504"/>
      <c r="T33" s="504"/>
      <c r="U33" s="504"/>
      <c r="V33" s="504"/>
      <c r="W33" s="504"/>
      <c r="X33" s="505"/>
      <c r="Y33" s="469"/>
      <c r="Z33" s="469"/>
    </row>
    <row r="34" spans="1:26" s="12" customFormat="1" ht="15" customHeight="1" x14ac:dyDescent="0.3">
      <c r="A34" s="468" t="s">
        <v>221</v>
      </c>
      <c r="B34" s="464">
        <v>0</v>
      </c>
      <c r="C34" s="464">
        <v>0</v>
      </c>
      <c r="D34" s="464">
        <v>0</v>
      </c>
      <c r="E34" s="464">
        <v>0</v>
      </c>
      <c r="F34" s="464">
        <v>0</v>
      </c>
      <c r="G34" s="464">
        <v>0</v>
      </c>
      <c r="H34" s="464">
        <v>8.471743</v>
      </c>
      <c r="I34" s="464">
        <v>4.9756349999999996</v>
      </c>
      <c r="J34" s="464">
        <v>3.0443380000000002</v>
      </c>
      <c r="K34" s="464">
        <v>3.2317999999999998</v>
      </c>
      <c r="L34" s="464">
        <v>3.3543729999999998</v>
      </c>
      <c r="M34" s="464">
        <v>3.360948</v>
      </c>
      <c r="N34" s="464">
        <v>3.3124980000000002</v>
      </c>
      <c r="O34" s="464">
        <v>4.9938060000000002</v>
      </c>
      <c r="P34" s="464">
        <v>9.6460260000000009</v>
      </c>
      <c r="Q34" s="464">
        <v>9.3402510000000003</v>
      </c>
      <c r="R34" s="464">
        <v>7.7964779999999996</v>
      </c>
      <c r="S34" s="464">
        <v>8.0163259999999994</v>
      </c>
      <c r="T34" s="464">
        <v>13.682496</v>
      </c>
      <c r="U34" s="464">
        <v>12.852987000000001</v>
      </c>
      <c r="V34" s="464">
        <v>14.888999999999999</v>
      </c>
      <c r="W34" s="464">
        <v>17.654</v>
      </c>
      <c r="X34" s="479">
        <v>19</v>
      </c>
    </row>
    <row r="35" spans="1:26" s="12" customFormat="1" ht="15" customHeight="1" x14ac:dyDescent="0.3">
      <c r="A35" s="468" t="s">
        <v>56</v>
      </c>
      <c r="B35" s="464">
        <v>0</v>
      </c>
      <c r="C35" s="464">
        <v>0</v>
      </c>
      <c r="D35" s="464">
        <v>0</v>
      </c>
      <c r="E35" s="464">
        <v>0</v>
      </c>
      <c r="F35" s="464">
        <v>0</v>
      </c>
      <c r="G35" s="464">
        <v>0</v>
      </c>
      <c r="H35" s="464">
        <v>0</v>
      </c>
      <c r="I35" s="464">
        <v>0</v>
      </c>
      <c r="J35" s="464">
        <v>0</v>
      </c>
      <c r="K35" s="464">
        <v>0</v>
      </c>
      <c r="L35" s="464">
        <v>0</v>
      </c>
      <c r="M35" s="464">
        <v>0</v>
      </c>
      <c r="N35" s="464">
        <v>0</v>
      </c>
      <c r="O35" s="464">
        <v>0</v>
      </c>
      <c r="P35" s="464">
        <v>0</v>
      </c>
      <c r="Q35" s="464">
        <v>0.4607</v>
      </c>
      <c r="R35" s="464">
        <v>13.52289</v>
      </c>
      <c r="S35" s="464">
        <v>19.723202000000001</v>
      </c>
      <c r="T35" s="464">
        <v>16.151</v>
      </c>
      <c r="U35" s="464">
        <v>7.4660289999999998</v>
      </c>
      <c r="V35" s="464">
        <v>2.4700479999999998</v>
      </c>
      <c r="W35" s="464">
        <v>0.70625599999999999</v>
      </c>
      <c r="X35" s="479">
        <v>0.01</v>
      </c>
    </row>
    <row r="36" spans="1:26" s="12" customFormat="1" ht="15" customHeight="1" x14ac:dyDescent="0.3">
      <c r="A36" s="109" t="s">
        <v>263</v>
      </c>
      <c r="B36" s="504"/>
      <c r="C36" s="504"/>
      <c r="D36" s="504"/>
      <c r="E36" s="504"/>
      <c r="F36" s="504"/>
      <c r="G36" s="504"/>
      <c r="H36" s="504"/>
      <c r="I36" s="504"/>
      <c r="J36" s="504"/>
      <c r="K36" s="504"/>
      <c r="L36" s="504"/>
      <c r="M36" s="504"/>
      <c r="N36" s="504"/>
      <c r="O36" s="504"/>
      <c r="P36" s="504"/>
      <c r="Q36" s="504"/>
      <c r="R36" s="504"/>
      <c r="S36" s="504"/>
      <c r="T36" s="504"/>
      <c r="U36" s="504"/>
      <c r="V36" s="504"/>
      <c r="W36" s="504"/>
      <c r="X36" s="505"/>
      <c r="Y36" s="469"/>
      <c r="Z36" s="469"/>
    </row>
    <row r="37" spans="1:26" s="12" customFormat="1" ht="15" customHeight="1" x14ac:dyDescent="0.3">
      <c r="A37" s="475" t="s">
        <v>55</v>
      </c>
      <c r="B37" s="476">
        <v>0</v>
      </c>
      <c r="C37" s="476">
        <v>0</v>
      </c>
      <c r="D37" s="476">
        <v>0</v>
      </c>
      <c r="E37" s="476">
        <v>0</v>
      </c>
      <c r="F37" s="476">
        <v>0</v>
      </c>
      <c r="G37" s="476">
        <v>0</v>
      </c>
      <c r="H37" s="476">
        <v>0</v>
      </c>
      <c r="I37" s="476">
        <v>0</v>
      </c>
      <c r="J37" s="476">
        <v>0</v>
      </c>
      <c r="K37" s="476">
        <v>0.185943</v>
      </c>
      <c r="L37" s="476">
        <v>1.3941349999999999</v>
      </c>
      <c r="M37" s="476">
        <v>3.6000830000000001</v>
      </c>
      <c r="N37" s="476">
        <v>9.5204450000000005</v>
      </c>
      <c r="O37" s="476">
        <v>24.969619999999999</v>
      </c>
      <c r="P37" s="476">
        <v>21.6</v>
      </c>
      <c r="Q37" s="476">
        <v>21.7</v>
      </c>
      <c r="R37" s="476">
        <v>22.546979032107743</v>
      </c>
      <c r="S37" s="476">
        <v>25.225230400000001</v>
      </c>
      <c r="T37" s="476">
        <v>21.352295000000002</v>
      </c>
      <c r="U37" s="476">
        <v>18.708015</v>
      </c>
      <c r="V37" s="476">
        <v>18.708015</v>
      </c>
      <c r="W37" s="476">
        <v>18.70035</v>
      </c>
      <c r="X37" s="480">
        <v>14.644838999999999</v>
      </c>
    </row>
    <row r="38" spans="1:26" s="12" customFormat="1" ht="15" customHeight="1" x14ac:dyDescent="0.3">
      <c r="A38" s="53" t="s">
        <v>308</v>
      </c>
      <c r="B38" s="477">
        <f t="shared" ref="B38:S38" si="1">SUM(B29:B35)+SUM(B37:B37)</f>
        <v>54.302305165436813</v>
      </c>
      <c r="C38" s="477">
        <f t="shared" si="1"/>
        <v>71.847645714285719</v>
      </c>
      <c r="D38" s="477">
        <f t="shared" si="1"/>
        <v>88.502857142857138</v>
      </c>
      <c r="E38" s="477">
        <f t="shared" si="1"/>
        <v>104.09036571428571</v>
      </c>
      <c r="F38" s="477">
        <f t="shared" si="1"/>
        <v>114.26380685714285</v>
      </c>
      <c r="G38" s="477">
        <f t="shared" si="1"/>
        <v>136.22742857142856</v>
      </c>
      <c r="H38" s="477">
        <f t="shared" si="1"/>
        <v>132.071743</v>
      </c>
      <c r="I38" s="477">
        <f t="shared" si="1"/>
        <v>136.77563500000002</v>
      </c>
      <c r="J38" s="477">
        <f t="shared" si="1"/>
        <v>210.48600349999998</v>
      </c>
      <c r="K38" s="477">
        <f t="shared" si="1"/>
        <v>204.11774299999999</v>
      </c>
      <c r="L38" s="477">
        <f t="shared" si="1"/>
        <v>192.64850800000002</v>
      </c>
      <c r="M38" s="477">
        <f t="shared" si="1"/>
        <v>180.26103100000003</v>
      </c>
      <c r="N38" s="477">
        <f t="shared" si="1"/>
        <v>165.62294299999999</v>
      </c>
      <c r="O38" s="477">
        <f t="shared" si="1"/>
        <v>194.79162600000001</v>
      </c>
      <c r="P38" s="477">
        <f t="shared" si="1"/>
        <v>219.94602599999999</v>
      </c>
      <c r="Q38" s="477">
        <f t="shared" si="1"/>
        <v>236.37029699999999</v>
      </c>
      <c r="R38" s="477">
        <f t="shared" si="1"/>
        <v>270.56405003210773</v>
      </c>
      <c r="S38" s="477">
        <f t="shared" si="1"/>
        <v>298.6432954</v>
      </c>
      <c r="T38" s="477">
        <f>SUM(T29:T35)+SUM(T37:T37)</f>
        <v>325.72783200000003</v>
      </c>
      <c r="U38" s="477">
        <f t="shared" ref="U38:X38" si="2">SUM(U29:U35)+SUM(U37:U37)</f>
        <v>320.37566429999998</v>
      </c>
      <c r="V38" s="477">
        <f t="shared" si="2"/>
        <v>339.15813200000002</v>
      </c>
      <c r="W38" s="477">
        <f t="shared" si="2"/>
        <v>347.19642600000003</v>
      </c>
      <c r="X38" s="481">
        <f t="shared" si="2"/>
        <v>349.33713299999999</v>
      </c>
    </row>
    <row r="39" spans="1:26" s="12" customFormat="1" ht="15" customHeight="1" x14ac:dyDescent="0.3">
      <c r="A39" s="229" t="s">
        <v>319</v>
      </c>
      <c r="B39" s="231">
        <f>+B38/B53</f>
        <v>3.2785901553150643E-2</v>
      </c>
      <c r="C39" s="231">
        <f>+C38/C53</f>
        <v>3.5630053069584139E-2</v>
      </c>
      <c r="D39" s="231">
        <f>+D38/D53</f>
        <v>4.6487720359313339E-2</v>
      </c>
      <c r="E39" s="231">
        <f>+E38/E53</f>
        <v>4.9344555343209022E-2</v>
      </c>
      <c r="F39" s="231">
        <f>+F38/F53</f>
        <v>5.1530766737986039E-2</v>
      </c>
      <c r="G39" s="231">
        <f>+G38/G53</f>
        <v>5.5142312422910851E-2</v>
      </c>
      <c r="H39" s="231">
        <f>+H38/H53</f>
        <v>4.960869596246812E-2</v>
      </c>
      <c r="I39" s="231">
        <f>+I38/I53</f>
        <v>4.7981349540447638E-2</v>
      </c>
      <c r="J39" s="231">
        <f>+J38/J53</f>
        <v>7.0240905116747798E-2</v>
      </c>
      <c r="K39" s="231">
        <f>+K38/K53</f>
        <v>6.9176509482559947E-2</v>
      </c>
      <c r="L39" s="231">
        <f>+L38/L53</f>
        <v>5.8444218330967038E-2</v>
      </c>
      <c r="M39" s="231">
        <f>+M38/M53</f>
        <v>4.8121964964548104E-2</v>
      </c>
      <c r="N39" s="231">
        <f>+N38/N53</f>
        <v>4.2650270647493875E-2</v>
      </c>
      <c r="O39" s="231">
        <f>+O38/O53</f>
        <v>4.4116716379374775E-2</v>
      </c>
      <c r="P39" s="231">
        <f>+P38/P53</f>
        <v>4.8117809489847931E-2</v>
      </c>
      <c r="Q39" s="231">
        <f>+Q38/Q53</f>
        <v>5.0062861142822039E-2</v>
      </c>
      <c r="R39" s="231">
        <f>+R38/R53</f>
        <v>5.2774244079586898E-2</v>
      </c>
      <c r="S39" s="231">
        <f>+S38/S53</f>
        <v>5.6119290774544396E-2</v>
      </c>
      <c r="T39" s="231">
        <f>+T38/T53</f>
        <v>5.7563325204114092E-2</v>
      </c>
      <c r="U39" s="231">
        <f>+U38/U53</f>
        <v>5.6746644236696113E-2</v>
      </c>
      <c r="V39" s="231">
        <f>+V38/V53</f>
        <v>5.8751571088302805E-2</v>
      </c>
      <c r="W39" s="231">
        <f>+W38/W53</f>
        <v>5.7651319833619777E-2</v>
      </c>
      <c r="X39" s="465">
        <f>+X38/X53</f>
        <v>5.524455261294535E-2</v>
      </c>
    </row>
    <row r="40" spans="1:26" s="12" customFormat="1" ht="15" customHeight="1" x14ac:dyDescent="0.3">
      <c r="A40" s="229" t="s">
        <v>316</v>
      </c>
      <c r="B40" s="231"/>
      <c r="C40" s="231"/>
      <c r="D40" s="231"/>
      <c r="E40" s="231">
        <f>+E38/E54</f>
        <v>0.12214711506107372</v>
      </c>
      <c r="F40" s="231">
        <f>+F38/F54</f>
        <v>0.13211050725334864</v>
      </c>
      <c r="G40" s="231">
        <f>+G38/G54</f>
        <v>0.15145226533958131</v>
      </c>
      <c r="H40" s="231">
        <f>+H38/H54</f>
        <v>0.12642301392010202</v>
      </c>
      <c r="I40" s="231">
        <f>+I38/I54</f>
        <v>0.12720635858643353</v>
      </c>
      <c r="J40" s="231">
        <f>+J38/J54</f>
        <v>0.19184187049967602</v>
      </c>
      <c r="K40" s="231">
        <f>+K38/K54</f>
        <v>0.20503964223943696</v>
      </c>
      <c r="L40" s="231">
        <f>+L38/L54</f>
        <v>0.17184757871442746</v>
      </c>
      <c r="M40" s="231" t="e">
        <f>+M38/M54</f>
        <v>#DIV/0!</v>
      </c>
      <c r="N40" s="231">
        <f>+N38/N54</f>
        <v>0.13171466269414289</v>
      </c>
      <c r="O40" s="231" t="e">
        <f>+O38/O54</f>
        <v>#DIV/0!</v>
      </c>
      <c r="P40" s="231">
        <f>+P38/P54</f>
        <v>0.16944015253355929</v>
      </c>
      <c r="Q40" s="231">
        <f>+Q38/Q54</f>
        <v>0.13978054358046374</v>
      </c>
      <c r="R40" s="231">
        <f>+R38/R54</f>
        <v>0.14582810764768725</v>
      </c>
      <c r="S40" s="231">
        <f>+S38/S54</f>
        <v>0.15387718166313716</v>
      </c>
      <c r="T40" s="231">
        <f>+T38/T54</f>
        <v>0.15342086194715276</v>
      </c>
      <c r="U40" s="231">
        <f>+U38/U54</f>
        <v>0.15117001184821263</v>
      </c>
      <c r="V40" s="231">
        <f>+V38/V54</f>
        <v>0.15171466428092151</v>
      </c>
      <c r="W40" s="231">
        <f>+W38/W54</f>
        <v>49.312380055491673</v>
      </c>
      <c r="X40" s="465">
        <f>+X38/X54</f>
        <v>0.20828763904017569</v>
      </c>
    </row>
    <row r="41" spans="1:26" s="12" customFormat="1" ht="15" customHeight="1" x14ac:dyDescent="0.3">
      <c r="A41" s="229" t="s">
        <v>317</v>
      </c>
      <c r="B41" s="231">
        <f>+B38/B55</f>
        <v>5.7157312947146797E-3</v>
      </c>
      <c r="C41" s="231">
        <f>+C38/C55</f>
        <v>6.9650182457743895E-3</v>
      </c>
      <c r="D41" s="231">
        <f>+D38/D55</f>
        <v>7.9483827263291448E-3</v>
      </c>
      <c r="E41" s="231">
        <f>+E38/E55</f>
        <v>8.668129452240575E-3</v>
      </c>
      <c r="F41" s="231">
        <f>+F38/F55</f>
        <v>9.1669921343588579E-3</v>
      </c>
      <c r="G41" s="231">
        <f>+G38/G55</f>
        <v>1.0372041371043967E-2</v>
      </c>
      <c r="H41" s="231">
        <f>+H38/H55</f>
        <v>9.5616167005726609E-3</v>
      </c>
      <c r="I41" s="231">
        <f>+I38/I55</f>
        <v>9.5602504421005551E-3</v>
      </c>
      <c r="J41" s="231">
        <f>+J38/J55</f>
        <v>1.398884828567061E-2</v>
      </c>
      <c r="K41" s="231">
        <f>+K38/K55</f>
        <v>1.2920234645499832E-2</v>
      </c>
      <c r="L41" s="231">
        <f>+L38/L55</f>
        <v>1.1270080848026772E-2</v>
      </c>
      <c r="M41" s="231">
        <f>+M38/M55</f>
        <v>9.7172091080120985E-3</v>
      </c>
      <c r="N41" s="231">
        <f>+N38/N55</f>
        <v>8.2379391591104641E-3</v>
      </c>
      <c r="O41" s="231">
        <f>+O38/O55</f>
        <v>9.0892457654799131E-3</v>
      </c>
      <c r="P41" s="231">
        <f>+P38/P55</f>
        <v>1.0645468563961086E-2</v>
      </c>
      <c r="Q41" s="231">
        <f>+Q38/Q55</f>
        <v>1.1035903736524374E-2</v>
      </c>
      <c r="R41" s="231">
        <f>+R38/R55</f>
        <v>1.1692988030256611E-2</v>
      </c>
      <c r="S41" s="231">
        <f>+S38/S55</f>
        <v>1.2540871409614674E-2</v>
      </c>
      <c r="T41" s="231">
        <f>+T38/T55</f>
        <v>1.3376418612864413E-2</v>
      </c>
      <c r="U41" s="231">
        <f>+U38/U55</f>
        <v>1.2787303697583638E-2</v>
      </c>
      <c r="V41" s="231">
        <f>+V38/V55</f>
        <v>1.312013570494619E-2</v>
      </c>
      <c r="W41" s="231">
        <f>+W38/W55</f>
        <v>1.316773769414459E-2</v>
      </c>
      <c r="X41" s="465">
        <f>+X38/X55</f>
        <v>1.3436043576923077E-2</v>
      </c>
    </row>
    <row r="42" spans="1:26" s="12" customFormat="1" ht="15" customHeight="1" x14ac:dyDescent="0.3">
      <c r="A42" s="229" t="s">
        <v>318</v>
      </c>
      <c r="B42" s="464">
        <f>+(B38*1000000)/B56</f>
        <v>39.28390944787602</v>
      </c>
      <c r="C42" s="464">
        <f>+(C38*1000000)/C56</f>
        <v>49.386444034963944</v>
      </c>
      <c r="D42" s="464">
        <f>+(D38*1000000)/D56</f>
        <v>60.499964550802012</v>
      </c>
      <c r="E42" s="464">
        <f>+(E38*1000000)/E56</f>
        <v>70.709384509397694</v>
      </c>
      <c r="F42" s="464">
        <f>+(F38*1000000)/F56</f>
        <v>75.857069261678149</v>
      </c>
      <c r="G42" s="464">
        <f>+(G38*1000000)/G56</f>
        <v>86.951161777932739</v>
      </c>
      <c r="H42" s="464">
        <f>+(H38*1000000)/H56</f>
        <v>81.108907552910168</v>
      </c>
      <c r="I42" s="464">
        <f>+(I38*1000000)/I56</f>
        <v>84.750567118233874</v>
      </c>
      <c r="J42" s="464">
        <f>+(J38*1000000)/J56</f>
        <v>124.73074648464049</v>
      </c>
      <c r="K42" s="464">
        <f>+(K38*1000000)/K56</f>
        <v>117.93362144922679</v>
      </c>
      <c r="L42" s="464">
        <f>+(L38*1000000)/L56</f>
        <v>110.37391523057242</v>
      </c>
      <c r="M42" s="464">
        <f>+(M38*1000000)/M56</f>
        <v>100.61808994176511</v>
      </c>
      <c r="N42" s="464">
        <f>+(N38*1000000)/N56</f>
        <v>114.03585779440034</v>
      </c>
      <c r="O42" s="464">
        <f>+(O38*1000000)/O56</f>
        <v>120.29038036984089</v>
      </c>
      <c r="P42" s="464">
        <f>+(P38*1000000)/P56</f>
        <v>131.01086942277934</v>
      </c>
      <c r="Q42" s="464">
        <f>+(Q38*1000000)/Q56</f>
        <v>137.63175908387683</v>
      </c>
      <c r="R42" s="464">
        <f>+(R38*1000000)/R56</f>
        <v>153.04729599303769</v>
      </c>
      <c r="S42" s="464">
        <f>+(S38*1000000)/S56</f>
        <v>162.15359105102752</v>
      </c>
      <c r="T42" s="464">
        <f>+(T38*1000000)/T56</f>
        <v>176.05187384369424</v>
      </c>
      <c r="U42" s="464">
        <f>+(U38*1000000)/U56</f>
        <v>174.37687877600339</v>
      </c>
      <c r="V42" s="464">
        <f>+(V38*1000000)/V56</f>
        <v>183.655527565809</v>
      </c>
      <c r="W42" s="464">
        <f>+(W38*1000000)/W56</f>
        <v>182.89947431663535</v>
      </c>
      <c r="X42" s="479">
        <f>+(X38*1000000)/X56</f>
        <v>189.07013307109159</v>
      </c>
    </row>
    <row r="43" spans="1:26" s="12" customFormat="1" ht="15" customHeight="1" x14ac:dyDescent="0.3">
      <c r="A43" s="229" t="s">
        <v>338</v>
      </c>
      <c r="B43" s="231">
        <f>+B38/B57</f>
        <v>3.4281758311513137E-2</v>
      </c>
      <c r="C43" s="231">
        <f>+C38/C57</f>
        <v>4.5358362193362194E-2</v>
      </c>
      <c r="D43" s="231">
        <f>+D38/D57</f>
        <v>5.5873015873015873E-2</v>
      </c>
      <c r="E43" s="231">
        <f>+E38/E57</f>
        <v>6.0237480158730157E-2</v>
      </c>
      <c r="F43" s="231">
        <f>+F38/F57</f>
        <v>6.6124888227513223E-2</v>
      </c>
      <c r="G43" s="231">
        <f>+G38/G57</f>
        <v>7.8835317460317453E-2</v>
      </c>
      <c r="H43" s="231">
        <f>+H38/H57</f>
        <v>7.6430406828703709E-2</v>
      </c>
      <c r="I43" s="231">
        <f>+I38/I57</f>
        <v>7.9152566550925937E-2</v>
      </c>
      <c r="J43" s="231">
        <f>+J38/J57</f>
        <v>0.11073548163930974</v>
      </c>
      <c r="K43" s="231">
        <f>+K38/K57</f>
        <v>0.10738517624158248</v>
      </c>
      <c r="L43" s="231">
        <f>+L38/L57</f>
        <v>0.10135127735690236</v>
      </c>
      <c r="M43" s="231">
        <f>+M38/M57</f>
        <v>8.6183319468349603E-2</v>
      </c>
      <c r="N43" s="231">
        <f>+N38/N57</f>
        <v>7.9184807324536241E-2</v>
      </c>
      <c r="O43" s="231">
        <f>+O38/O57</f>
        <v>8.4413081123244915E-2</v>
      </c>
      <c r="P43" s="231">
        <f>+P38/P57</f>
        <v>8.8289188342967242E-2</v>
      </c>
      <c r="Q43" s="231">
        <f>+Q38/Q57</f>
        <v>9.4882103805394996E-2</v>
      </c>
      <c r="R43" s="231">
        <f>+R38/R57</f>
        <v>0.10061135283062166</v>
      </c>
      <c r="S43" s="231">
        <f>+S38/S57</f>
        <v>0.11105283928305816</v>
      </c>
      <c r="T43" s="231">
        <f>+T38/T57</f>
        <v>0.12112443551985723</v>
      </c>
      <c r="U43" s="231">
        <f>+U38/U57</f>
        <v>0.11014014861798678</v>
      </c>
      <c r="V43" s="231">
        <f>+V38/V57</f>
        <v>0.11228914448417429</v>
      </c>
      <c r="W43" s="231">
        <f>+W38/W57</f>
        <v>0.11495047874453715</v>
      </c>
      <c r="X43" s="465">
        <f>+X38/X57</f>
        <v>9.7038092499999992E-2</v>
      </c>
    </row>
    <row r="44" spans="1:26" s="12" customFormat="1" ht="15" customHeight="1" thickBot="1" x14ac:dyDescent="0.35">
      <c r="A44" s="241" t="s">
        <v>603</v>
      </c>
      <c r="B44" s="478">
        <f>+B42/B60</f>
        <v>3.0802581418260432E-2</v>
      </c>
      <c r="C44" s="478">
        <f>+C42/C60</f>
        <v>2.8957210358176142E-2</v>
      </c>
      <c r="D44" s="478">
        <f>+D42/D60</f>
        <v>3.6786433136841545E-2</v>
      </c>
      <c r="E44" s="478">
        <f>+E42/E60</f>
        <v>4.1881184641771624E-2</v>
      </c>
      <c r="F44" s="478">
        <f>+F42/F60</f>
        <v>4.9057053044435937E-2</v>
      </c>
      <c r="G44" s="478">
        <f>+G42/G60</f>
        <v>5.0495712649983024E-2</v>
      </c>
      <c r="H44" s="478">
        <f>+H42/H60</f>
        <v>4.1397139277702936E-2</v>
      </c>
      <c r="I44" s="478">
        <f>+I42/I60</f>
        <v>4.1453260257091999E-2</v>
      </c>
      <c r="J44" s="478">
        <f>+J42/J60</f>
        <v>6.3850150049621315E-2</v>
      </c>
      <c r="K44" s="478">
        <f>+K42/K60</f>
        <v>5.1803606471457049E-2</v>
      </c>
      <c r="L44" s="478">
        <f>+L42/L60</f>
        <v>6.0146493279495859E-2</v>
      </c>
      <c r="M44" s="478">
        <f>+M42/M60</f>
        <v>5.0344396044911276E-2</v>
      </c>
      <c r="N44" s="478">
        <f>+N42/N60</f>
        <v>5.4044625680651187E-2</v>
      </c>
      <c r="O44" s="478">
        <f>+O42/O60</f>
        <v>4.8601301478960066E-2</v>
      </c>
      <c r="P44" s="478">
        <f>+P42/P60</f>
        <v>5.3956637833406033E-2</v>
      </c>
      <c r="Q44" s="478">
        <f>+Q42/Q60</f>
        <v>6.8958410444614912E-2</v>
      </c>
      <c r="R44" s="478">
        <f>+R42/R60</f>
        <v>6.2236449907572981E-2</v>
      </c>
      <c r="S44" s="478">
        <f>+S42/S60</f>
        <v>6.408323834799913E-2</v>
      </c>
      <c r="T44" s="478">
        <f>+T42/T60</f>
        <v>6.7051466958123862E-2</v>
      </c>
      <c r="U44" s="478">
        <f>+U42/U60</f>
        <v>6.3868960925935483E-2</v>
      </c>
      <c r="V44" s="478">
        <f>+V42/V60</f>
        <v>6.3004707896142584E-2</v>
      </c>
      <c r="W44" s="478">
        <f>+W42/W60</f>
        <v>6.2745336916409641E-2</v>
      </c>
      <c r="X44" s="466">
        <f>+X42/X60</f>
        <v>6.4862237820532867E-2</v>
      </c>
    </row>
    <row r="45" spans="1:26" s="12" customFormat="1" ht="15" customHeight="1" x14ac:dyDescent="0.3">
      <c r="A45" s="230" t="s">
        <v>126</v>
      </c>
      <c r="B45" s="231"/>
      <c r="C45" s="231"/>
      <c r="D45" s="231"/>
      <c r="E45" s="231"/>
      <c r="F45" s="231"/>
      <c r="G45" s="231"/>
      <c r="H45" s="231"/>
      <c r="I45" s="231"/>
      <c r="J45" s="231"/>
      <c r="K45" s="231"/>
      <c r="L45" s="231"/>
      <c r="M45" s="231"/>
      <c r="N45" s="231"/>
      <c r="O45" s="231"/>
      <c r="P45" s="231"/>
      <c r="Q45" s="231"/>
      <c r="R45" s="231"/>
      <c r="S45" s="231"/>
      <c r="T45" s="231"/>
      <c r="U45" s="231"/>
      <c r="V45" s="231"/>
      <c r="W45" s="231"/>
      <c r="X45" s="231"/>
    </row>
    <row r="46" spans="1:26" s="12" customFormat="1" ht="15" customHeight="1" x14ac:dyDescent="0.3">
      <c r="A46" s="498" t="s">
        <v>530</v>
      </c>
      <c r="B46" s="499"/>
      <c r="C46" s="499"/>
      <c r="D46" s="499"/>
      <c r="E46" s="499"/>
      <c r="F46" s="499"/>
      <c r="G46" s="499"/>
      <c r="H46" s="499"/>
      <c r="I46" s="499"/>
      <c r="J46" s="499"/>
      <c r="K46" s="499"/>
      <c r="L46" s="499"/>
      <c r="M46" s="499"/>
      <c r="N46" s="499"/>
      <c r="O46" s="499"/>
      <c r="P46" s="499"/>
      <c r="Q46" s="499"/>
      <c r="R46" s="499"/>
      <c r="S46" s="499"/>
      <c r="T46" s="499"/>
      <c r="U46" s="499"/>
      <c r="V46" s="499"/>
      <c r="W46" s="462"/>
      <c r="X46" s="462"/>
    </row>
    <row r="47" spans="1:26" s="12" customFormat="1" ht="15" customHeight="1" x14ac:dyDescent="0.3">
      <c r="A47" s="500" t="s">
        <v>57</v>
      </c>
      <c r="B47" s="501"/>
      <c r="C47" s="501"/>
      <c r="D47" s="501"/>
      <c r="E47" s="501"/>
      <c r="F47" s="501"/>
      <c r="G47" s="501"/>
      <c r="H47" s="501"/>
      <c r="I47" s="501"/>
      <c r="J47" s="501"/>
      <c r="K47" s="501"/>
      <c r="L47" s="501"/>
      <c r="M47" s="501"/>
      <c r="N47" s="501"/>
      <c r="O47" s="501"/>
      <c r="P47" s="501"/>
      <c r="Q47" s="499"/>
      <c r="R47" s="499"/>
      <c r="S47" s="499"/>
      <c r="T47" s="499"/>
      <c r="U47" s="499"/>
      <c r="V47" s="499"/>
      <c r="W47" s="462"/>
      <c r="X47" s="462"/>
    </row>
    <row r="48" spans="1:26" s="12" customFormat="1" ht="15" customHeight="1" x14ac:dyDescent="0.3">
      <c r="A48" s="498" t="s">
        <v>529</v>
      </c>
      <c r="B48" s="499"/>
      <c r="C48" s="499"/>
      <c r="D48" s="499"/>
      <c r="E48" s="499"/>
      <c r="F48" s="499"/>
      <c r="G48" s="499"/>
      <c r="H48" s="499"/>
      <c r="I48" s="499"/>
      <c r="J48" s="499"/>
      <c r="K48" s="499"/>
      <c r="L48" s="499"/>
      <c r="M48" s="499"/>
      <c r="N48" s="499"/>
      <c r="O48" s="499"/>
      <c r="P48" s="499"/>
      <c r="Q48" s="499"/>
      <c r="R48" s="499"/>
      <c r="S48" s="499"/>
      <c r="T48" s="499"/>
      <c r="U48" s="499"/>
      <c r="V48" s="499"/>
      <c r="W48" s="462"/>
      <c r="X48" s="462"/>
    </row>
    <row r="49" spans="1:24" s="12" customFormat="1" ht="15" customHeight="1" x14ac:dyDescent="0.3">
      <c r="A49" s="498"/>
      <c r="B49" s="499"/>
      <c r="C49" s="499"/>
      <c r="D49" s="499"/>
      <c r="E49" s="499"/>
      <c r="F49" s="499"/>
      <c r="G49" s="499"/>
      <c r="H49" s="499"/>
      <c r="I49" s="499"/>
      <c r="J49" s="499"/>
      <c r="K49" s="499"/>
      <c r="L49" s="499"/>
      <c r="M49" s="499"/>
      <c r="N49" s="499"/>
      <c r="O49" s="499"/>
      <c r="P49" s="499"/>
      <c r="Q49" s="499"/>
      <c r="R49" s="499"/>
      <c r="S49" s="499"/>
      <c r="T49" s="499"/>
      <c r="U49" s="499"/>
      <c r="V49" s="499"/>
      <c r="W49" s="462"/>
      <c r="X49" s="462"/>
    </row>
    <row r="50" spans="1:24" s="12" customFormat="1" ht="15" customHeight="1" thickBot="1" x14ac:dyDescent="0.35">
      <c r="B50" s="496"/>
      <c r="C50" s="496"/>
      <c r="D50" s="496"/>
      <c r="E50" s="496"/>
      <c r="F50" s="496"/>
      <c r="G50" s="496"/>
      <c r="H50" s="496"/>
      <c r="I50" s="496"/>
      <c r="J50" s="496"/>
      <c r="K50" s="496"/>
      <c r="L50" s="496"/>
      <c r="M50" s="496"/>
      <c r="N50" s="496"/>
      <c r="O50" s="496"/>
      <c r="P50" s="496"/>
      <c r="Q50" s="497"/>
      <c r="R50" s="497"/>
      <c r="S50" s="497"/>
      <c r="T50" s="497"/>
      <c r="U50" s="497"/>
      <c r="V50" s="497"/>
      <c r="W50" s="231"/>
      <c r="X50" s="231"/>
    </row>
    <row r="51" spans="1:24" s="361" customFormat="1" ht="25.05" customHeight="1" thickBot="1" x14ac:dyDescent="0.35">
      <c r="A51" s="721" t="s">
        <v>292</v>
      </c>
      <c r="B51" s="359" t="s">
        <v>198</v>
      </c>
      <c r="C51" s="359" t="s">
        <v>199</v>
      </c>
      <c r="D51" s="359" t="s">
        <v>200</v>
      </c>
      <c r="E51" s="359" t="s">
        <v>201</v>
      </c>
      <c r="F51" s="359" t="s">
        <v>171</v>
      </c>
      <c r="G51" s="359" t="s">
        <v>172</v>
      </c>
      <c r="H51" s="359" t="s">
        <v>173</v>
      </c>
      <c r="I51" s="359" t="s">
        <v>174</v>
      </c>
      <c r="J51" s="359" t="s">
        <v>175</v>
      </c>
      <c r="K51" s="359" t="s">
        <v>176</v>
      </c>
      <c r="L51" s="359" t="s">
        <v>177</v>
      </c>
      <c r="M51" s="359" t="s">
        <v>178</v>
      </c>
      <c r="N51" s="359" t="s">
        <v>179</v>
      </c>
      <c r="O51" s="359" t="s">
        <v>180</v>
      </c>
      <c r="P51" s="359" t="s">
        <v>181</v>
      </c>
      <c r="Q51" s="359" t="s">
        <v>182</v>
      </c>
      <c r="R51" s="359" t="s">
        <v>183</v>
      </c>
      <c r="S51" s="359" t="s">
        <v>184</v>
      </c>
      <c r="T51" s="359" t="s">
        <v>185</v>
      </c>
      <c r="U51" s="359" t="s">
        <v>186</v>
      </c>
      <c r="V51" s="359" t="s">
        <v>187</v>
      </c>
      <c r="W51" s="359" t="s">
        <v>188</v>
      </c>
      <c r="X51" s="360" t="s">
        <v>204</v>
      </c>
    </row>
    <row r="52" spans="1:24" s="12" customFormat="1" ht="4.95" customHeight="1" x14ac:dyDescent="0.3">
      <c r="A52" s="229"/>
      <c r="B52" s="487"/>
      <c r="C52" s="487"/>
      <c r="D52" s="487"/>
      <c r="E52" s="487"/>
      <c r="F52" s="487"/>
      <c r="G52" s="487"/>
      <c r="H52" s="487"/>
      <c r="I52" s="487"/>
      <c r="J52" s="487"/>
      <c r="K52" s="487"/>
      <c r="L52" s="487"/>
      <c r="M52" s="487"/>
      <c r="N52" s="487"/>
      <c r="O52" s="487"/>
      <c r="P52" s="487"/>
      <c r="Q52" s="488"/>
      <c r="R52" s="488"/>
      <c r="S52" s="488"/>
      <c r="T52" s="488"/>
      <c r="U52" s="488"/>
      <c r="V52" s="488"/>
      <c r="W52" s="488"/>
      <c r="X52" s="489"/>
    </row>
    <row r="53" spans="1:24" s="12" customFormat="1" ht="15" customHeight="1" x14ac:dyDescent="0.3">
      <c r="A53" s="229" t="s">
        <v>531</v>
      </c>
      <c r="B53" s="487">
        <v>1656.27</v>
      </c>
      <c r="C53" s="487">
        <v>2016.49</v>
      </c>
      <c r="D53" s="487">
        <v>1903.79</v>
      </c>
      <c r="E53" s="487">
        <v>2109.46</v>
      </c>
      <c r="F53" s="487">
        <v>2217.39</v>
      </c>
      <c r="G53" s="487">
        <v>2470.4699999999998</v>
      </c>
      <c r="H53" s="487">
        <v>2662.27</v>
      </c>
      <c r="I53" s="487">
        <v>2850.6</v>
      </c>
      <c r="J53" s="487">
        <v>2996.63</v>
      </c>
      <c r="K53" s="487">
        <v>2950.6800000000003</v>
      </c>
      <c r="L53" s="487">
        <v>3296.2799999999997</v>
      </c>
      <c r="M53" s="487">
        <v>3745.92</v>
      </c>
      <c r="N53" s="487">
        <v>3883.2799999999997</v>
      </c>
      <c r="O53" s="487">
        <v>4415.37</v>
      </c>
      <c r="P53" s="487">
        <v>4570.99</v>
      </c>
      <c r="Q53" s="488">
        <v>4721.47</v>
      </c>
      <c r="R53" s="488">
        <v>5126.8200000000006</v>
      </c>
      <c r="S53" s="488">
        <v>5321.5800000000008</v>
      </c>
      <c r="T53" s="488">
        <v>5658.6</v>
      </c>
      <c r="U53" s="488">
        <v>5645.72</v>
      </c>
      <c r="V53" s="488">
        <v>5772.75</v>
      </c>
      <c r="W53" s="488">
        <v>6022.3499999999995</v>
      </c>
      <c r="X53" s="489">
        <v>6323.4674999999997</v>
      </c>
    </row>
    <row r="54" spans="1:24" s="12" customFormat="1" ht="15" customHeight="1" x14ac:dyDescent="0.3">
      <c r="A54" s="229" t="s">
        <v>532</v>
      </c>
      <c r="B54" s="488" t="s">
        <v>18</v>
      </c>
      <c r="C54" s="488" t="s">
        <v>18</v>
      </c>
      <c r="D54" s="488" t="s">
        <v>18</v>
      </c>
      <c r="E54" s="487">
        <v>852.17211771428572</v>
      </c>
      <c r="F54" s="487">
        <v>864.91081771428571</v>
      </c>
      <c r="G54" s="487">
        <v>899.4743542857143</v>
      </c>
      <c r="H54" s="487">
        <v>1044.6811771428572</v>
      </c>
      <c r="I54" s="487">
        <v>1075.2264</v>
      </c>
      <c r="J54" s="487">
        <v>1097.1849</v>
      </c>
      <c r="K54" s="487">
        <v>995.50379999999996</v>
      </c>
      <c r="L54" s="487">
        <v>1121.0428999999999</v>
      </c>
      <c r="M54" s="487">
        <v>0</v>
      </c>
      <c r="N54" s="487">
        <v>1257.4373999999998</v>
      </c>
      <c r="O54" s="487">
        <v>0</v>
      </c>
      <c r="P54" s="487">
        <v>1298.075</v>
      </c>
      <c r="Q54" s="490">
        <v>1691.01</v>
      </c>
      <c r="R54" s="490">
        <v>1855.3628268</v>
      </c>
      <c r="S54" s="490">
        <v>1940.7900000000002</v>
      </c>
      <c r="T54" s="490">
        <v>2123.1</v>
      </c>
      <c r="U54" s="490">
        <v>2119.3070000000002</v>
      </c>
      <c r="V54" s="490">
        <v>2235.5</v>
      </c>
      <c r="W54" s="490">
        <v>7.0407558022812262</v>
      </c>
      <c r="X54" s="491">
        <v>1677.1860999999999</v>
      </c>
    </row>
    <row r="55" spans="1:24" s="12" customFormat="1" ht="15" customHeight="1" x14ac:dyDescent="0.3">
      <c r="A55" s="229" t="s">
        <v>387</v>
      </c>
      <c r="B55" s="487">
        <v>9500.5</v>
      </c>
      <c r="C55" s="487">
        <v>10315.5</v>
      </c>
      <c r="D55" s="487">
        <v>11134.7</v>
      </c>
      <c r="E55" s="487">
        <v>12008.4</v>
      </c>
      <c r="F55" s="487">
        <v>12464.7</v>
      </c>
      <c r="G55" s="487">
        <v>13134.1</v>
      </c>
      <c r="H55" s="487">
        <v>13812.7</v>
      </c>
      <c r="I55" s="487">
        <v>14306.7</v>
      </c>
      <c r="J55" s="487">
        <v>15046.7</v>
      </c>
      <c r="K55" s="487">
        <v>15798.3</v>
      </c>
      <c r="L55" s="487">
        <v>17093.8</v>
      </c>
      <c r="M55" s="487">
        <v>18550.7</v>
      </c>
      <c r="N55" s="487">
        <v>20104.900000000001</v>
      </c>
      <c r="O55" s="487">
        <v>21431</v>
      </c>
      <c r="P55" s="487">
        <v>20661</v>
      </c>
      <c r="Q55" s="488">
        <v>21418.3</v>
      </c>
      <c r="R55" s="488">
        <v>23139</v>
      </c>
      <c r="S55" s="488">
        <v>23813.599999999999</v>
      </c>
      <c r="T55" s="488">
        <v>24350.9</v>
      </c>
      <c r="U55" s="488">
        <v>25054.2</v>
      </c>
      <c r="V55" s="488">
        <v>25850.2</v>
      </c>
      <c r="W55" s="488">
        <v>26367.204000000002</v>
      </c>
      <c r="X55" s="489">
        <v>26000</v>
      </c>
    </row>
    <row r="56" spans="1:24" s="12" customFormat="1" ht="15" customHeight="1" x14ac:dyDescent="0.3">
      <c r="A56" s="229" t="s">
        <v>544</v>
      </c>
      <c r="B56" s="473">
        <v>1382304</v>
      </c>
      <c r="C56" s="473">
        <v>1454805</v>
      </c>
      <c r="D56" s="473">
        <v>1462858</v>
      </c>
      <c r="E56" s="473">
        <v>1472087</v>
      </c>
      <c r="F56" s="473">
        <v>1506304</v>
      </c>
      <c r="G56" s="473">
        <v>1566712</v>
      </c>
      <c r="H56" s="473">
        <v>1628326</v>
      </c>
      <c r="I56" s="473">
        <v>1613861</v>
      </c>
      <c r="J56" s="473">
        <v>1687523</v>
      </c>
      <c r="K56" s="473">
        <v>1730785</v>
      </c>
      <c r="L56" s="473">
        <v>1745417</v>
      </c>
      <c r="M56" s="473">
        <v>1791537</v>
      </c>
      <c r="N56" s="473">
        <v>1452376</v>
      </c>
      <c r="O56" s="473">
        <v>1619345</v>
      </c>
      <c r="P56" s="473">
        <v>1678838</v>
      </c>
      <c r="Q56" s="473">
        <v>1717411</v>
      </c>
      <c r="R56" s="473">
        <v>1767846</v>
      </c>
      <c r="S56" s="473">
        <v>1841731</v>
      </c>
      <c r="T56" s="473">
        <v>1850181</v>
      </c>
      <c r="U56" s="473">
        <v>1837260</v>
      </c>
      <c r="V56" s="473">
        <v>1846708</v>
      </c>
      <c r="W56" s="473">
        <v>1898291</v>
      </c>
      <c r="X56" s="482">
        <v>1847659</v>
      </c>
    </row>
    <row r="57" spans="1:24" s="492" customFormat="1" ht="15" customHeight="1" x14ac:dyDescent="0.3">
      <c r="A57" s="229" t="s">
        <v>533</v>
      </c>
      <c r="B57" s="471">
        <f>((38.5/8.75)*30)*12</f>
        <v>1584</v>
      </c>
      <c r="C57" s="471">
        <f>((38.5/8.75)*30)*12</f>
        <v>1584</v>
      </c>
      <c r="D57" s="471">
        <f>((38.5/8.75)*30)*12</f>
        <v>1584</v>
      </c>
      <c r="E57" s="471">
        <f>((42/8.75)*30)*12</f>
        <v>1728</v>
      </c>
      <c r="F57" s="471">
        <f>((42/8.75)*30)*12</f>
        <v>1728</v>
      </c>
      <c r="G57" s="471">
        <f>((42/8.75)*30)*12</f>
        <v>1728</v>
      </c>
      <c r="H57" s="471">
        <f>((42/8.75)*30)*12</f>
        <v>1728</v>
      </c>
      <c r="I57" s="471">
        <f>((42/8.75)*30)*12</f>
        <v>1728</v>
      </c>
      <c r="J57" s="471">
        <f>((5.28)*30)*12</f>
        <v>1900.8000000000002</v>
      </c>
      <c r="K57" s="471">
        <f>((5.28)*30)*12</f>
        <v>1900.8000000000002</v>
      </c>
      <c r="L57" s="471">
        <f>((5.28)*30)*12</f>
        <v>1900.8000000000002</v>
      </c>
      <c r="M57" s="471">
        <f>((5.81)*30)*12</f>
        <v>2091.6</v>
      </c>
      <c r="N57" s="471">
        <f>((5.81)*30)*12</f>
        <v>2091.6</v>
      </c>
      <c r="O57" s="471">
        <f>((6.41)*30)*12</f>
        <v>2307.6000000000004</v>
      </c>
      <c r="P57" s="471">
        <f>((6.92)*30)*12</f>
        <v>2491.1999999999998</v>
      </c>
      <c r="Q57" s="471">
        <f>((6.92)*30)*12</f>
        <v>2491.1999999999998</v>
      </c>
      <c r="R57" s="471">
        <f>((7.47)*30)*12</f>
        <v>2689.2</v>
      </c>
      <c r="S57" s="471">
        <f>((7.47)*30)*12</f>
        <v>2689.2</v>
      </c>
      <c r="T57" s="471">
        <f>((7.47)*30)*12</f>
        <v>2689.2</v>
      </c>
      <c r="U57" s="471">
        <f>((8.08)*30)*12</f>
        <v>2908.8</v>
      </c>
      <c r="V57" s="471">
        <f>((8.39)*30)*12</f>
        <v>3020.4</v>
      </c>
      <c r="W57" s="471">
        <f>((8.39)*30)*12</f>
        <v>3020.4</v>
      </c>
      <c r="X57" s="483">
        <f>((10)*30)*12</f>
        <v>3600</v>
      </c>
    </row>
    <row r="58" spans="1:24" s="492" customFormat="1" ht="15" customHeight="1" x14ac:dyDescent="0.3">
      <c r="A58" s="229" t="s">
        <v>534</v>
      </c>
      <c r="B58" s="471">
        <v>1736.0485550770363</v>
      </c>
      <c r="C58" s="471">
        <v>2180.5427737890427</v>
      </c>
      <c r="D58" s="471">
        <v>2271.2337829533176</v>
      </c>
      <c r="E58" s="471">
        <v>2372.8870581096689</v>
      </c>
      <c r="F58" s="471">
        <v>2302.6158126138589</v>
      </c>
      <c r="G58" s="471">
        <v>2459.1126988576161</v>
      </c>
      <c r="H58" s="471">
        <v>2698.8965057153796</v>
      </c>
      <c r="I58" s="471">
        <v>2769.0155256397561</v>
      </c>
      <c r="J58" s="471">
        <v>2560.16072308613</v>
      </c>
      <c r="K58" s="471">
        <v>2774.0503152670858</v>
      </c>
      <c r="L58" s="471">
        <v>2613.604771987837</v>
      </c>
      <c r="M58" s="471">
        <v>2767.2991457887365</v>
      </c>
      <c r="N58" s="471">
        <v>2948.7755143761751</v>
      </c>
      <c r="O58" s="471">
        <v>3285.9630755941234</v>
      </c>
      <c r="P58" s="471">
        <v>3291.5329842337824</v>
      </c>
      <c r="Q58" s="470">
        <v>2842.5091865691575</v>
      </c>
      <c r="R58" s="470">
        <v>3290.4794026692316</v>
      </c>
      <c r="S58" s="470">
        <v>3427.261310287473</v>
      </c>
      <c r="T58" s="470">
        <v>3652.6087913458014</v>
      </c>
      <c r="U58" s="470">
        <v>3658.5380603135181</v>
      </c>
      <c r="V58" s="470">
        <v>3677.5956358659578</v>
      </c>
      <c r="W58" s="470">
        <v>3677.5956358659578</v>
      </c>
      <c r="X58" s="461">
        <v>3677.5956358659578</v>
      </c>
    </row>
    <row r="59" spans="1:24" s="492" customFormat="1" ht="15" customHeight="1" x14ac:dyDescent="0.3">
      <c r="A59" s="229" t="s">
        <v>535</v>
      </c>
      <c r="B59" s="471">
        <v>3021.6392675519369</v>
      </c>
      <c r="C59" s="471">
        <v>3390.240899629172</v>
      </c>
      <c r="D59" s="471">
        <v>4006.6396435325878</v>
      </c>
      <c r="E59" s="471">
        <v>3877.4161652720186</v>
      </c>
      <c r="F59" s="471">
        <v>3907.2916819810625</v>
      </c>
      <c r="G59" s="471">
        <v>4148.1963852218705</v>
      </c>
      <c r="H59" s="471">
        <v>4297.841953428062</v>
      </c>
      <c r="I59" s="471">
        <v>4302.0230955507013</v>
      </c>
      <c r="J59" s="471">
        <v>4050.6803703785176</v>
      </c>
      <c r="K59" s="471">
        <v>3907.2093485312107</v>
      </c>
      <c r="L59" s="471">
        <v>4252.1987621523058</v>
      </c>
      <c r="M59" s="471">
        <v>4503.4176269549571</v>
      </c>
      <c r="N59" s="471">
        <v>4662.8215604851994</v>
      </c>
      <c r="O59" s="471">
        <v>4682.9741087078128</v>
      </c>
      <c r="P59" s="471">
        <v>4916.8980984434402</v>
      </c>
      <c r="Q59" s="234">
        <v>4871.6416121720877</v>
      </c>
      <c r="R59" s="234">
        <v>4876.5518985596173</v>
      </c>
      <c r="S59" s="234">
        <v>5141.868442844675</v>
      </c>
      <c r="T59" s="234">
        <v>5500.191510498993</v>
      </c>
      <c r="U59" s="234">
        <v>5285.0176374557341</v>
      </c>
      <c r="V59" s="234">
        <v>5179.0798128017668</v>
      </c>
      <c r="W59" s="234">
        <v>5179.0798128017668</v>
      </c>
      <c r="X59" s="237">
        <v>5179.0798128017668</v>
      </c>
    </row>
    <row r="60" spans="1:24" s="492" customFormat="1" ht="15" customHeight="1" x14ac:dyDescent="0.3">
      <c r="A60" s="238" t="s">
        <v>536</v>
      </c>
      <c r="B60" s="493">
        <v>1275.3447159005859</v>
      </c>
      <c r="C60" s="493">
        <v>1705.4972983963407</v>
      </c>
      <c r="D60" s="493">
        <v>1644.6270918887053</v>
      </c>
      <c r="E60" s="493">
        <v>1688.3329617871718</v>
      </c>
      <c r="F60" s="493">
        <v>1546.303019730246</v>
      </c>
      <c r="G60" s="493">
        <v>1721.9513739838658</v>
      </c>
      <c r="H60" s="493">
        <v>1959.2877422956744</v>
      </c>
      <c r="I60" s="493">
        <v>2044.4849595089299</v>
      </c>
      <c r="J60" s="493">
        <v>1953.4918302886626</v>
      </c>
      <c r="K60" s="493">
        <v>2276.5523383821997</v>
      </c>
      <c r="L60" s="493">
        <v>1835.0847940157346</v>
      </c>
      <c r="M60" s="493">
        <v>1998.5956302267612</v>
      </c>
      <c r="N60" s="493">
        <v>2110.0314112310884</v>
      </c>
      <c r="O60" s="493">
        <v>2475.0444269875297</v>
      </c>
      <c r="P60" s="493">
        <v>2428.0769648265023</v>
      </c>
      <c r="Q60" s="494">
        <v>1995.8661778379892</v>
      </c>
      <c r="R60" s="494">
        <v>2459.1263836598555</v>
      </c>
      <c r="S60" s="494">
        <v>2530.3588774722157</v>
      </c>
      <c r="T60" s="477">
        <v>2625.623000219297</v>
      </c>
      <c r="U60" s="494">
        <v>2730.2288349142937</v>
      </c>
      <c r="V60" s="494">
        <v>2914.9492744026065</v>
      </c>
      <c r="W60" s="494">
        <v>2914.9492744026065</v>
      </c>
      <c r="X60" s="495">
        <v>2914.9492744026065</v>
      </c>
    </row>
    <row r="61" spans="1:24" ht="15" customHeight="1" x14ac:dyDescent="0.3">
      <c r="A61" s="57" t="s">
        <v>126</v>
      </c>
    </row>
    <row r="62" spans="1:24" ht="15" customHeight="1" x14ac:dyDescent="0.3">
      <c r="A62" s="57" t="s">
        <v>537</v>
      </c>
    </row>
    <row r="63" spans="1:24" ht="15" customHeight="1" x14ac:dyDescent="0.3">
      <c r="A63" s="298" t="s">
        <v>58</v>
      </c>
    </row>
    <row r="64" spans="1:24" ht="15" customHeight="1" x14ac:dyDescent="0.3">
      <c r="A64" s="10" t="s">
        <v>538</v>
      </c>
    </row>
    <row r="65" spans="1:1" ht="15" customHeight="1" x14ac:dyDescent="0.3">
      <c r="A65" s="57" t="s">
        <v>539</v>
      </c>
    </row>
    <row r="66" spans="1:1" ht="15" customHeight="1" x14ac:dyDescent="0.3">
      <c r="A66" s="298" t="s">
        <v>59</v>
      </c>
    </row>
    <row r="67" spans="1:1" ht="15" customHeight="1" x14ac:dyDescent="0.3">
      <c r="A67" s="502" t="s">
        <v>60</v>
      </c>
    </row>
    <row r="68" spans="1:1" ht="15" customHeight="1" x14ac:dyDescent="0.3">
      <c r="A68" s="57" t="s">
        <v>540</v>
      </c>
    </row>
    <row r="69" spans="1:1" ht="15" customHeight="1" x14ac:dyDescent="0.3">
      <c r="A69" s="298" t="s">
        <v>57</v>
      </c>
    </row>
    <row r="70" spans="1:1" ht="15" customHeight="1" x14ac:dyDescent="0.3">
      <c r="A70" s="57" t="s">
        <v>541</v>
      </c>
    </row>
    <row r="71" spans="1:1" ht="15" customHeight="1" x14ac:dyDescent="0.3">
      <c r="A71" s="298" t="s">
        <v>61</v>
      </c>
    </row>
    <row r="72" spans="1:1" ht="15" customHeight="1" x14ac:dyDescent="0.3">
      <c r="A72" s="57" t="s">
        <v>542</v>
      </c>
    </row>
    <row r="73" spans="1:1" ht="15" customHeight="1" x14ac:dyDescent="0.3">
      <c r="A73" s="502" t="s">
        <v>62</v>
      </c>
    </row>
    <row r="74" spans="1:1" ht="15" customHeight="1" x14ac:dyDescent="0.3">
      <c r="A74" s="57" t="s">
        <v>543</v>
      </c>
    </row>
    <row r="75" spans="1:1" ht="15" customHeight="1" x14ac:dyDescent="0.3">
      <c r="A75" s="502" t="s">
        <v>63</v>
      </c>
    </row>
    <row r="78" spans="1:1" x14ac:dyDescent="0.3">
      <c r="A78" s="57"/>
    </row>
    <row r="79" spans="1:1" x14ac:dyDescent="0.3">
      <c r="A79" s="10"/>
    </row>
    <row r="80" spans="1:1" x14ac:dyDescent="0.3">
      <c r="A80" s="57"/>
    </row>
    <row r="82" spans="1:1" x14ac:dyDescent="0.3">
      <c r="A82" s="57"/>
    </row>
    <row r="84" spans="1:1" x14ac:dyDescent="0.3">
      <c r="A84" s="57"/>
    </row>
    <row r="86" spans="1:1" x14ac:dyDescent="0.3">
      <c r="A86" s="57"/>
    </row>
    <row r="87" spans="1:1" x14ac:dyDescent="0.3">
      <c r="A87" s="57"/>
    </row>
    <row r="88" spans="1:1" x14ac:dyDescent="0.3">
      <c r="A88" s="57"/>
    </row>
  </sheetData>
  <hyperlinks>
    <hyperlink ref="A63" r:id="rId1" xr:uid="{00000000-0004-0000-0700-000000000000}"/>
    <hyperlink ref="A47" r:id="rId2" xr:uid="{00000000-0004-0000-0700-000001000000}"/>
    <hyperlink ref="A66" r:id="rId3" xr:uid="{00000000-0004-0000-0700-000002000000}"/>
    <hyperlink ref="A69" r:id="rId4" xr:uid="{00000000-0004-0000-0700-000003000000}"/>
    <hyperlink ref="A71" r:id="rId5" xr:uid="{00000000-0004-0000-0700-000004000000}"/>
  </hyperlinks>
  <pageMargins left="0.7" right="0.7" top="0.75" bottom="0.75" header="0.3" footer="0.3"/>
  <pageSetup orientation="portrait" r:id="rId6"/>
  <ignoredErrors>
    <ignoredError sqref="B51:X51" numberStoredAsText="1"/>
    <ignoredError sqref="B16:X16"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2"/>
  <sheetViews>
    <sheetView zoomScale="85" zoomScaleNormal="85" workbookViewId="0">
      <pane xSplit="1" ySplit="4" topLeftCell="B5" activePane="bottomRight" state="frozen"/>
      <selection pane="topRight" activeCell="B1" sqref="B1"/>
      <selection pane="bottomLeft" activeCell="A5" sqref="A5"/>
      <selection pane="bottomRight" activeCell="A55" sqref="A55"/>
    </sheetView>
  </sheetViews>
  <sheetFormatPr defaultColWidth="11.44140625" defaultRowHeight="14.4" x14ac:dyDescent="0.3"/>
  <cols>
    <col min="1" max="1" width="80.21875" style="1" customWidth="1"/>
    <col min="2" max="7" width="12.77734375" style="1" customWidth="1"/>
    <col min="8" max="12" width="15.44140625" style="1" bestFit="1" customWidth="1"/>
    <col min="13" max="16384" width="11.44140625" style="1"/>
  </cols>
  <sheetData>
    <row r="1" spans="1:12" s="14" customFormat="1" ht="30" customHeight="1" x14ac:dyDescent="0.3">
      <c r="A1" s="714" t="s">
        <v>545</v>
      </c>
      <c r="B1" s="55"/>
      <c r="C1" s="55"/>
      <c r="D1" s="55"/>
      <c r="E1" s="55"/>
      <c r="F1" s="55"/>
      <c r="G1" s="55"/>
    </row>
    <row r="2" spans="1:12" s="14" customFormat="1" ht="30" customHeight="1" x14ac:dyDescent="0.3">
      <c r="A2" s="66"/>
      <c r="B2" s="55"/>
      <c r="C2" s="55"/>
      <c r="D2" s="55"/>
      <c r="E2" s="55"/>
      <c r="F2" s="55"/>
      <c r="G2" s="55"/>
    </row>
    <row r="3" spans="1:12" s="229" customFormat="1" ht="19.95" customHeight="1" thickBot="1" x14ac:dyDescent="0.35">
      <c r="A3" s="718" t="s">
        <v>546</v>
      </c>
      <c r="B3" s="390"/>
      <c r="C3" s="390"/>
      <c r="D3" s="390"/>
      <c r="E3" s="390"/>
      <c r="F3" s="390"/>
      <c r="G3" s="390"/>
    </row>
    <row r="4" spans="1:12" s="229" customFormat="1" ht="25.05" customHeight="1" thickBot="1" x14ac:dyDescent="0.35">
      <c r="A4" s="391" t="s">
        <v>260</v>
      </c>
      <c r="B4" s="375">
        <v>2010</v>
      </c>
      <c r="C4" s="375">
        <v>2011</v>
      </c>
      <c r="D4" s="375">
        <v>2012</v>
      </c>
      <c r="E4" s="375">
        <v>2013</v>
      </c>
      <c r="F4" s="375">
        <v>2014</v>
      </c>
      <c r="G4" s="392">
        <v>2015</v>
      </c>
    </row>
    <row r="5" spans="1:12" s="229" customFormat="1" ht="4.95" customHeight="1" x14ac:dyDescent="0.3">
      <c r="B5" s="541"/>
      <c r="C5" s="541"/>
      <c r="D5" s="541"/>
      <c r="E5" s="541"/>
      <c r="F5" s="541"/>
      <c r="G5" s="543"/>
    </row>
    <row r="6" spans="1:12" s="229" customFormat="1" ht="15" customHeight="1" x14ac:dyDescent="0.3">
      <c r="A6" s="733" t="s">
        <v>265</v>
      </c>
      <c r="B6" s="568"/>
      <c r="C6" s="568"/>
      <c r="D6" s="568"/>
      <c r="E6" s="568"/>
      <c r="F6" s="568"/>
      <c r="G6" s="569"/>
    </row>
    <row r="7" spans="1:12" s="229" customFormat="1" ht="15" customHeight="1" x14ac:dyDescent="0.3">
      <c r="A7" s="229" t="s">
        <v>127</v>
      </c>
      <c r="B7" s="544">
        <v>0</v>
      </c>
      <c r="C7" s="544">
        <v>0</v>
      </c>
      <c r="D7" s="544">
        <v>6.9059049100000003</v>
      </c>
      <c r="E7" s="544">
        <v>14.965519720000001</v>
      </c>
      <c r="F7" s="544">
        <v>22.964403449999999</v>
      </c>
      <c r="G7" s="545">
        <v>26.412566440000003</v>
      </c>
    </row>
    <row r="8" spans="1:12" s="229" customFormat="1" ht="15" customHeight="1" x14ac:dyDescent="0.3">
      <c r="A8" s="168" t="s">
        <v>261</v>
      </c>
      <c r="B8" s="566"/>
      <c r="C8" s="566"/>
      <c r="D8" s="566"/>
      <c r="E8" s="566"/>
      <c r="F8" s="566"/>
      <c r="G8" s="567"/>
    </row>
    <row r="9" spans="1:12" s="229" customFormat="1" ht="15" customHeight="1" x14ac:dyDescent="0.3">
      <c r="A9" s="229" t="s">
        <v>128</v>
      </c>
      <c r="B9" s="544">
        <v>458.93657508000001</v>
      </c>
      <c r="C9" s="544">
        <v>480.18023354000002</v>
      </c>
      <c r="D9" s="544">
        <v>450.86837841000005</v>
      </c>
      <c r="E9" s="544">
        <v>457.18942514999998</v>
      </c>
      <c r="F9" s="544">
        <v>487.96903141000001</v>
      </c>
      <c r="G9" s="545">
        <v>491.6991362</v>
      </c>
    </row>
    <row r="10" spans="1:12" s="229" customFormat="1" ht="15" customHeight="1" x14ac:dyDescent="0.3">
      <c r="A10" s="733" t="s">
        <v>264</v>
      </c>
      <c r="B10" s="566"/>
      <c r="C10" s="566"/>
      <c r="D10" s="566"/>
      <c r="E10" s="566"/>
      <c r="F10" s="566"/>
      <c r="G10" s="567"/>
    </row>
    <row r="11" spans="1:12" s="229" customFormat="1" ht="15" customHeight="1" x14ac:dyDescent="0.3">
      <c r="A11" s="229" t="s">
        <v>129</v>
      </c>
      <c r="B11" s="544">
        <v>0</v>
      </c>
      <c r="C11" s="544">
        <v>0</v>
      </c>
      <c r="D11" s="544">
        <v>0</v>
      </c>
      <c r="E11" s="544">
        <v>35.003828110000001</v>
      </c>
      <c r="F11" s="544">
        <v>36.012275700000004</v>
      </c>
      <c r="G11" s="545">
        <v>29.327799550000002</v>
      </c>
      <c r="H11" s="508"/>
      <c r="I11" s="508"/>
      <c r="J11" s="508"/>
      <c r="K11" s="508"/>
    </row>
    <row r="12" spans="1:12" s="229" customFormat="1" ht="15" customHeight="1" x14ac:dyDescent="0.3">
      <c r="A12" s="229" t="s">
        <v>130</v>
      </c>
      <c r="B12" s="544">
        <v>177.54822554</v>
      </c>
      <c r="C12" s="544">
        <v>169.016050595</v>
      </c>
      <c r="D12" s="544">
        <v>167.869945852</v>
      </c>
      <c r="E12" s="544">
        <v>179.54967305099998</v>
      </c>
      <c r="F12" s="544">
        <v>244.74123011099999</v>
      </c>
      <c r="G12" s="545">
        <v>297.71790195699998</v>
      </c>
      <c r="H12" s="542"/>
      <c r="I12" s="542"/>
      <c r="J12" s="542"/>
      <c r="K12" s="542"/>
      <c r="L12" s="542"/>
    </row>
    <row r="13" spans="1:12" s="229" customFormat="1" ht="15" customHeight="1" x14ac:dyDescent="0.3">
      <c r="A13" s="229" t="s">
        <v>131</v>
      </c>
      <c r="B13" s="544">
        <v>0</v>
      </c>
      <c r="C13" s="544">
        <v>0</v>
      </c>
      <c r="D13" s="544">
        <v>0</v>
      </c>
      <c r="E13" s="544">
        <v>0.83688209000000002</v>
      </c>
      <c r="F13" s="544">
        <v>1.43316972</v>
      </c>
      <c r="G13" s="545">
        <v>1.14043421</v>
      </c>
    </row>
    <row r="14" spans="1:12" s="229" customFormat="1" ht="15" customHeight="1" x14ac:dyDescent="0.3">
      <c r="A14" s="229" t="s">
        <v>132</v>
      </c>
      <c r="B14" s="544">
        <v>0</v>
      </c>
      <c r="C14" s="544">
        <v>0</v>
      </c>
      <c r="D14" s="544">
        <v>0</v>
      </c>
      <c r="E14" s="544">
        <v>0</v>
      </c>
      <c r="F14" s="544">
        <v>1.2060992699999999</v>
      </c>
      <c r="G14" s="545">
        <v>4.2817861399999995</v>
      </c>
    </row>
    <row r="15" spans="1:12" s="229" customFormat="1" ht="15" customHeight="1" x14ac:dyDescent="0.3">
      <c r="A15" s="229" t="s">
        <v>133</v>
      </c>
      <c r="B15" s="544">
        <v>0.29893253999999997</v>
      </c>
      <c r="C15" s="544">
        <v>0.17609685</v>
      </c>
      <c r="D15" s="544">
        <v>0.53308997000000002</v>
      </c>
      <c r="E15" s="544">
        <v>0.33787891999999997</v>
      </c>
      <c r="F15" s="544">
        <v>0.47859053000000001</v>
      </c>
      <c r="G15" s="545">
        <v>12.33013672</v>
      </c>
    </row>
    <row r="16" spans="1:12" s="229" customFormat="1" ht="15" customHeight="1" x14ac:dyDescent="0.3">
      <c r="A16" s="733" t="s">
        <v>262</v>
      </c>
      <c r="B16" s="415"/>
      <c r="C16" s="415"/>
      <c r="D16" s="415"/>
      <c r="E16" s="415"/>
      <c r="F16" s="415"/>
      <c r="G16" s="416"/>
    </row>
    <row r="17" spans="1:12" s="229" customFormat="1" ht="15" customHeight="1" x14ac:dyDescent="0.3">
      <c r="A17" s="229" t="s">
        <v>134</v>
      </c>
      <c r="B17" s="544">
        <v>1551.8023248099998</v>
      </c>
      <c r="C17" s="544">
        <v>1886.3296907500001</v>
      </c>
      <c r="D17" s="544">
        <v>1740.1004041000001</v>
      </c>
      <c r="E17" s="544">
        <v>2179.5460740799999</v>
      </c>
      <c r="F17" s="544">
        <v>2204.89611431</v>
      </c>
      <c r="G17" s="545">
        <v>2189.7580422300002</v>
      </c>
    </row>
    <row r="18" spans="1:12" s="229" customFormat="1" ht="15" customHeight="1" x14ac:dyDescent="0.3">
      <c r="A18" s="229" t="s">
        <v>135</v>
      </c>
      <c r="B18" s="544">
        <v>112.2255615</v>
      </c>
      <c r="C18" s="544">
        <v>88.177316040000008</v>
      </c>
      <c r="D18" s="544">
        <v>126.21686625999999</v>
      </c>
      <c r="E18" s="544">
        <v>303.11181507999999</v>
      </c>
      <c r="F18" s="544">
        <v>285.06556159999997</v>
      </c>
      <c r="G18" s="545">
        <v>302.21820324999999</v>
      </c>
    </row>
    <row r="19" spans="1:12" s="229" customFormat="1" ht="15" customHeight="1" x14ac:dyDescent="0.3">
      <c r="A19" s="109" t="s">
        <v>263</v>
      </c>
      <c r="B19" s="418"/>
      <c r="C19" s="418"/>
      <c r="D19" s="418"/>
      <c r="E19" s="418"/>
      <c r="F19" s="418"/>
      <c r="G19" s="419"/>
    </row>
    <row r="20" spans="1:12" s="229" customFormat="1" ht="15" customHeight="1" x14ac:dyDescent="0.3">
      <c r="A20" s="238" t="s">
        <v>136</v>
      </c>
      <c r="B20" s="549">
        <v>1138.7821393800002</v>
      </c>
      <c r="C20" s="549">
        <v>965.70944987999997</v>
      </c>
      <c r="D20" s="549">
        <v>800.39501914999994</v>
      </c>
      <c r="E20" s="549">
        <v>535.12059437000005</v>
      </c>
      <c r="F20" s="549">
        <v>786.03952655000001</v>
      </c>
      <c r="G20" s="551">
        <v>307.64618466000002</v>
      </c>
    </row>
    <row r="21" spans="1:12" s="229" customFormat="1" ht="15" customHeight="1" x14ac:dyDescent="0.3">
      <c r="A21" s="53" t="s">
        <v>307</v>
      </c>
      <c r="B21" s="549">
        <f>B7+B9+B17+B18</f>
        <v>2122.96446139</v>
      </c>
      <c r="C21" s="549">
        <f t="shared" ref="C21:G21" si="0">C7+C9+C17+C18</f>
        <v>2454.6872403299999</v>
      </c>
      <c r="D21" s="549">
        <f t="shared" si="0"/>
        <v>2324.0915536800003</v>
      </c>
      <c r="E21" s="549">
        <f t="shared" si="0"/>
        <v>2954.8128340299995</v>
      </c>
      <c r="F21" s="549">
        <f t="shared" si="0"/>
        <v>3000.89511077</v>
      </c>
      <c r="G21" s="551">
        <f t="shared" si="0"/>
        <v>3010.0879481200004</v>
      </c>
      <c r="H21" s="570"/>
      <c r="I21" s="542"/>
      <c r="J21" s="542"/>
      <c r="K21" s="542"/>
      <c r="L21" s="542"/>
    </row>
    <row r="22" spans="1:12" s="229" customFormat="1" ht="15" customHeight="1" x14ac:dyDescent="0.3">
      <c r="A22" s="229" t="s">
        <v>312</v>
      </c>
      <c r="B22" s="231">
        <f>B21/B59</f>
        <v>4.3876161481150658E-2</v>
      </c>
      <c r="C22" s="231">
        <f>C21/C59</f>
        <v>4.5872592722107502E-2</v>
      </c>
      <c r="D22" s="231">
        <f>D21/D59</f>
        <v>4.2012207482862655E-2</v>
      </c>
      <c r="E22" s="231">
        <f>E21/E59</f>
        <v>5.0709901712962087E-2</v>
      </c>
      <c r="F22" s="231">
        <f>F21/F59</f>
        <v>4.9341689542664102E-2</v>
      </c>
      <c r="G22" s="465">
        <f>G21/G59</f>
        <v>5.0259295266322862E-2</v>
      </c>
    </row>
    <row r="23" spans="1:12" s="229" customFormat="1" ht="15" customHeight="1" x14ac:dyDescent="0.3">
      <c r="A23" s="229" t="s">
        <v>271</v>
      </c>
      <c r="B23" s="231">
        <f>B21/B60</f>
        <v>0.11258142233649589</v>
      </c>
      <c r="C23" s="231">
        <f>C21/C60</f>
        <v>0.12911487780580236</v>
      </c>
      <c r="D23" s="231">
        <f>D21/D60</f>
        <v>0.11513804018382655</v>
      </c>
      <c r="E23" s="231">
        <f>E21/E60</f>
        <v>0.13819594612517741</v>
      </c>
      <c r="F23" s="231">
        <f>F21/F60</f>
        <v>0.13039996628198258</v>
      </c>
      <c r="G23" s="465">
        <f>G21/G60</f>
        <v>0.1282323599654081</v>
      </c>
    </row>
    <row r="24" spans="1:12" s="229" customFormat="1" ht="15" customHeight="1" x14ac:dyDescent="0.3">
      <c r="A24" s="229" t="s">
        <v>309</v>
      </c>
      <c r="B24" s="231">
        <f>B21/B61</f>
        <v>6.3734809041577113E-3</v>
      </c>
      <c r="C24" s="231">
        <f>C21/C61</f>
        <v>6.6162016050526438E-3</v>
      </c>
      <c r="D24" s="231">
        <f>D21/D61</f>
        <v>5.8879043638564686E-3</v>
      </c>
      <c r="E24" s="231">
        <f>E21/E61</f>
        <v>6.9837607068748463E-3</v>
      </c>
      <c r="F24" s="231">
        <f>F21/F61</f>
        <v>6.5973634171352866E-3</v>
      </c>
      <c r="G24" s="465">
        <f>G21/G61</f>
        <v>6.1477779457258979E-3</v>
      </c>
    </row>
    <row r="25" spans="1:12" s="229" customFormat="1" ht="15" customHeight="1" x14ac:dyDescent="0.3">
      <c r="A25" s="229" t="s">
        <v>310</v>
      </c>
      <c r="B25" s="544">
        <f>B21*1000000/B62</f>
        <v>519.96802777209689</v>
      </c>
      <c r="C25" s="544">
        <f>C21*1000000/C62</f>
        <v>661.67723630944818</v>
      </c>
      <c r="D25" s="544">
        <f>D21*1000000/D62</f>
        <v>472.38017253798819</v>
      </c>
      <c r="E25" s="544">
        <f>E21*1000000/E62</f>
        <v>653.13270110577616</v>
      </c>
      <c r="F25" s="544">
        <f>F21*1000000/F62</f>
        <v>687.69242156858479</v>
      </c>
      <c r="G25" s="545">
        <f>G21*1000000/G62</f>
        <v>676.27360248245293</v>
      </c>
    </row>
    <row r="26" spans="1:12" s="229" customFormat="1" ht="15" customHeight="1" x14ac:dyDescent="0.3">
      <c r="A26" s="229" t="s">
        <v>311</v>
      </c>
      <c r="B26" s="231">
        <f>B25/B65</f>
        <v>1.9368100258881634E-2</v>
      </c>
      <c r="C26" s="231">
        <f>C25/C65</f>
        <v>2.196398129393937E-2</v>
      </c>
      <c r="D26" s="231">
        <f>D25/D65</f>
        <v>1.4745291938381451E-2</v>
      </c>
      <c r="E26" s="231">
        <f>E25/E65</f>
        <v>1.9552237007162993E-2</v>
      </c>
      <c r="F26" s="231">
        <f>F25/F65</f>
        <v>1.969068424718122E-2</v>
      </c>
      <c r="G26" s="465">
        <f>G25/G65</f>
        <v>1.8517085847346577E-2</v>
      </c>
    </row>
    <row r="27" spans="1:12" s="229" customFormat="1" ht="15" customHeight="1" thickBot="1" x14ac:dyDescent="0.35">
      <c r="A27" s="241" t="s">
        <v>602</v>
      </c>
      <c r="B27" s="478">
        <f>B25/B68</f>
        <v>3.9391517255461889E-2</v>
      </c>
      <c r="C27" s="478">
        <f>C25/C68</f>
        <v>4.5949808077045011E-2</v>
      </c>
      <c r="D27" s="478">
        <f>D25/D68</f>
        <v>3.2804178648471405E-2</v>
      </c>
      <c r="E27" s="478">
        <f>E25/E68</f>
        <v>3.6285150061432007E-2</v>
      </c>
      <c r="F27" s="478">
        <f>F25/F68</f>
        <v>3.8205134531588046E-2</v>
      </c>
      <c r="G27" s="466"/>
    </row>
    <row r="28" spans="1:12" s="229" customFormat="1" ht="15" customHeight="1" x14ac:dyDescent="0.3">
      <c r="A28" s="230" t="s">
        <v>17</v>
      </c>
      <c r="B28" s="231"/>
      <c r="C28" s="231"/>
      <c r="D28" s="231"/>
      <c r="E28" s="231"/>
      <c r="F28" s="231"/>
      <c r="G28" s="231"/>
    </row>
    <row r="29" spans="1:12" s="229" customFormat="1" ht="15" customHeight="1" x14ac:dyDescent="0.3"/>
    <row r="30" spans="1:12" s="229" customFormat="1" ht="19.95" customHeight="1" thickBot="1" x14ac:dyDescent="0.35">
      <c r="A30" s="718" t="s">
        <v>547</v>
      </c>
      <c r="B30" s="390"/>
      <c r="C30" s="390"/>
      <c r="D30" s="390"/>
      <c r="E30" s="390"/>
      <c r="F30" s="390"/>
      <c r="G30" s="390"/>
    </row>
    <row r="31" spans="1:12" s="229" customFormat="1" ht="25.05" customHeight="1" thickBot="1" x14ac:dyDescent="0.35">
      <c r="A31" s="391" t="s">
        <v>260</v>
      </c>
      <c r="B31" s="375">
        <v>2010</v>
      </c>
      <c r="C31" s="375">
        <v>2011</v>
      </c>
      <c r="D31" s="375">
        <v>2012</v>
      </c>
      <c r="E31" s="375">
        <v>2013</v>
      </c>
      <c r="F31" s="375">
        <v>2014</v>
      </c>
      <c r="G31" s="392">
        <v>2015</v>
      </c>
    </row>
    <row r="32" spans="1:12" s="229" customFormat="1" ht="4.95" customHeight="1" x14ac:dyDescent="0.3">
      <c r="B32" s="541"/>
      <c r="C32" s="541"/>
      <c r="D32" s="541"/>
      <c r="E32" s="541"/>
      <c r="F32" s="541"/>
      <c r="G32" s="543"/>
    </row>
    <row r="33" spans="1:8" s="229" customFormat="1" ht="15" customHeight="1" x14ac:dyDescent="0.3">
      <c r="A33" s="733" t="s">
        <v>265</v>
      </c>
      <c r="B33" s="568"/>
      <c r="C33" s="568"/>
      <c r="D33" s="568"/>
      <c r="E33" s="568"/>
      <c r="F33" s="568"/>
      <c r="G33" s="569"/>
    </row>
    <row r="34" spans="1:8" s="229" customFormat="1" ht="15" customHeight="1" x14ac:dyDescent="0.3">
      <c r="A34" s="229" t="s">
        <v>127</v>
      </c>
      <c r="B34" s="162">
        <v>0</v>
      </c>
      <c r="C34" s="162">
        <v>0</v>
      </c>
      <c r="D34" s="162">
        <v>6.9059049100000003</v>
      </c>
      <c r="E34" s="162">
        <v>14.965519720000001</v>
      </c>
      <c r="F34" s="162">
        <v>22.964403449999999</v>
      </c>
      <c r="G34" s="161">
        <v>26.412566440000003</v>
      </c>
    </row>
    <row r="35" spans="1:8" s="229" customFormat="1" ht="15" customHeight="1" x14ac:dyDescent="0.3">
      <c r="A35" s="168" t="s">
        <v>261</v>
      </c>
      <c r="B35" s="566"/>
      <c r="C35" s="566"/>
      <c r="D35" s="566"/>
      <c r="E35" s="566"/>
      <c r="F35" s="566"/>
      <c r="G35" s="567"/>
    </row>
    <row r="36" spans="1:8" s="229" customFormat="1" ht="15" customHeight="1" x14ac:dyDescent="0.3">
      <c r="A36" s="229" t="s">
        <v>128</v>
      </c>
      <c r="B36" s="162">
        <v>458.93657508000001</v>
      </c>
      <c r="C36" s="162">
        <v>480.18023354000002</v>
      </c>
      <c r="D36" s="162">
        <v>450.86837841000005</v>
      </c>
      <c r="E36" s="162">
        <v>457.18942514999998</v>
      </c>
      <c r="F36" s="162">
        <v>487.96903141000001</v>
      </c>
      <c r="G36" s="161">
        <v>491.6991362</v>
      </c>
    </row>
    <row r="37" spans="1:8" s="229" customFormat="1" ht="15" customHeight="1" x14ac:dyDescent="0.3">
      <c r="A37" s="733" t="s">
        <v>264</v>
      </c>
      <c r="B37" s="566"/>
      <c r="C37" s="566"/>
      <c r="D37" s="566"/>
      <c r="E37" s="566"/>
      <c r="F37" s="566"/>
      <c r="G37" s="567"/>
    </row>
    <row r="38" spans="1:8" s="229" customFormat="1" ht="15" customHeight="1" x14ac:dyDescent="0.3">
      <c r="A38" s="229" t="s">
        <v>129</v>
      </c>
      <c r="B38" s="162">
        <v>0</v>
      </c>
      <c r="C38" s="162">
        <v>0</v>
      </c>
      <c r="D38" s="162">
        <v>0</v>
      </c>
      <c r="E38" s="162">
        <v>35.003828110000001</v>
      </c>
      <c r="F38" s="162">
        <v>36.012275700000004</v>
      </c>
      <c r="G38" s="161">
        <v>29.327799550000002</v>
      </c>
    </row>
    <row r="39" spans="1:8" s="229" customFormat="1" ht="15" customHeight="1" x14ac:dyDescent="0.3">
      <c r="A39" s="229" t="s">
        <v>130</v>
      </c>
      <c r="B39" s="162">
        <v>177.54822554</v>
      </c>
      <c r="C39" s="162">
        <v>169.016050595</v>
      </c>
      <c r="D39" s="162">
        <v>167.869945852</v>
      </c>
      <c r="E39" s="162">
        <v>179.54967305099998</v>
      </c>
      <c r="F39" s="162">
        <v>244.74123011099999</v>
      </c>
      <c r="G39" s="161">
        <v>297.71790195699998</v>
      </c>
    </row>
    <row r="40" spans="1:8" s="229" customFormat="1" ht="15" customHeight="1" x14ac:dyDescent="0.3">
      <c r="A40" s="229" t="s">
        <v>131</v>
      </c>
      <c r="B40" s="162">
        <v>0</v>
      </c>
      <c r="C40" s="162">
        <v>0</v>
      </c>
      <c r="D40" s="162">
        <v>0</v>
      </c>
      <c r="E40" s="162">
        <v>0.83688209000000002</v>
      </c>
      <c r="F40" s="162">
        <v>1.43316972</v>
      </c>
      <c r="G40" s="161">
        <v>1.14043421</v>
      </c>
    </row>
    <row r="41" spans="1:8" s="229" customFormat="1" ht="15" customHeight="1" x14ac:dyDescent="0.3">
      <c r="A41" s="229" t="s">
        <v>132</v>
      </c>
      <c r="B41" s="162">
        <v>0</v>
      </c>
      <c r="C41" s="162">
        <v>0</v>
      </c>
      <c r="D41" s="162">
        <v>0</v>
      </c>
      <c r="E41" s="162">
        <v>0</v>
      </c>
      <c r="F41" s="162">
        <v>1.2060992699999999</v>
      </c>
      <c r="G41" s="161">
        <v>4.2817861399999995</v>
      </c>
    </row>
    <row r="42" spans="1:8" s="229" customFormat="1" ht="15" customHeight="1" x14ac:dyDescent="0.3">
      <c r="A42" s="229" t="s">
        <v>133</v>
      </c>
      <c r="B42" s="162">
        <v>0.29893253999999997</v>
      </c>
      <c r="C42" s="162">
        <v>0.17609685</v>
      </c>
      <c r="D42" s="162">
        <v>0.53308997000000002</v>
      </c>
      <c r="E42" s="162">
        <v>0.33787891999999997</v>
      </c>
      <c r="F42" s="162">
        <v>0.47859053000000001</v>
      </c>
      <c r="G42" s="161">
        <v>12.33013672</v>
      </c>
    </row>
    <row r="43" spans="1:8" s="229" customFormat="1" ht="15" customHeight="1" x14ac:dyDescent="0.3">
      <c r="A43" s="733" t="s">
        <v>262</v>
      </c>
      <c r="B43" s="415"/>
      <c r="C43" s="415"/>
      <c r="D43" s="415"/>
      <c r="E43" s="415"/>
      <c r="F43" s="415"/>
      <c r="G43" s="416"/>
    </row>
    <row r="44" spans="1:8" s="229" customFormat="1" ht="15" customHeight="1" x14ac:dyDescent="0.3">
      <c r="A44" s="229" t="s">
        <v>134</v>
      </c>
      <c r="B44" s="162">
        <v>1551.8023248099998</v>
      </c>
      <c r="C44" s="162">
        <v>1886.3296907500001</v>
      </c>
      <c r="D44" s="162">
        <v>1740.1004041000001</v>
      </c>
      <c r="E44" s="162">
        <v>2179.5460740799999</v>
      </c>
      <c r="F44" s="162">
        <v>2204.89611431</v>
      </c>
      <c r="G44" s="161">
        <v>2189.7580422300002</v>
      </c>
    </row>
    <row r="45" spans="1:8" s="229" customFormat="1" ht="15" customHeight="1" x14ac:dyDescent="0.3">
      <c r="A45" s="229" t="s">
        <v>135</v>
      </c>
      <c r="B45" s="162">
        <v>112.2255615</v>
      </c>
      <c r="C45" s="162">
        <v>88.177316040000008</v>
      </c>
      <c r="D45" s="162">
        <v>126.21686625999999</v>
      </c>
      <c r="E45" s="162">
        <v>303.11181507999999</v>
      </c>
      <c r="F45" s="162">
        <v>285.06556159999997</v>
      </c>
      <c r="G45" s="161">
        <v>302.21820324999999</v>
      </c>
    </row>
    <row r="46" spans="1:8" s="229" customFormat="1" ht="15" customHeight="1" x14ac:dyDescent="0.3">
      <c r="A46" s="109" t="s">
        <v>263</v>
      </c>
      <c r="B46" s="418"/>
      <c r="C46" s="418"/>
      <c r="D46" s="418"/>
      <c r="E46" s="418"/>
      <c r="F46" s="418"/>
      <c r="G46" s="419"/>
    </row>
    <row r="47" spans="1:8" s="229" customFormat="1" ht="15" customHeight="1" x14ac:dyDescent="0.3">
      <c r="A47" s="238" t="s">
        <v>136</v>
      </c>
      <c r="B47" s="564">
        <v>1138.7821393800002</v>
      </c>
      <c r="C47" s="564">
        <v>965.70944987999997</v>
      </c>
      <c r="D47" s="564">
        <v>800.39501914999994</v>
      </c>
      <c r="E47" s="564">
        <v>535.12059437000005</v>
      </c>
      <c r="F47" s="564">
        <v>786.03952655000001</v>
      </c>
      <c r="G47" s="565">
        <v>307.64618466000002</v>
      </c>
    </row>
    <row r="48" spans="1:8" s="229" customFormat="1" ht="15" customHeight="1" x14ac:dyDescent="0.3">
      <c r="A48" s="53" t="s">
        <v>308</v>
      </c>
      <c r="B48" s="564">
        <f t="shared" ref="B48:G48" si="1">B38+B40+B41+B42+B34+B36+B44+B45+B47+B39</f>
        <v>3439.5937588500001</v>
      </c>
      <c r="C48" s="564">
        <f t="shared" si="1"/>
        <v>3589.5888376549992</v>
      </c>
      <c r="D48" s="564">
        <f t="shared" si="1"/>
        <v>3292.8896086520003</v>
      </c>
      <c r="E48" s="564">
        <f t="shared" si="1"/>
        <v>3705.6616905709998</v>
      </c>
      <c r="F48" s="564">
        <f t="shared" si="1"/>
        <v>4070.8060026509997</v>
      </c>
      <c r="G48" s="565">
        <f t="shared" si="1"/>
        <v>3662.5321913570001</v>
      </c>
      <c r="H48" s="570"/>
    </row>
    <row r="49" spans="1:7" s="229" customFormat="1" ht="15" customHeight="1" x14ac:dyDescent="0.3">
      <c r="A49" s="229" t="s">
        <v>319</v>
      </c>
      <c r="B49" s="231">
        <f>B48/B59</f>
        <v>7.1087469403067149E-2</v>
      </c>
      <c r="C49" s="231">
        <f>C48/C59</f>
        <v>6.7081355247291793E-2</v>
      </c>
      <c r="D49" s="231">
        <f>D48/D59</f>
        <v>5.9525005044572456E-2</v>
      </c>
      <c r="E49" s="231">
        <f>E48/E59</f>
        <v>6.3595818302323137E-2</v>
      </c>
      <c r="F49" s="231">
        <f>F48/F59</f>
        <v>6.6933511021543268E-2</v>
      </c>
      <c r="G49" s="465">
        <f>G48/G59</f>
        <v>6.1153125755940722E-2</v>
      </c>
    </row>
    <row r="50" spans="1:7" s="229" customFormat="1" ht="15" customHeight="1" x14ac:dyDescent="0.3">
      <c r="A50" s="229" t="s">
        <v>316</v>
      </c>
      <c r="B50" s="231">
        <f>B48/B60</f>
        <v>0.18240265660289365</v>
      </c>
      <c r="C50" s="231">
        <f>C48/C60</f>
        <v>0.18880992923749831</v>
      </c>
      <c r="D50" s="231">
        <f>D48/D60</f>
        <v>0.16313335655023922</v>
      </c>
      <c r="E50" s="231">
        <f>E48/E60</f>
        <v>0.17331298194269468</v>
      </c>
      <c r="F50" s="231">
        <f>F48/F60</f>
        <v>0.17689154265374379</v>
      </c>
      <c r="G50" s="465">
        <f>G48/G60</f>
        <v>0.1560270511831113</v>
      </c>
    </row>
    <row r="51" spans="1:7" s="229" customFormat="1" ht="15" customHeight="1" x14ac:dyDescent="0.3">
      <c r="A51" s="229" t="s">
        <v>317</v>
      </c>
      <c r="B51" s="231">
        <f>B48/B61</f>
        <v>1.0326213904559232E-2</v>
      </c>
      <c r="C51" s="231">
        <f>C48/C61</f>
        <v>9.6751402944430763E-3</v>
      </c>
      <c r="D51" s="231">
        <f>D48/D61</f>
        <v>8.3422785413854051E-3</v>
      </c>
      <c r="E51" s="231">
        <f>E48/E61</f>
        <v>8.7584073717064462E-3</v>
      </c>
      <c r="F51" s="231">
        <f>F48/F61</f>
        <v>8.9495252612322405E-3</v>
      </c>
      <c r="G51" s="465">
        <f>G48/G61</f>
        <v>7.4803245020128783E-3</v>
      </c>
    </row>
    <row r="52" spans="1:7" s="229" customFormat="1" ht="15" customHeight="1" x14ac:dyDescent="0.3">
      <c r="A52" s="229" t="s">
        <v>318</v>
      </c>
      <c r="B52" s="162">
        <f>B48*1000000/B62</f>
        <v>842.44405200991946</v>
      </c>
      <c r="C52" s="233">
        <f>C48*1000000/C62</f>
        <v>967.59749371064368</v>
      </c>
      <c r="D52" s="233">
        <f>D48*1000000/D62</f>
        <v>669.29194722152226</v>
      </c>
      <c r="E52" s="233">
        <f>E48*1000000/E62</f>
        <v>819.10055400898568</v>
      </c>
      <c r="F52" s="233">
        <f>F48*1000000/F62</f>
        <v>932.87580350673511</v>
      </c>
      <c r="G52" s="236">
        <f>G48*1000000/G62</f>
        <v>822.85763138712377</v>
      </c>
    </row>
    <row r="53" spans="1:7" s="229" customFormat="1" ht="15" customHeight="1" x14ac:dyDescent="0.3">
      <c r="A53" s="229" t="s">
        <v>338</v>
      </c>
      <c r="B53" s="231">
        <f>B52/B65</f>
        <v>3.1379892590200159E-2</v>
      </c>
      <c r="C53" s="231">
        <f>C52/C65</f>
        <v>3.2118821814785974E-2</v>
      </c>
      <c r="D53" s="231">
        <f>D52/D65</f>
        <v>2.0891869996926028E-2</v>
      </c>
      <c r="E53" s="231">
        <f>E52/E65</f>
        <v>2.4520665000493515E-2</v>
      </c>
      <c r="F53" s="231">
        <f>F52/F65</f>
        <v>2.6711015437378385E-2</v>
      </c>
      <c r="G53" s="465">
        <f>G52/G65</f>
        <v>2.2530711452595824E-2</v>
      </c>
    </row>
    <row r="54" spans="1:7" s="229" customFormat="1" ht="15" customHeight="1" thickBot="1" x14ac:dyDescent="0.35">
      <c r="A54" s="241" t="s">
        <v>603</v>
      </c>
      <c r="B54" s="478">
        <f>B52/B68</f>
        <v>6.3821519091660561E-2</v>
      </c>
      <c r="C54" s="478">
        <f>C52/C68</f>
        <v>6.7194270396572484E-2</v>
      </c>
      <c r="D54" s="478">
        <f>D52/D68</f>
        <v>4.6478607445939048E-2</v>
      </c>
      <c r="E54" s="478">
        <f>E52/E68</f>
        <v>4.5505586333832539E-2</v>
      </c>
      <c r="F54" s="478">
        <f>F52/F68</f>
        <v>5.1826433528151951E-2</v>
      </c>
      <c r="G54" s="466"/>
    </row>
    <row r="55" spans="1:7" s="229" customFormat="1" ht="15" customHeight="1" x14ac:dyDescent="0.3">
      <c r="A55" s="230"/>
      <c r="B55" s="231"/>
      <c r="C55" s="231"/>
      <c r="D55" s="231"/>
      <c r="E55" s="231"/>
      <c r="F55" s="231"/>
      <c r="G55" s="231"/>
    </row>
    <row r="56" spans="1:7" ht="15" thickBot="1" x14ac:dyDescent="0.35"/>
    <row r="57" spans="1:7" ht="25.05" customHeight="1" thickBot="1" x14ac:dyDescent="0.35">
      <c r="A57" s="721" t="s">
        <v>292</v>
      </c>
      <c r="B57" s="411" t="s">
        <v>182</v>
      </c>
      <c r="C57" s="411" t="s">
        <v>183</v>
      </c>
      <c r="D57" s="411" t="s">
        <v>184</v>
      </c>
      <c r="E57" s="411" t="s">
        <v>185</v>
      </c>
      <c r="F57" s="411" t="s">
        <v>186</v>
      </c>
      <c r="G57" s="412" t="s">
        <v>187</v>
      </c>
    </row>
    <row r="58" spans="1:7" ht="4.95" customHeight="1" x14ac:dyDescent="0.3">
      <c r="A58" s="229"/>
      <c r="B58" s="544"/>
      <c r="C58" s="544"/>
      <c r="D58" s="544"/>
      <c r="E58" s="544"/>
      <c r="F58" s="544"/>
      <c r="G58" s="545"/>
    </row>
    <row r="59" spans="1:7" x14ac:dyDescent="0.3">
      <c r="A59" s="229" t="s">
        <v>363</v>
      </c>
      <c r="B59" s="544">
        <v>48385.373508619996</v>
      </c>
      <c r="C59" s="544">
        <v>53510.976700189996</v>
      </c>
      <c r="D59" s="544">
        <v>55319.434348410003</v>
      </c>
      <c r="E59" s="544">
        <v>58268.952102399999</v>
      </c>
      <c r="F59" s="544">
        <v>60818.6533251</v>
      </c>
      <c r="G59" s="545">
        <v>59891.169029919998</v>
      </c>
    </row>
    <row r="60" spans="1:7" x14ac:dyDescent="0.3">
      <c r="A60" s="229" t="s">
        <v>364</v>
      </c>
      <c r="B60" s="544">
        <v>18857.147274660001</v>
      </c>
      <c r="C60" s="544">
        <v>19011.652894270002</v>
      </c>
      <c r="D60" s="544">
        <v>20185.262403020002</v>
      </c>
      <c r="E60" s="544">
        <v>21381.32786727</v>
      </c>
      <c r="F60" s="544">
        <v>23013.005266280004</v>
      </c>
      <c r="G60" s="545">
        <v>23473.7</v>
      </c>
    </row>
    <row r="61" spans="1:7" x14ac:dyDescent="0.3">
      <c r="A61" s="229" t="s">
        <v>387</v>
      </c>
      <c r="B61" s="544">
        <v>333093.40583496436</v>
      </c>
      <c r="C61" s="544">
        <v>371011.55419076269</v>
      </c>
      <c r="D61" s="544">
        <v>394723.04746433807</v>
      </c>
      <c r="E61" s="544">
        <v>423097.66300000343</v>
      </c>
      <c r="F61" s="544">
        <v>454862.78700000001</v>
      </c>
      <c r="G61" s="545">
        <v>489622.10000000003</v>
      </c>
    </row>
    <row r="62" spans="1:7" s="229" customFormat="1" ht="15" customHeight="1" x14ac:dyDescent="0.3">
      <c r="A62" s="229" t="s">
        <v>549</v>
      </c>
      <c r="B62" s="544">
        <v>4082875</v>
      </c>
      <c r="C62" s="544">
        <v>3709795.5100000002</v>
      </c>
      <c r="D62" s="544">
        <v>4919960</v>
      </c>
      <c r="E62" s="544">
        <v>4524062</v>
      </c>
      <c r="F62" s="544">
        <v>4363717</v>
      </c>
      <c r="G62" s="545">
        <v>4450991.34</v>
      </c>
    </row>
    <row r="63" spans="1:7" s="229" customFormat="1" ht="15" customHeight="1" x14ac:dyDescent="0.3">
      <c r="A63" s="229" t="s">
        <v>548</v>
      </c>
      <c r="B63" s="544">
        <v>3258981</v>
      </c>
      <c r="C63" s="544">
        <v>3027187.4</v>
      </c>
      <c r="D63" s="544">
        <v>3898001</v>
      </c>
      <c r="E63" s="544">
        <v>3773197</v>
      </c>
      <c r="F63" s="544">
        <v>3616674</v>
      </c>
      <c r="G63" s="545">
        <v>3689007.48</v>
      </c>
    </row>
    <row r="64" spans="1:7" s="229" customFormat="1" ht="15" customHeight="1" x14ac:dyDescent="0.3">
      <c r="A64" s="229" t="s">
        <v>550</v>
      </c>
      <c r="B64" s="546">
        <v>4099091</v>
      </c>
      <c r="C64" s="546">
        <v>4192956.2850000001</v>
      </c>
      <c r="D64" s="546">
        <v>4869960</v>
      </c>
      <c r="E64" s="546">
        <v>4588863</v>
      </c>
      <c r="F64" s="546">
        <v>4894530</v>
      </c>
      <c r="G64" s="547">
        <v>4982116.84</v>
      </c>
    </row>
    <row r="65" spans="1:7" s="229" customFormat="1" ht="15" customHeight="1" x14ac:dyDescent="0.3">
      <c r="A65" s="229" t="s">
        <v>367</v>
      </c>
      <c r="B65" s="544">
        <v>26846.620000000003</v>
      </c>
      <c r="C65" s="544">
        <v>30125.56</v>
      </c>
      <c r="D65" s="544">
        <v>32036</v>
      </c>
      <c r="E65" s="544">
        <v>33404.5</v>
      </c>
      <c r="F65" s="544">
        <v>34924.76</v>
      </c>
      <c r="G65" s="545">
        <v>36521.600000000006</v>
      </c>
    </row>
    <row r="66" spans="1:7" s="229" customFormat="1" ht="15" customHeight="1" x14ac:dyDescent="0.3">
      <c r="A66" s="229" t="s">
        <v>551</v>
      </c>
      <c r="B66" s="544">
        <v>19200</v>
      </c>
      <c r="C66" s="544">
        <v>18480</v>
      </c>
      <c r="D66" s="544">
        <v>19200</v>
      </c>
      <c r="E66" s="544">
        <v>24000</v>
      </c>
      <c r="F66" s="544">
        <v>24000</v>
      </c>
      <c r="G66" s="545"/>
    </row>
    <row r="67" spans="1:7" s="229" customFormat="1" ht="15" customHeight="1" x14ac:dyDescent="0.3">
      <c r="A67" s="229" t="s">
        <v>353</v>
      </c>
      <c r="B67" s="546">
        <v>37599.96</v>
      </c>
      <c r="C67" s="546">
        <v>42000</v>
      </c>
      <c r="D67" s="546">
        <v>42000</v>
      </c>
      <c r="E67" s="546">
        <v>42000</v>
      </c>
      <c r="F67" s="546">
        <v>48000</v>
      </c>
      <c r="G67" s="547"/>
    </row>
    <row r="68" spans="1:7" s="229" customFormat="1" ht="15" customHeight="1" x14ac:dyDescent="0.3">
      <c r="A68" s="238" t="s">
        <v>366</v>
      </c>
      <c r="B68" s="548">
        <v>13200</v>
      </c>
      <c r="C68" s="548">
        <v>14400</v>
      </c>
      <c r="D68" s="548">
        <v>14400</v>
      </c>
      <c r="E68" s="549">
        <v>18000</v>
      </c>
      <c r="F68" s="548">
        <v>18000</v>
      </c>
      <c r="G68" s="550"/>
    </row>
    <row r="72" spans="1:7" x14ac:dyDescent="0.3">
      <c r="A72" s="229"/>
    </row>
  </sheetData>
  <pageMargins left="0.75" right="0.75" top="1" bottom="1" header="0.5" footer="0.5"/>
  <ignoredErrors>
    <ignoredError sqref="B57:G57"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77"/>
  <sheetViews>
    <sheetView zoomScale="95" workbookViewId="0">
      <pane xSplit="1" ySplit="4" topLeftCell="B5" activePane="bottomRight" state="frozen"/>
      <selection pane="topRight" activeCell="B1" sqref="B1"/>
      <selection pane="bottomLeft" activeCell="A5" sqref="A5"/>
      <selection pane="bottomRight" activeCell="A60" sqref="A60"/>
    </sheetView>
  </sheetViews>
  <sheetFormatPr defaultColWidth="9.109375" defaultRowHeight="14.4" x14ac:dyDescent="0.3"/>
  <cols>
    <col min="1" max="1" width="63.33203125" style="589" customWidth="1"/>
    <col min="2" max="7" width="12.77734375" style="595" customWidth="1"/>
    <col min="8" max="29" width="12.77734375" style="68" customWidth="1"/>
    <col min="30" max="420" width="90.6640625" style="68" customWidth="1"/>
    <col min="421" max="421" width="19" style="68" customWidth="1"/>
    <col min="422" max="422" width="19.88671875" style="68" customWidth="1"/>
    <col min="423" max="423" width="27.77734375" style="68" customWidth="1"/>
    <col min="424" max="4027" width="29.33203125" style="68" customWidth="1"/>
    <col min="4028" max="4028" width="29.33203125" style="68" bestFit="1" customWidth="1"/>
    <col min="4029" max="8057" width="29.33203125" style="68" customWidth="1"/>
    <col min="8058" max="8058" width="20.6640625" style="68" customWidth="1"/>
    <col min="8059" max="8059" width="33.6640625" style="68" bestFit="1" customWidth="1"/>
    <col min="8060" max="12086" width="29.33203125" style="68" bestFit="1" customWidth="1"/>
    <col min="12087" max="12087" width="20.6640625" style="68" bestFit="1" customWidth="1"/>
    <col min="12088" max="12088" width="33.6640625" style="68" bestFit="1" customWidth="1"/>
    <col min="12089" max="12089" width="20" style="68" bestFit="1" customWidth="1"/>
    <col min="12090" max="16384" width="9.109375" style="68"/>
  </cols>
  <sheetData>
    <row r="1" spans="1:11" ht="30" customHeight="1" x14ac:dyDescent="0.25">
      <c r="A1" s="714" t="s">
        <v>553</v>
      </c>
      <c r="B1" s="594"/>
      <c r="C1" s="594"/>
      <c r="D1" s="594"/>
      <c r="E1" s="594"/>
      <c r="F1" s="594"/>
      <c r="G1" s="594"/>
      <c r="H1" s="67"/>
      <c r="I1" s="67"/>
      <c r="J1" s="67"/>
      <c r="K1" s="67"/>
    </row>
    <row r="2" spans="1:11" ht="30" customHeight="1" x14ac:dyDescent="0.3">
      <c r="H2" s="67"/>
      <c r="I2" s="67"/>
      <c r="J2" s="67"/>
      <c r="K2" s="67"/>
    </row>
    <row r="3" spans="1:11" s="573" customFormat="1" ht="19.95" customHeight="1" thickBot="1" x14ac:dyDescent="0.3">
      <c r="A3" s="718" t="s">
        <v>554</v>
      </c>
      <c r="B3" s="390"/>
      <c r="C3" s="390"/>
      <c r="D3" s="390"/>
      <c r="E3" s="390"/>
      <c r="F3" s="390"/>
      <c r="G3" s="390"/>
    </row>
    <row r="4" spans="1:11" s="573" customFormat="1" ht="25.05" customHeight="1" thickBot="1" x14ac:dyDescent="0.3">
      <c r="A4" s="391" t="s">
        <v>260</v>
      </c>
      <c r="B4" s="375">
        <v>2010</v>
      </c>
      <c r="C4" s="375">
        <v>2011</v>
      </c>
      <c r="D4" s="375">
        <v>2012</v>
      </c>
      <c r="E4" s="375">
        <v>2013</v>
      </c>
      <c r="F4" s="375">
        <v>2014</v>
      </c>
      <c r="G4" s="392">
        <v>2015</v>
      </c>
    </row>
    <row r="5" spans="1:11" s="573" customFormat="1" ht="4.95" customHeight="1" x14ac:dyDescent="0.3">
      <c r="A5" s="571"/>
      <c r="B5" s="574"/>
      <c r="C5" s="574"/>
      <c r="D5" s="574"/>
      <c r="E5" s="574"/>
      <c r="F5" s="574"/>
      <c r="G5" s="596"/>
    </row>
    <row r="6" spans="1:11" s="573" customFormat="1" ht="15" customHeight="1" x14ac:dyDescent="0.3">
      <c r="A6" s="733" t="s">
        <v>264</v>
      </c>
      <c r="B6" s="566"/>
      <c r="C6" s="566"/>
      <c r="D6" s="566"/>
      <c r="E6" s="566"/>
      <c r="F6" s="566"/>
      <c r="G6" s="567"/>
    </row>
    <row r="7" spans="1:11" s="573" customFormat="1" ht="15" customHeight="1" x14ac:dyDescent="0.3">
      <c r="A7" s="571" t="s">
        <v>156</v>
      </c>
      <c r="B7" s="574">
        <f>423514757.616/1000</f>
        <v>423514.75761600002</v>
      </c>
      <c r="C7" s="574">
        <f>459858065.168/1000</f>
        <v>459858.065168</v>
      </c>
      <c r="D7" s="574">
        <f>483654088.576001/1000</f>
        <v>483654.088576001</v>
      </c>
      <c r="E7" s="574">
        <f>537280966.864/1000</f>
        <v>537280.96686399996</v>
      </c>
      <c r="F7" s="574">
        <f>702198810.176001/1000</f>
        <v>702198.81017600093</v>
      </c>
      <c r="G7" s="596">
        <f>744892060.808/1000</f>
        <v>744892.06080799992</v>
      </c>
    </row>
    <row r="8" spans="1:11" s="573" customFormat="1" ht="15" customHeight="1" x14ac:dyDescent="0.3">
      <c r="A8" s="571" t="s">
        <v>148</v>
      </c>
      <c r="B8" s="574">
        <f>236161/1000</f>
        <v>236.161</v>
      </c>
      <c r="C8" s="574">
        <f>1302335/1000</f>
        <v>1302.335</v>
      </c>
      <c r="D8" s="574">
        <f>1292622/1000</f>
        <v>1292.6220000000001</v>
      </c>
      <c r="E8" s="574">
        <f>3188070/1000</f>
        <v>3188.07</v>
      </c>
      <c r="F8" s="574">
        <f>58784814/1000</f>
        <v>58784.813999999998</v>
      </c>
      <c r="G8" s="596">
        <v>571298.83499999996</v>
      </c>
    </row>
    <row r="9" spans="1:11" s="573" customFormat="1" ht="15" customHeight="1" x14ac:dyDescent="0.3">
      <c r="A9" s="601" t="s">
        <v>149</v>
      </c>
      <c r="B9" s="575">
        <f>B8*0.2</f>
        <v>47.232200000000006</v>
      </c>
      <c r="C9" s="575">
        <f t="shared" ref="C9:G9" si="0">C8*0.2</f>
        <v>260.46700000000004</v>
      </c>
      <c r="D9" s="575">
        <f t="shared" si="0"/>
        <v>258.52440000000001</v>
      </c>
      <c r="E9" s="575">
        <f t="shared" si="0"/>
        <v>637.61400000000003</v>
      </c>
      <c r="F9" s="575">
        <f t="shared" si="0"/>
        <v>11756.962800000001</v>
      </c>
      <c r="G9" s="580">
        <f t="shared" si="0"/>
        <v>114259.76699999999</v>
      </c>
    </row>
    <row r="10" spans="1:11" s="573" customFormat="1" ht="15" customHeight="1" x14ac:dyDescent="0.3">
      <c r="A10" s="601" t="s">
        <v>157</v>
      </c>
      <c r="B10" s="574">
        <f>SUM(B7:B9)</f>
        <v>423798.15081600007</v>
      </c>
      <c r="C10" s="574">
        <f t="shared" ref="C10:G10" si="1">SUM(C7:C9)</f>
        <v>461420.86716800003</v>
      </c>
      <c r="D10" s="574">
        <f t="shared" si="1"/>
        <v>485205.23497600097</v>
      </c>
      <c r="E10" s="574">
        <f t="shared" si="1"/>
        <v>541106.65086399985</v>
      </c>
      <c r="F10" s="574">
        <f t="shared" si="1"/>
        <v>772740.58697600092</v>
      </c>
      <c r="G10" s="581">
        <f t="shared" si="1"/>
        <v>1430450.6628079999</v>
      </c>
    </row>
    <row r="11" spans="1:11" s="573" customFormat="1" ht="15" customHeight="1" x14ac:dyDescent="0.3">
      <c r="A11" s="733" t="s">
        <v>262</v>
      </c>
      <c r="B11" s="415"/>
      <c r="C11" s="415"/>
      <c r="D11" s="415"/>
      <c r="E11" s="415"/>
      <c r="F11" s="415"/>
      <c r="G11" s="416"/>
    </row>
    <row r="12" spans="1:11" s="573" customFormat="1" ht="15" customHeight="1" x14ac:dyDescent="0.3">
      <c r="A12" s="601" t="s">
        <v>158</v>
      </c>
      <c r="B12" s="574">
        <v>7006237.6292479774</v>
      </c>
      <c r="C12" s="574">
        <v>7541804.9536960106</v>
      </c>
      <c r="D12" s="574">
        <v>6728383.9063520003</v>
      </c>
      <c r="E12" s="574">
        <v>7572172.7535680002</v>
      </c>
      <c r="F12" s="574">
        <v>7716648.5158720007</v>
      </c>
      <c r="G12" s="581">
        <v>8252336.5235600043</v>
      </c>
    </row>
    <row r="13" spans="1:11" s="573" customFormat="1" ht="15" customHeight="1" x14ac:dyDescent="0.3">
      <c r="A13" s="601" t="s">
        <v>155</v>
      </c>
      <c r="B13" s="574">
        <f>103357982/1000*0.66</f>
        <v>68216.268120000008</v>
      </c>
      <c r="C13" s="574">
        <f>68886336/1000*0.66</f>
        <v>45464.981760000002</v>
      </c>
      <c r="D13" s="576">
        <f>86527231/1000*0.66</f>
        <v>57107.972460000005</v>
      </c>
      <c r="E13" s="576">
        <f>104917455/1000*0.66</f>
        <v>69245.520300000004</v>
      </c>
      <c r="F13" s="576">
        <f>73844724/1000*0.66</f>
        <v>48737.51784</v>
      </c>
      <c r="G13" s="582">
        <f>73054521/1000*0.66</f>
        <v>48215.98386</v>
      </c>
    </row>
    <row r="14" spans="1:11" s="573" customFormat="1" ht="15" customHeight="1" x14ac:dyDescent="0.3">
      <c r="A14" s="109" t="s">
        <v>263</v>
      </c>
      <c r="B14" s="418"/>
      <c r="C14" s="418"/>
      <c r="D14" s="418"/>
      <c r="E14" s="418"/>
      <c r="F14" s="418"/>
      <c r="G14" s="419"/>
    </row>
    <row r="15" spans="1:11" s="573" customFormat="1" ht="15" customHeight="1" x14ac:dyDescent="0.3">
      <c r="A15" s="601" t="s">
        <v>159</v>
      </c>
      <c r="B15" s="574">
        <f>32916900/1000</f>
        <v>32916.9</v>
      </c>
      <c r="C15" s="574">
        <f>37853057.72/1000</f>
        <v>37853.057719999997</v>
      </c>
      <c r="D15" s="574">
        <f>8882400/1000</f>
        <v>8882.4</v>
      </c>
      <c r="E15" s="597">
        <f>27851400/1000</f>
        <v>27851.4</v>
      </c>
      <c r="F15" s="574">
        <f>5258800/1000</f>
        <v>5258.8</v>
      </c>
      <c r="G15" s="581">
        <f>18355929/1000</f>
        <v>18355.929</v>
      </c>
    </row>
    <row r="16" spans="1:11" s="573" customFormat="1" ht="15" customHeight="1" x14ac:dyDescent="0.3">
      <c r="A16" s="571" t="s">
        <v>150</v>
      </c>
      <c r="B16" s="574">
        <f>131923305.996/1000</f>
        <v>131923.30599600001</v>
      </c>
      <c r="C16" s="574">
        <f>130800000/1000</f>
        <v>130800</v>
      </c>
      <c r="D16" s="574">
        <f>90000000/1000</f>
        <v>90000</v>
      </c>
      <c r="E16" s="574">
        <f>110932845.048/1000</f>
        <v>110932.84504799999</v>
      </c>
      <c r="F16" s="574">
        <f>92318805/1000</f>
        <v>92318.804999999993</v>
      </c>
      <c r="G16" s="581">
        <f>109900000/1000</f>
        <v>109900</v>
      </c>
    </row>
    <row r="17" spans="1:8" s="573" customFormat="1" ht="15" customHeight="1" x14ac:dyDescent="0.3">
      <c r="A17" s="610" t="s">
        <v>246</v>
      </c>
      <c r="B17" s="574">
        <f>107498750/1000</f>
        <v>107498.75</v>
      </c>
      <c r="C17" s="574">
        <f>203251596.6/1000</f>
        <v>203251.59659999999</v>
      </c>
      <c r="D17" s="574">
        <f>133985671/1000</f>
        <v>133985.671</v>
      </c>
      <c r="E17" s="574">
        <f>51006838.68/1000</f>
        <v>51006.838680000001</v>
      </c>
      <c r="F17" s="574">
        <f>178165081/1000</f>
        <v>178165.08100000001</v>
      </c>
      <c r="G17" s="581">
        <f>58497773/1000</f>
        <v>58497.773000000001</v>
      </c>
    </row>
    <row r="18" spans="1:8" s="573" customFormat="1" ht="15" customHeight="1" x14ac:dyDescent="0.3">
      <c r="A18" s="571" t="s">
        <v>151</v>
      </c>
      <c r="B18" s="574">
        <f>251739364.43/1000</f>
        <v>251739.36443000002</v>
      </c>
      <c r="C18" s="574">
        <f>305027971/1000</f>
        <v>305027.97100000002</v>
      </c>
      <c r="D18" s="574">
        <f>848850803/1000</f>
        <v>848850.80299999996</v>
      </c>
      <c r="E18" s="574">
        <f>2684898558.84/1000</f>
        <v>2684898.5588400001</v>
      </c>
      <c r="F18" s="574">
        <f>1333138446/1000</f>
        <v>1333138.446</v>
      </c>
      <c r="G18" s="596">
        <f>1914940875.61/1000</f>
        <v>1914940.87561</v>
      </c>
    </row>
    <row r="19" spans="1:8" s="573" customFormat="1" ht="15" customHeight="1" x14ac:dyDescent="0.3">
      <c r="A19" s="733" t="s">
        <v>265</v>
      </c>
      <c r="B19" s="568"/>
      <c r="C19" s="568"/>
      <c r="D19" s="568"/>
      <c r="E19" s="568"/>
      <c r="F19" s="568"/>
      <c r="G19" s="569"/>
    </row>
    <row r="20" spans="1:8" s="573" customFormat="1" ht="15" customHeight="1" x14ac:dyDescent="0.3">
      <c r="A20" s="571" t="s">
        <v>152</v>
      </c>
      <c r="B20" s="574">
        <f>28805647.36/1000</f>
        <v>28805.647359999999</v>
      </c>
      <c r="C20" s="574">
        <f>41322954.3/1000</f>
        <v>41322.954299999998</v>
      </c>
      <c r="D20" s="574">
        <f>66886856.79/1000</f>
        <v>66886.856790000005</v>
      </c>
      <c r="E20" s="574">
        <f>31119230.72/1000</f>
        <v>31119.23072</v>
      </c>
      <c r="F20" s="574">
        <f>9130427/1000</f>
        <v>9130.4269999999997</v>
      </c>
      <c r="G20" s="580">
        <f>6217112.78/1000</f>
        <v>6217.1127800000004</v>
      </c>
    </row>
    <row r="21" spans="1:8" s="573" customFormat="1" ht="15" customHeight="1" x14ac:dyDescent="0.3">
      <c r="A21" s="601" t="s">
        <v>153</v>
      </c>
      <c r="B21" s="574">
        <f>129985459/1000</f>
        <v>129985.459</v>
      </c>
      <c r="C21" s="574">
        <f>92699185.02/1000</f>
        <v>92699.18501999999</v>
      </c>
      <c r="D21" s="574">
        <f>237619522.89/1000</f>
        <v>237619.52288999999</v>
      </c>
      <c r="E21" s="574">
        <f>41386940.04/1000</f>
        <v>41386.940040000001</v>
      </c>
      <c r="F21" s="574">
        <f>13133361.86/1000</f>
        <v>13133.361859999999</v>
      </c>
      <c r="G21" s="596">
        <v>26720.824000000001</v>
      </c>
    </row>
    <row r="22" spans="1:8" s="573" customFormat="1" ht="15" customHeight="1" x14ac:dyDescent="0.3">
      <c r="A22" s="609" t="s">
        <v>154</v>
      </c>
      <c r="B22" s="587">
        <f>7422644/1000</f>
        <v>7422.6440000000002</v>
      </c>
      <c r="C22" s="587">
        <f>156581/1000</f>
        <v>156.58099999999999</v>
      </c>
      <c r="D22" s="587">
        <f>22919299/1000</f>
        <v>22919.298999999999</v>
      </c>
      <c r="E22" s="587">
        <f>22815796/1000</f>
        <v>22815.795999999998</v>
      </c>
      <c r="F22" s="587">
        <f>24655920/1000</f>
        <v>24655.919999999998</v>
      </c>
      <c r="G22" s="598">
        <f>24342242/1000</f>
        <v>24342.241999999998</v>
      </c>
    </row>
    <row r="23" spans="1:8" s="573" customFormat="1" ht="15" customHeight="1" x14ac:dyDescent="0.3">
      <c r="A23" s="53" t="s">
        <v>307</v>
      </c>
      <c r="B23" s="587">
        <f t="shared" ref="B23:G23" si="2">+B12+B13+B15+B10</f>
        <v>7531168.948183978</v>
      </c>
      <c r="C23" s="587">
        <f t="shared" si="2"/>
        <v>8086543.8603440104</v>
      </c>
      <c r="D23" s="587">
        <f t="shared" si="2"/>
        <v>7279579.5137880016</v>
      </c>
      <c r="E23" s="587">
        <f t="shared" si="2"/>
        <v>8210376.324732</v>
      </c>
      <c r="F23" s="587">
        <f t="shared" si="2"/>
        <v>8543385.4206880014</v>
      </c>
      <c r="G23" s="588">
        <f t="shared" si="2"/>
        <v>9749359.099228004</v>
      </c>
      <c r="H23" s="611"/>
    </row>
    <row r="24" spans="1:8" s="573" customFormat="1" ht="15" customHeight="1" x14ac:dyDescent="0.3">
      <c r="A24" s="229" t="s">
        <v>312</v>
      </c>
      <c r="B24" s="88">
        <f>B23/B65</f>
        <v>6.1735852127334637E-2</v>
      </c>
      <c r="C24" s="88">
        <f>C23/C65</f>
        <v>6.0669524582364333E-2</v>
      </c>
      <c r="D24" s="88">
        <f>D23/D65</f>
        <v>5.0196367480934936E-2</v>
      </c>
      <c r="E24" s="88">
        <f>E23/E65</f>
        <v>4.9685488374234199E-2</v>
      </c>
      <c r="F24" s="88">
        <f>F23/F65</f>
        <v>4.6495555736996E-2</v>
      </c>
      <c r="G24" s="89">
        <f>G23/G65</f>
        <v>5.2516398917960429E-2</v>
      </c>
    </row>
    <row r="25" spans="1:8" s="573" customFormat="1" ht="15" customHeight="1" x14ac:dyDescent="0.3">
      <c r="A25" s="229" t="s">
        <v>271</v>
      </c>
      <c r="B25" s="88">
        <f>B23/B66</f>
        <v>0.22391868072558543</v>
      </c>
      <c r="C25" s="88">
        <f>C23/C66</f>
        <v>0.23815893846877018</v>
      </c>
      <c r="D25" s="88">
        <f>D23/D66</f>
        <v>0.19929147552072016</v>
      </c>
      <c r="E25" s="88">
        <f>E23/E66</f>
        <v>0.20574084168784956</v>
      </c>
      <c r="F25" s="88">
        <f>F23/F66</f>
        <v>0.19908664808689233</v>
      </c>
      <c r="G25" s="89">
        <f>G23/G66</f>
        <v>0.13537481588484204</v>
      </c>
    </row>
    <row r="26" spans="1:8" s="573" customFormat="1" ht="15" customHeight="1" x14ac:dyDescent="0.3">
      <c r="A26" s="229" t="s">
        <v>309</v>
      </c>
      <c r="B26" s="88">
        <f>B23/B67</f>
        <v>2.5163786305353333E-2</v>
      </c>
      <c r="C26" s="88">
        <f>C23/C67</f>
        <v>2.4136933891289052E-2</v>
      </c>
      <c r="D26" s="88">
        <f>D23/D67</f>
        <v>2.0145592174280511E-2</v>
      </c>
      <c r="E26" s="88">
        <f>E23/E67</f>
        <v>2.1804826599107558E-2</v>
      </c>
      <c r="F26" s="88">
        <f>F23/F67</f>
        <v>2.0857278785464384E-2</v>
      </c>
      <c r="G26" s="89">
        <f>G23/G67</f>
        <v>2.1892147251609411E-2</v>
      </c>
    </row>
    <row r="27" spans="1:8" s="573" customFormat="1" ht="15" customHeight="1" x14ac:dyDescent="0.3">
      <c r="A27" s="229" t="s">
        <v>310</v>
      </c>
      <c r="B27" s="574">
        <f>B23*1000/B68</f>
        <v>2712.4294799224854</v>
      </c>
      <c r="C27" s="574">
        <f>C23*1000/C68</f>
        <v>2947.0320144171133</v>
      </c>
      <c r="D27" s="574">
        <f>D23*1000/D68</f>
        <v>2681.0077612984496</v>
      </c>
      <c r="E27" s="574">
        <f>E23*1000/E68</f>
        <v>2771.7699977691818</v>
      </c>
      <c r="F27" s="574">
        <f>F23*1000/F68</f>
        <v>2878.428334036259</v>
      </c>
      <c r="G27" s="581">
        <f>G23*1000/G68</f>
        <v>3220.3369645293674</v>
      </c>
    </row>
    <row r="28" spans="1:8" s="573" customFormat="1" ht="15" customHeight="1" x14ac:dyDescent="0.3">
      <c r="A28" s="229" t="s">
        <v>311</v>
      </c>
      <c r="B28" s="231">
        <f>B27/B69</f>
        <v>4.568040701538751E-2</v>
      </c>
      <c r="C28" s="599">
        <f>C27/C69</f>
        <v>4.4452770981225263E-2</v>
      </c>
      <c r="D28" s="599">
        <f>D27/D69</f>
        <v>3.664982175878239E-2</v>
      </c>
      <c r="E28" s="599">
        <f>E27/E69</f>
        <v>3.5634192093093459E-2</v>
      </c>
      <c r="F28" s="599">
        <f>F27/F69</f>
        <v>3.4872794230686635E-2</v>
      </c>
      <c r="G28" s="600">
        <f>G27/G69</f>
        <v>3.7157231154363229E-2</v>
      </c>
    </row>
    <row r="29" spans="1:8" s="573" customFormat="1" ht="15" customHeight="1" thickBot="1" x14ac:dyDescent="0.35">
      <c r="A29" s="241" t="s">
        <v>602</v>
      </c>
      <c r="B29" s="583">
        <f>B27/B71</f>
        <v>5.9470738976249798E-2</v>
      </c>
      <c r="C29" s="583">
        <f>C27/C71</f>
        <v>5.352439927673127E-2</v>
      </c>
      <c r="D29" s="583">
        <f>D27/D71</f>
        <v>5.5369293350632828E-2</v>
      </c>
      <c r="E29" s="583">
        <f>E27/E71</f>
        <v>6.5656673274786539E-2</v>
      </c>
      <c r="F29" s="583">
        <f>F27/F71</f>
        <v>6.6197239717178724E-2</v>
      </c>
      <c r="G29" s="586">
        <f>G27/G71</f>
        <v>7.2965864855927015E-2</v>
      </c>
    </row>
    <row r="30" spans="1:8" s="573" customFormat="1" ht="15" customHeight="1" x14ac:dyDescent="0.3">
      <c r="A30" s="591" t="s">
        <v>556</v>
      </c>
      <c r="B30" s="601"/>
      <c r="C30" s="601"/>
      <c r="D30" s="601"/>
      <c r="E30" s="601"/>
      <c r="F30" s="601"/>
      <c r="G30" s="601"/>
    </row>
    <row r="31" spans="1:8" s="573" customFormat="1" ht="15" customHeight="1" x14ac:dyDescent="0.3">
      <c r="A31" s="591"/>
      <c r="B31" s="601"/>
      <c r="C31" s="601"/>
      <c r="D31" s="601"/>
      <c r="E31" s="601"/>
      <c r="F31" s="601"/>
      <c r="G31" s="601"/>
    </row>
    <row r="32" spans="1:8" s="573" customFormat="1" ht="15" customHeight="1" x14ac:dyDescent="0.3">
      <c r="A32" s="590"/>
      <c r="B32" s="601"/>
      <c r="C32" s="601"/>
      <c r="D32" s="601"/>
      <c r="E32" s="601"/>
      <c r="F32" s="601"/>
      <c r="G32" s="601"/>
    </row>
    <row r="33" spans="1:7" s="573" customFormat="1" ht="19.95" customHeight="1" thickBot="1" x14ac:dyDescent="0.3">
      <c r="A33" s="718" t="s">
        <v>555</v>
      </c>
      <c r="B33" s="390"/>
      <c r="C33" s="390"/>
      <c r="D33" s="390"/>
      <c r="E33" s="390"/>
      <c r="F33" s="390"/>
      <c r="G33" s="390"/>
    </row>
    <row r="34" spans="1:7" s="573" customFormat="1" ht="25.05" customHeight="1" thickBot="1" x14ac:dyDescent="0.3">
      <c r="A34" s="391" t="s">
        <v>260</v>
      </c>
      <c r="B34" s="375">
        <v>2010</v>
      </c>
      <c r="C34" s="375">
        <v>2011</v>
      </c>
      <c r="D34" s="375">
        <v>2012</v>
      </c>
      <c r="E34" s="375">
        <v>2013</v>
      </c>
      <c r="F34" s="375">
        <v>2014</v>
      </c>
      <c r="G34" s="392">
        <v>2015</v>
      </c>
    </row>
    <row r="35" spans="1:7" s="573" customFormat="1" ht="4.95" customHeight="1" x14ac:dyDescent="0.3">
      <c r="A35" s="571"/>
      <c r="B35" s="574"/>
      <c r="C35" s="574"/>
      <c r="D35" s="574"/>
      <c r="E35" s="574"/>
      <c r="F35" s="574"/>
      <c r="G35" s="602"/>
    </row>
    <row r="36" spans="1:7" s="573" customFormat="1" ht="15" customHeight="1" x14ac:dyDescent="0.3">
      <c r="A36" s="733" t="s">
        <v>264</v>
      </c>
      <c r="B36" s="566"/>
      <c r="C36" s="566"/>
      <c r="D36" s="566"/>
      <c r="E36" s="566"/>
      <c r="F36" s="566"/>
      <c r="G36" s="567"/>
    </row>
    <row r="37" spans="1:7" s="573" customFormat="1" ht="15" customHeight="1" x14ac:dyDescent="0.3">
      <c r="A37" s="571" t="s">
        <v>156</v>
      </c>
      <c r="B37" s="574">
        <f>423514757.616/1000</f>
        <v>423514.75761600002</v>
      </c>
      <c r="C37" s="574">
        <f>459858065.168/1000</f>
        <v>459858.065168</v>
      </c>
      <c r="D37" s="574">
        <f>483654088.576001/1000</f>
        <v>483654.088576001</v>
      </c>
      <c r="E37" s="574">
        <f>537280966.864/1000</f>
        <v>537280.96686399996</v>
      </c>
      <c r="F37" s="574">
        <f>702198810.176001/1000</f>
        <v>702198.81017600093</v>
      </c>
      <c r="G37" s="596">
        <f>744892060.808/1000</f>
        <v>744892.06080799992</v>
      </c>
    </row>
    <row r="38" spans="1:7" s="573" customFormat="1" ht="15" customHeight="1" x14ac:dyDescent="0.3">
      <c r="A38" s="571" t="s">
        <v>148</v>
      </c>
      <c r="B38" s="574">
        <f>236161/1000</f>
        <v>236.161</v>
      </c>
      <c r="C38" s="574">
        <f>1302335/1000</f>
        <v>1302.335</v>
      </c>
      <c r="D38" s="574">
        <f>1292622/1000</f>
        <v>1292.6220000000001</v>
      </c>
      <c r="E38" s="574">
        <f>3188070/1000</f>
        <v>3188.07</v>
      </c>
      <c r="F38" s="574">
        <f>58784814/1000</f>
        <v>58784.813999999998</v>
      </c>
      <c r="G38" s="596">
        <v>71298.835000000006</v>
      </c>
    </row>
    <row r="39" spans="1:7" s="573" customFormat="1" ht="15" customHeight="1" x14ac:dyDescent="0.3">
      <c r="A39" s="601" t="s">
        <v>149</v>
      </c>
      <c r="B39" s="575">
        <f>B38*0.2</f>
        <v>47.232200000000006</v>
      </c>
      <c r="C39" s="575">
        <f t="shared" ref="C39:G39" si="3">C38*0.2</f>
        <v>260.46700000000004</v>
      </c>
      <c r="D39" s="575">
        <f t="shared" si="3"/>
        <v>258.52440000000001</v>
      </c>
      <c r="E39" s="575">
        <f t="shared" si="3"/>
        <v>637.61400000000003</v>
      </c>
      <c r="F39" s="575">
        <f t="shared" si="3"/>
        <v>11756.962800000001</v>
      </c>
      <c r="G39" s="580">
        <f t="shared" si="3"/>
        <v>14259.767000000002</v>
      </c>
    </row>
    <row r="40" spans="1:7" s="573" customFormat="1" ht="15" customHeight="1" x14ac:dyDescent="0.3">
      <c r="A40" s="601" t="s">
        <v>157</v>
      </c>
      <c r="B40" s="574">
        <f>SUM(B37:B39)</f>
        <v>423798.15081600007</v>
      </c>
      <c r="C40" s="574">
        <f t="shared" ref="C40:G40" si="4">SUM(C37:C39)</f>
        <v>461420.86716800003</v>
      </c>
      <c r="D40" s="574">
        <f t="shared" si="4"/>
        <v>485205.23497600097</v>
      </c>
      <c r="E40" s="574">
        <f t="shared" si="4"/>
        <v>541106.65086399985</v>
      </c>
      <c r="F40" s="574">
        <f t="shared" si="4"/>
        <v>772740.58697600092</v>
      </c>
      <c r="G40" s="581">
        <f t="shared" si="4"/>
        <v>830450.66280799988</v>
      </c>
    </row>
    <row r="41" spans="1:7" s="573" customFormat="1" ht="15" customHeight="1" x14ac:dyDescent="0.3">
      <c r="A41" s="733" t="s">
        <v>262</v>
      </c>
      <c r="B41" s="415"/>
      <c r="C41" s="415"/>
      <c r="D41" s="415"/>
      <c r="E41" s="415"/>
      <c r="F41" s="415"/>
      <c r="G41" s="416"/>
    </row>
    <row r="42" spans="1:7" s="573" customFormat="1" ht="15" customHeight="1" x14ac:dyDescent="0.3">
      <c r="A42" s="601" t="s">
        <v>158</v>
      </c>
      <c r="B42" s="574">
        <v>7006237.6292479774</v>
      </c>
      <c r="C42" s="574">
        <v>7541804.9536960106</v>
      </c>
      <c r="D42" s="574">
        <v>6728383.9063520003</v>
      </c>
      <c r="E42" s="574">
        <v>7572172.7535680002</v>
      </c>
      <c r="F42" s="574">
        <v>7716648.5158720007</v>
      </c>
      <c r="G42" s="581">
        <v>8252336.5235600043</v>
      </c>
    </row>
    <row r="43" spans="1:7" s="573" customFormat="1" ht="15" customHeight="1" x14ac:dyDescent="0.3">
      <c r="A43" s="601" t="s">
        <v>155</v>
      </c>
      <c r="B43" s="574">
        <f>103357982/1000*0.66</f>
        <v>68216.268120000008</v>
      </c>
      <c r="C43" s="574">
        <f>68886336/1000*0.66</f>
        <v>45464.981760000002</v>
      </c>
      <c r="D43" s="576">
        <f>86527231/1000*0.66</f>
        <v>57107.972460000005</v>
      </c>
      <c r="E43" s="576">
        <f>104917455/1000*0.66</f>
        <v>69245.520300000004</v>
      </c>
      <c r="F43" s="576">
        <f>73844724/1000*0.66</f>
        <v>48737.51784</v>
      </c>
      <c r="G43" s="582">
        <f>73054521/1000*0.66</f>
        <v>48215.98386</v>
      </c>
    </row>
    <row r="44" spans="1:7" s="573" customFormat="1" ht="15" customHeight="1" x14ac:dyDescent="0.3">
      <c r="A44" s="109" t="s">
        <v>263</v>
      </c>
      <c r="B44" s="418"/>
      <c r="C44" s="418"/>
      <c r="D44" s="418"/>
      <c r="E44" s="418"/>
      <c r="F44" s="418"/>
      <c r="G44" s="419"/>
    </row>
    <row r="45" spans="1:7" s="573" customFormat="1" ht="15" customHeight="1" x14ac:dyDescent="0.3">
      <c r="A45" s="601" t="s">
        <v>159</v>
      </c>
      <c r="B45" s="574">
        <f>32916900/1000</f>
        <v>32916.9</v>
      </c>
      <c r="C45" s="574">
        <f>37853057.72/1000</f>
        <v>37853.057719999997</v>
      </c>
      <c r="D45" s="574">
        <f>8882400/1000</f>
        <v>8882.4</v>
      </c>
      <c r="E45" s="597">
        <f>27851400/1000</f>
        <v>27851.4</v>
      </c>
      <c r="F45" s="574">
        <f>5258800/1000</f>
        <v>5258.8</v>
      </c>
      <c r="G45" s="581">
        <f>18355929/1000</f>
        <v>18355.929</v>
      </c>
    </row>
    <row r="46" spans="1:7" s="573" customFormat="1" ht="15" customHeight="1" x14ac:dyDescent="0.3">
      <c r="A46" s="571" t="s">
        <v>150</v>
      </c>
      <c r="B46" s="574">
        <f>131923305.996/1000</f>
        <v>131923.30599600001</v>
      </c>
      <c r="C46" s="574">
        <f>130800000/1000</f>
        <v>130800</v>
      </c>
      <c r="D46" s="574">
        <f>90000000/1000</f>
        <v>90000</v>
      </c>
      <c r="E46" s="574">
        <f>110932845.048/1000</f>
        <v>110932.84504799999</v>
      </c>
      <c r="F46" s="574">
        <f>92318805/1000</f>
        <v>92318.804999999993</v>
      </c>
      <c r="G46" s="581">
        <f>109900000/1000</f>
        <v>109900</v>
      </c>
    </row>
    <row r="47" spans="1:7" s="573" customFormat="1" ht="15" customHeight="1" x14ac:dyDescent="0.3">
      <c r="A47" s="571" t="s">
        <v>160</v>
      </c>
      <c r="B47" s="574">
        <f>107498750/1000</f>
        <v>107498.75</v>
      </c>
      <c r="C47" s="574">
        <f>203251596.6/1000</f>
        <v>203251.59659999999</v>
      </c>
      <c r="D47" s="574">
        <f>133985671/1000</f>
        <v>133985.671</v>
      </c>
      <c r="E47" s="574">
        <f>51006838.68/1000</f>
        <v>51006.838680000001</v>
      </c>
      <c r="F47" s="574">
        <f>178165081/1000</f>
        <v>178165.08100000001</v>
      </c>
      <c r="G47" s="581">
        <f>58497773/1000</f>
        <v>58497.773000000001</v>
      </c>
    </row>
    <row r="48" spans="1:7" s="573" customFormat="1" ht="15" customHeight="1" x14ac:dyDescent="0.3">
      <c r="A48" s="571" t="s">
        <v>151</v>
      </c>
      <c r="B48" s="574">
        <f>251739364.43/1000</f>
        <v>251739.36443000002</v>
      </c>
      <c r="C48" s="574">
        <f>305027971/1000</f>
        <v>305027.97100000002</v>
      </c>
      <c r="D48" s="574">
        <f>848850803/1000</f>
        <v>848850.80299999996</v>
      </c>
      <c r="E48" s="574">
        <f>2684898558.84/1000</f>
        <v>2684898.5588400001</v>
      </c>
      <c r="F48" s="574">
        <f>1333138446/1000</f>
        <v>1333138.446</v>
      </c>
      <c r="G48" s="596">
        <f>1914940875.61/1000</f>
        <v>1914940.87561</v>
      </c>
    </row>
    <row r="49" spans="1:8" s="573" customFormat="1" ht="15" customHeight="1" x14ac:dyDescent="0.3">
      <c r="A49" s="733" t="s">
        <v>265</v>
      </c>
      <c r="B49" s="568"/>
      <c r="C49" s="568"/>
      <c r="D49" s="568"/>
      <c r="E49" s="568"/>
      <c r="F49" s="568"/>
      <c r="G49" s="569"/>
    </row>
    <row r="50" spans="1:8" s="573" customFormat="1" ht="15" customHeight="1" x14ac:dyDescent="0.3">
      <c r="A50" s="571" t="s">
        <v>152</v>
      </c>
      <c r="B50" s="574">
        <f>28805647.36/1000</f>
        <v>28805.647359999999</v>
      </c>
      <c r="C50" s="574">
        <f>41322954.3/1000</f>
        <v>41322.954299999998</v>
      </c>
      <c r="D50" s="574">
        <f>66886856.79/1000</f>
        <v>66886.856790000005</v>
      </c>
      <c r="E50" s="574">
        <f>31119230.72/1000</f>
        <v>31119.23072</v>
      </c>
      <c r="F50" s="574">
        <f>9130427/1000</f>
        <v>9130.4269999999997</v>
      </c>
      <c r="G50" s="580">
        <f>6217112.78/1000</f>
        <v>6217.1127800000004</v>
      </c>
    </row>
    <row r="51" spans="1:8" s="573" customFormat="1" ht="15" customHeight="1" x14ac:dyDescent="0.3">
      <c r="A51" s="601" t="s">
        <v>153</v>
      </c>
      <c r="B51" s="574">
        <f>129985459/1000</f>
        <v>129985.459</v>
      </c>
      <c r="C51" s="574">
        <f>92699185.02/1000</f>
        <v>92699.18501999999</v>
      </c>
      <c r="D51" s="574">
        <f>237619522.89/1000</f>
        <v>237619.52288999999</v>
      </c>
      <c r="E51" s="574">
        <f>41386940.04/1000</f>
        <v>41386.940040000001</v>
      </c>
      <c r="F51" s="574">
        <f>13133361.86/1000</f>
        <v>13133.361859999999</v>
      </c>
      <c r="G51" s="596">
        <v>26720.824000000001</v>
      </c>
    </row>
    <row r="52" spans="1:8" s="573" customFormat="1" ht="15" customHeight="1" x14ac:dyDescent="0.3">
      <c r="A52" s="609" t="s">
        <v>154</v>
      </c>
      <c r="B52" s="587">
        <f>7422644/1000</f>
        <v>7422.6440000000002</v>
      </c>
      <c r="C52" s="587">
        <f>156581/1000</f>
        <v>156.58099999999999</v>
      </c>
      <c r="D52" s="587">
        <f>22919299/1000</f>
        <v>22919.298999999999</v>
      </c>
      <c r="E52" s="587">
        <f>22815796/1000</f>
        <v>22815.795999999998</v>
      </c>
      <c r="F52" s="587">
        <f>24655920/1000</f>
        <v>24655.919999999998</v>
      </c>
      <c r="G52" s="598">
        <f>24342242/1000</f>
        <v>24342.241999999998</v>
      </c>
    </row>
    <row r="53" spans="1:8" s="573" customFormat="1" ht="15" customHeight="1" x14ac:dyDescent="0.3">
      <c r="A53" s="53" t="s">
        <v>308</v>
      </c>
      <c r="B53" s="604">
        <f t="shared" ref="B53:G53" si="5">SUM(B40:B52)</f>
        <v>8188544.1189699778</v>
      </c>
      <c r="C53" s="604">
        <f t="shared" si="5"/>
        <v>8859802.1482640114</v>
      </c>
      <c r="D53" s="604">
        <f t="shared" si="5"/>
        <v>8679841.6664680019</v>
      </c>
      <c r="E53" s="604">
        <f t="shared" si="5"/>
        <v>11152536.53406</v>
      </c>
      <c r="F53" s="604">
        <f t="shared" si="5"/>
        <v>10193927.461548001</v>
      </c>
      <c r="G53" s="605">
        <f t="shared" si="5"/>
        <v>11289977.926618</v>
      </c>
      <c r="H53" s="611"/>
    </row>
    <row r="54" spans="1:8" s="573" customFormat="1" ht="15" customHeight="1" x14ac:dyDescent="0.3">
      <c r="A54" s="229" t="s">
        <v>319</v>
      </c>
      <c r="B54" s="88">
        <f>B53/B65</f>
        <v>6.7124606066470735E-2</v>
      </c>
      <c r="C54" s="606">
        <f>C53/C65</f>
        <v>6.6470916810945371E-2</v>
      </c>
      <c r="D54" s="606">
        <f>D53/D65</f>
        <v>5.9851880337472886E-2</v>
      </c>
      <c r="E54" s="606">
        <f>E53/E65</f>
        <v>6.7490112802393087E-2</v>
      </c>
      <c r="F54" s="606">
        <f>F53/F65</f>
        <v>5.5478279291902771E-2</v>
      </c>
      <c r="G54" s="607">
        <f>G53/G65</f>
        <v>6.0815175493555036E-2</v>
      </c>
    </row>
    <row r="55" spans="1:8" s="573" customFormat="1" ht="15" customHeight="1" x14ac:dyDescent="0.3">
      <c r="A55" s="229" t="s">
        <v>316</v>
      </c>
      <c r="B55" s="88">
        <f>B53/B66</f>
        <v>0.24346393087160056</v>
      </c>
      <c r="C55" s="606">
        <f>C53/C66</f>
        <v>0.26093237248380213</v>
      </c>
      <c r="D55" s="606">
        <f>D53/D66</f>
        <v>0.2376261499335566</v>
      </c>
      <c r="E55" s="606">
        <f>E53/E66</f>
        <v>0.2794673669902572</v>
      </c>
      <c r="F55" s="606">
        <f>F53/F66</f>
        <v>0.23754925585425363</v>
      </c>
      <c r="G55" s="607">
        <f>G53/G66</f>
        <v>0.15676709285237694</v>
      </c>
    </row>
    <row r="56" spans="1:8" s="573" customFormat="1" ht="15" customHeight="1" x14ac:dyDescent="0.3">
      <c r="A56" s="229" t="s">
        <v>317</v>
      </c>
      <c r="B56" s="88">
        <f>B53/B67</f>
        <v>2.7360264492725946E-2</v>
      </c>
      <c r="C56" s="606">
        <f>C53/C67</f>
        <v>2.6444976053521564E-2</v>
      </c>
      <c r="D56" s="606">
        <f>D53/D67</f>
        <v>2.4020693780292438E-2</v>
      </c>
      <c r="E56" s="606">
        <f>E53/E67</f>
        <v>2.9618511460049065E-2</v>
      </c>
      <c r="F56" s="606">
        <f>F53/F67</f>
        <v>2.4886807338628268E-2</v>
      </c>
      <c r="G56" s="607">
        <f>G53/G67</f>
        <v>2.5351600727940415E-2</v>
      </c>
    </row>
    <row r="57" spans="1:8" s="573" customFormat="1" ht="15" customHeight="1" x14ac:dyDescent="0.3">
      <c r="A57" s="229" t="s">
        <v>318</v>
      </c>
      <c r="B57" s="572">
        <f>B53*1000/B68</f>
        <v>2949.1900419118679</v>
      </c>
      <c r="C57" s="572">
        <f>C53*1000/C68</f>
        <v>3228.8355845540177</v>
      </c>
      <c r="D57" s="572">
        <f>D53*1000/D68</f>
        <v>3196.712506617464</v>
      </c>
      <c r="E57" s="572">
        <f>E53*1000/E68</f>
        <v>3765.0242743460644</v>
      </c>
      <c r="F57" s="572">
        <f>F53*1000/F68</f>
        <v>3434.5272038618996</v>
      </c>
      <c r="G57" s="585">
        <f>G53*1000/G68</f>
        <v>3729.2229033483354</v>
      </c>
    </row>
    <row r="58" spans="1:8" s="573" customFormat="1" ht="15" customHeight="1" x14ac:dyDescent="0.3">
      <c r="A58" s="229" t="s">
        <v>338</v>
      </c>
      <c r="B58" s="579">
        <f>B57/B69</f>
        <v>4.9667724996158E-2</v>
      </c>
      <c r="C58" s="579">
        <f>C57/C69</f>
        <v>4.8703471178476135E-2</v>
      </c>
      <c r="D58" s="579">
        <f>D57/D69</f>
        <v>4.369959135249158E-2</v>
      </c>
      <c r="E58" s="579">
        <f>E57/E69</f>
        <v>4.8403582669264429E-2</v>
      </c>
      <c r="F58" s="579">
        <f>F57/F69</f>
        <v>4.1610054710663091E-2</v>
      </c>
      <c r="G58" s="593">
        <f>G57/G69</f>
        <v>4.3028912493357808E-2</v>
      </c>
    </row>
    <row r="59" spans="1:8" s="573" customFormat="1" ht="15" customHeight="1" thickBot="1" x14ac:dyDescent="0.35">
      <c r="A59" s="241" t="s">
        <v>603</v>
      </c>
      <c r="B59" s="583">
        <f>B57/B71</f>
        <v>6.4661777374174584E-2</v>
      </c>
      <c r="C59" s="583">
        <f>C57/C71</f>
        <v>5.8642554333013998E-2</v>
      </c>
      <c r="D59" s="583">
        <f>D57/D71</f>
        <v>6.6019843393073846E-2</v>
      </c>
      <c r="E59" s="583">
        <f>E57/E71</f>
        <v>8.9184517059977667E-2</v>
      </c>
      <c r="F59" s="583">
        <f>F57/F71</f>
        <v>7.8986236322378348E-2</v>
      </c>
      <c r="G59" s="586">
        <f>G57/G71</f>
        <v>8.4496118692072672E-2</v>
      </c>
    </row>
    <row r="60" spans="1:8" s="573" customFormat="1" ht="15" customHeight="1" x14ac:dyDescent="0.3">
      <c r="A60" s="591" t="s">
        <v>556</v>
      </c>
      <c r="B60" s="601"/>
      <c r="C60" s="601"/>
      <c r="D60" s="601"/>
      <c r="E60" s="601"/>
      <c r="F60" s="601"/>
      <c r="G60" s="601"/>
    </row>
    <row r="61" spans="1:8" s="573" customFormat="1" ht="15" customHeight="1" x14ac:dyDescent="0.3">
      <c r="A61" s="590"/>
      <c r="B61" s="601"/>
      <c r="C61" s="601"/>
      <c r="D61" s="601"/>
      <c r="E61" s="601"/>
      <c r="F61" s="601"/>
      <c r="G61" s="601"/>
    </row>
    <row r="62" spans="1:8" s="573" customFormat="1" ht="15" customHeight="1" thickBot="1" x14ac:dyDescent="0.35">
      <c r="A62" s="590"/>
      <c r="B62" s="601"/>
      <c r="C62" s="601"/>
      <c r="D62" s="601"/>
      <c r="E62" s="601"/>
      <c r="F62" s="601"/>
      <c r="G62" s="601"/>
    </row>
    <row r="63" spans="1:8" s="573" customFormat="1" ht="25.05" customHeight="1" thickBot="1" x14ac:dyDescent="0.3">
      <c r="A63" s="410" t="s">
        <v>292</v>
      </c>
      <c r="B63" s="411" t="s">
        <v>182</v>
      </c>
      <c r="C63" s="411" t="s">
        <v>183</v>
      </c>
      <c r="D63" s="411" t="s">
        <v>184</v>
      </c>
      <c r="E63" s="411" t="s">
        <v>185</v>
      </c>
      <c r="F63" s="411" t="s">
        <v>186</v>
      </c>
      <c r="G63" s="412" t="s">
        <v>187</v>
      </c>
    </row>
    <row r="64" spans="1:8" s="573" customFormat="1" ht="4.95" customHeight="1" x14ac:dyDescent="0.3">
      <c r="A64" s="601"/>
      <c r="B64" s="603"/>
      <c r="C64" s="603"/>
      <c r="D64" s="603"/>
      <c r="E64" s="603"/>
      <c r="F64" s="603"/>
      <c r="G64" s="596"/>
    </row>
    <row r="65" spans="1:7" s="573" customFormat="1" ht="15" customHeight="1" x14ac:dyDescent="0.3">
      <c r="A65" s="601" t="s">
        <v>363</v>
      </c>
      <c r="B65" s="603">
        <f>121990200000/1000</f>
        <v>121990200</v>
      </c>
      <c r="C65" s="603">
        <f>133288400000/1000</f>
        <v>133288400</v>
      </c>
      <c r="D65" s="603">
        <f>145022038030/1000</f>
        <v>145022038.03</v>
      </c>
      <c r="E65" s="603">
        <f>165246968348/1000</f>
        <v>165246968.34799999</v>
      </c>
      <c r="F65" s="603">
        <f>183746280376/1000</f>
        <v>183746280.37599999</v>
      </c>
      <c r="G65" s="596">
        <f>185644090229/1000</f>
        <v>185644090.229</v>
      </c>
    </row>
    <row r="66" spans="1:7" s="573" customFormat="1" ht="15" customHeight="1" x14ac:dyDescent="0.3">
      <c r="A66" s="601" t="s">
        <v>364</v>
      </c>
      <c r="B66" s="577">
        <f>33633500000/1000</f>
        <v>33633500</v>
      </c>
      <c r="C66" s="603">
        <v>33954400</v>
      </c>
      <c r="D66" s="603">
        <f>36527300000/1000</f>
        <v>36527300</v>
      </c>
      <c r="E66" s="577">
        <f>39906400000/1000</f>
        <v>39906400</v>
      </c>
      <c r="F66" s="603">
        <f>42912900000/1000</f>
        <v>42912900</v>
      </c>
      <c r="G66" s="596">
        <f>72017524349/1000</f>
        <v>72017524.349000007</v>
      </c>
    </row>
    <row r="67" spans="1:7" s="573" customFormat="1" ht="15" customHeight="1" x14ac:dyDescent="0.3">
      <c r="A67" s="601" t="s">
        <v>387</v>
      </c>
      <c r="B67" s="603">
        <f>299286000000/1000</f>
        <v>299286000</v>
      </c>
      <c r="C67" s="603">
        <f>335027800000/1000</f>
        <v>335027800</v>
      </c>
      <c r="D67" s="603">
        <f>361348500000/1000</f>
        <v>361348500</v>
      </c>
      <c r="E67" s="603">
        <f>376539400000/1000</f>
        <v>376539400</v>
      </c>
      <c r="F67" s="603">
        <f>409611700000/1000</f>
        <v>409611700</v>
      </c>
      <c r="G67" s="596">
        <f>445335900000/1000</f>
        <v>445335900</v>
      </c>
    </row>
    <row r="68" spans="1:7" s="573" customFormat="1" ht="15" customHeight="1" x14ac:dyDescent="0.3">
      <c r="A68" s="601" t="s">
        <v>383</v>
      </c>
      <c r="B68" s="578">
        <v>2776540</v>
      </c>
      <c r="C68" s="578">
        <v>2743962</v>
      </c>
      <c r="D68" s="578">
        <v>2715240</v>
      </c>
      <c r="E68" s="592">
        <v>2962142</v>
      </c>
      <c r="F68" s="592">
        <v>2968073</v>
      </c>
      <c r="G68" s="584">
        <v>3027434.46</v>
      </c>
    </row>
    <row r="69" spans="1:7" s="573" customFormat="1" ht="15" customHeight="1" x14ac:dyDescent="0.3">
      <c r="A69" s="601" t="s">
        <v>367</v>
      </c>
      <c r="B69" s="574">
        <v>59378.399999999994</v>
      </c>
      <c r="C69" s="574">
        <v>66295.799999999988</v>
      </c>
      <c r="D69" s="574">
        <v>73152</v>
      </c>
      <c r="E69" s="574">
        <v>77784</v>
      </c>
      <c r="F69" s="574">
        <v>82540.799999999988</v>
      </c>
      <c r="G69" s="581">
        <v>86667.839999999997</v>
      </c>
    </row>
    <row r="70" spans="1:7" s="573" customFormat="1" ht="15" customHeight="1" x14ac:dyDescent="0.3">
      <c r="A70" s="601" t="s">
        <v>353</v>
      </c>
      <c r="B70" s="603">
        <v>70434.84</v>
      </c>
      <c r="C70" s="603">
        <v>70800.600000000006</v>
      </c>
      <c r="D70" s="603">
        <v>73406.52</v>
      </c>
      <c r="E70" s="603">
        <v>73163.040000000008</v>
      </c>
      <c r="F70" s="603">
        <v>76089.561600000015</v>
      </c>
      <c r="G70" s="596">
        <v>77991.800640000016</v>
      </c>
    </row>
    <row r="71" spans="1:7" s="573" customFormat="1" ht="15" customHeight="1" x14ac:dyDescent="0.3">
      <c r="A71" s="609" t="s">
        <v>366</v>
      </c>
      <c r="B71" s="608">
        <v>45609.479999999996</v>
      </c>
      <c r="C71" s="608">
        <v>55059.600000000006</v>
      </c>
      <c r="D71" s="608">
        <v>48420.479999999996</v>
      </c>
      <c r="E71" s="587">
        <v>42216.12</v>
      </c>
      <c r="F71" s="608">
        <v>43482.603600000002</v>
      </c>
      <c r="G71" s="598">
        <v>44134.842654</v>
      </c>
    </row>
    <row r="72" spans="1:7" s="573" customFormat="1" ht="15" customHeight="1" x14ac:dyDescent="0.3">
      <c r="A72" s="590"/>
      <c r="B72" s="601"/>
      <c r="C72" s="601"/>
      <c r="D72" s="601"/>
      <c r="E72" s="601"/>
      <c r="F72" s="601"/>
      <c r="G72" s="601"/>
    </row>
    <row r="73" spans="1:7" s="573" customFormat="1" ht="15" customHeight="1" x14ac:dyDescent="0.3">
      <c r="A73" s="590"/>
      <c r="B73" s="601"/>
      <c r="C73" s="601"/>
      <c r="D73" s="601"/>
      <c r="E73" s="601"/>
      <c r="F73" s="601"/>
      <c r="G73" s="601"/>
    </row>
    <row r="74" spans="1:7" s="573" customFormat="1" ht="15" customHeight="1" x14ac:dyDescent="0.3">
      <c r="A74" s="590"/>
      <c r="B74" s="601"/>
      <c r="C74" s="601"/>
      <c r="D74" s="601"/>
      <c r="E74" s="601"/>
      <c r="F74" s="601"/>
      <c r="G74" s="601"/>
    </row>
    <row r="75" spans="1:7" s="573" customFormat="1" ht="15" customHeight="1" x14ac:dyDescent="0.3">
      <c r="A75" s="229"/>
      <c r="B75" s="601"/>
      <c r="C75" s="601"/>
      <c r="D75" s="601"/>
      <c r="E75" s="601"/>
      <c r="F75" s="601"/>
      <c r="G75" s="601"/>
    </row>
    <row r="76" spans="1:7" s="573" customFormat="1" ht="15" customHeight="1" x14ac:dyDescent="0.3">
      <c r="A76" s="229"/>
      <c r="B76" s="601"/>
      <c r="C76" s="601"/>
      <c r="D76" s="601"/>
      <c r="E76" s="601"/>
      <c r="F76" s="601"/>
      <c r="G76" s="601"/>
    </row>
    <row r="77" spans="1:7" s="573" customFormat="1" ht="15" customHeight="1" x14ac:dyDescent="0.3">
      <c r="A77" s="590"/>
      <c r="B77" s="601"/>
      <c r="C77" s="601"/>
      <c r="D77" s="601"/>
      <c r="E77" s="601"/>
      <c r="F77" s="601"/>
      <c r="G77" s="601"/>
    </row>
  </sheetData>
  <pageMargins left="0.7" right="0.7" top="0.75" bottom="0.75" header="0.3" footer="0.3"/>
  <pageSetup paperSize="9" orientation="portrait" horizontalDpi="90" verticalDpi="90" r:id="rId1"/>
  <ignoredErrors>
    <ignoredError sqref="B63:G63" numberStoredAsText="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69"/>
  <sheetViews>
    <sheetView showGridLines="0" zoomScale="89" zoomScaleNormal="89" workbookViewId="0">
      <pane xSplit="1" ySplit="4" topLeftCell="B5" activePane="bottomRight" state="frozen"/>
      <selection pane="topRight" activeCell="B1" sqref="B1"/>
      <selection pane="bottomLeft" activeCell="A5" sqref="A5"/>
      <selection pane="bottomRight" activeCell="A21" sqref="A21"/>
    </sheetView>
  </sheetViews>
  <sheetFormatPr defaultColWidth="11.44140625" defaultRowHeight="14.4" x14ac:dyDescent="0.3"/>
  <cols>
    <col min="1" max="1" width="94.44140625" style="1" customWidth="1"/>
    <col min="2" max="7" width="12.77734375" style="1" customWidth="1"/>
    <col min="8" max="16384" width="11.44140625" style="1"/>
  </cols>
  <sheetData>
    <row r="1" spans="1:7" ht="30" customHeight="1" x14ac:dyDescent="0.3">
      <c r="A1" s="714" t="s">
        <v>561</v>
      </c>
    </row>
    <row r="2" spans="1:7" s="14" customFormat="1" ht="30" customHeight="1" x14ac:dyDescent="0.3">
      <c r="B2" s="55"/>
      <c r="C2" s="55"/>
      <c r="D2" s="55"/>
      <c r="E2" s="55"/>
      <c r="F2" s="55"/>
      <c r="G2" s="55"/>
    </row>
    <row r="3" spans="1:7" s="229" customFormat="1" ht="19.95" customHeight="1" thickBot="1" x14ac:dyDescent="0.35">
      <c r="A3" s="718" t="s">
        <v>557</v>
      </c>
      <c r="B3" s="390"/>
      <c r="C3" s="390"/>
      <c r="D3" s="390"/>
      <c r="E3" s="390"/>
      <c r="F3" s="390"/>
      <c r="G3" s="390"/>
    </row>
    <row r="4" spans="1:7" s="229" customFormat="1" ht="25.05" customHeight="1" thickBot="1" x14ac:dyDescent="0.35">
      <c r="A4" s="410" t="s">
        <v>558</v>
      </c>
      <c r="B4" s="375">
        <v>2010</v>
      </c>
      <c r="C4" s="375">
        <v>2011</v>
      </c>
      <c r="D4" s="375">
        <v>2012</v>
      </c>
      <c r="E4" s="375">
        <v>2013</v>
      </c>
      <c r="F4" s="375">
        <v>2014</v>
      </c>
      <c r="G4" s="392">
        <v>2015</v>
      </c>
    </row>
    <row r="5" spans="1:7" s="229" customFormat="1" ht="4.95" customHeight="1" x14ac:dyDescent="0.3">
      <c r="A5" s="510"/>
      <c r="B5" s="511"/>
      <c r="C5" s="511"/>
      <c r="D5" s="511"/>
      <c r="E5" s="511"/>
      <c r="F5" s="511"/>
      <c r="G5" s="516"/>
    </row>
    <row r="6" spans="1:7" s="229" customFormat="1" ht="15" customHeight="1" x14ac:dyDescent="0.3">
      <c r="A6" s="733" t="s">
        <v>262</v>
      </c>
      <c r="B6" s="538"/>
      <c r="C6" s="538"/>
      <c r="D6" s="538"/>
      <c r="E6" s="538"/>
      <c r="F6" s="538"/>
      <c r="G6" s="539"/>
    </row>
    <row r="7" spans="1:7" s="229" customFormat="1" ht="15" customHeight="1" x14ac:dyDescent="0.3">
      <c r="A7" s="510" t="s">
        <v>225</v>
      </c>
      <c r="B7" s="511">
        <v>805930.3</v>
      </c>
      <c r="C7" s="511">
        <v>1063440.3</v>
      </c>
      <c r="D7" s="511">
        <v>1321799.1000000001</v>
      </c>
      <c r="E7" s="511">
        <v>1311526.05</v>
      </c>
      <c r="F7" s="511">
        <v>1370721.72</v>
      </c>
      <c r="G7" s="516">
        <v>1693891.23</v>
      </c>
    </row>
    <row r="8" spans="1:7" s="229" customFormat="1" ht="15" customHeight="1" x14ac:dyDescent="0.3">
      <c r="A8" s="510" t="s">
        <v>124</v>
      </c>
      <c r="B8" s="511">
        <v>16731043.205999998</v>
      </c>
      <c r="C8" s="511">
        <v>18910523.046</v>
      </c>
      <c r="D8" s="511">
        <v>18626301.765500002</v>
      </c>
      <c r="E8" s="511">
        <v>21859143.554000001</v>
      </c>
      <c r="F8" s="511">
        <v>23793454.77</v>
      </c>
      <c r="G8" s="516">
        <v>27970398.530000001</v>
      </c>
    </row>
    <row r="9" spans="1:7" s="229" customFormat="1" ht="15" customHeight="1" x14ac:dyDescent="0.3">
      <c r="A9" s="733" t="s">
        <v>264</v>
      </c>
      <c r="B9" s="538"/>
      <c r="C9" s="538"/>
      <c r="D9" s="538"/>
      <c r="E9" s="538"/>
      <c r="F9" s="538"/>
      <c r="G9" s="539"/>
    </row>
    <row r="10" spans="1:7" s="229" customFormat="1" ht="15" customHeight="1" x14ac:dyDescent="0.3">
      <c r="A10" s="510" t="s">
        <v>224</v>
      </c>
      <c r="B10" s="511">
        <v>1159951.252517303</v>
      </c>
      <c r="C10" s="511">
        <v>1417590.4991271328</v>
      </c>
      <c r="D10" s="511">
        <v>1469099.2011989902</v>
      </c>
      <c r="E10" s="511">
        <v>1166857.5648847164</v>
      </c>
      <c r="F10" s="511">
        <v>1459223.4309273756</v>
      </c>
      <c r="G10" s="516">
        <v>1843535.6736196873</v>
      </c>
    </row>
    <row r="11" spans="1:7" s="229" customFormat="1" ht="15" customHeight="1" x14ac:dyDescent="0.3">
      <c r="A11" s="510" t="s">
        <v>125</v>
      </c>
      <c r="B11" s="511">
        <v>17231025.800000001</v>
      </c>
      <c r="C11" s="511">
        <v>18123898.75296</v>
      </c>
      <c r="D11" s="511">
        <v>19801229.903476</v>
      </c>
      <c r="E11" s="511">
        <v>20579649.626949999</v>
      </c>
      <c r="F11" s="511">
        <v>20805474.469000001</v>
      </c>
      <c r="G11" s="516">
        <v>20218326.910999998</v>
      </c>
    </row>
    <row r="12" spans="1:7" s="229" customFormat="1" ht="15" customHeight="1" x14ac:dyDescent="0.3">
      <c r="A12" s="229" t="s">
        <v>229</v>
      </c>
      <c r="B12" s="512">
        <v>0</v>
      </c>
      <c r="C12" s="512">
        <v>108541</v>
      </c>
      <c r="D12" s="512">
        <v>397648</v>
      </c>
      <c r="E12" s="512">
        <v>406794</v>
      </c>
      <c r="F12" s="512">
        <v>406794</v>
      </c>
      <c r="G12" s="517">
        <v>462031</v>
      </c>
    </row>
    <row r="13" spans="1:7" s="229" customFormat="1" ht="15" customHeight="1" x14ac:dyDescent="0.3">
      <c r="A13" s="229" t="s">
        <v>230</v>
      </c>
      <c r="B13" s="512">
        <v>32000</v>
      </c>
      <c r="C13" s="512">
        <v>70920</v>
      </c>
      <c r="D13" s="512">
        <v>72819</v>
      </c>
      <c r="E13" s="512">
        <v>80608</v>
      </c>
      <c r="F13" s="512">
        <v>87703</v>
      </c>
      <c r="G13" s="517">
        <v>93622</v>
      </c>
    </row>
    <row r="14" spans="1:7" s="229" customFormat="1" ht="15" customHeight="1" x14ac:dyDescent="0.3">
      <c r="A14" s="229" t="s">
        <v>232</v>
      </c>
      <c r="B14" s="512">
        <v>0</v>
      </c>
      <c r="C14" s="512">
        <v>0</v>
      </c>
      <c r="D14" s="512">
        <v>150668</v>
      </c>
      <c r="E14" s="512">
        <v>150668</v>
      </c>
      <c r="F14" s="512">
        <v>150668</v>
      </c>
      <c r="G14" s="517">
        <v>105000</v>
      </c>
    </row>
    <row r="15" spans="1:7" s="229" customFormat="1" ht="15" customHeight="1" x14ac:dyDescent="0.3">
      <c r="A15" s="109" t="s">
        <v>263</v>
      </c>
      <c r="B15" s="536"/>
      <c r="C15" s="536"/>
      <c r="D15" s="536"/>
      <c r="E15" s="536"/>
      <c r="F15" s="536"/>
      <c r="G15" s="537"/>
    </row>
    <row r="16" spans="1:7" s="229" customFormat="1" ht="15" customHeight="1" x14ac:dyDescent="0.3">
      <c r="A16" s="238" t="s">
        <v>234</v>
      </c>
      <c r="B16" s="515">
        <v>3716011</v>
      </c>
      <c r="C16" s="515">
        <v>3802368</v>
      </c>
      <c r="D16" s="515">
        <v>1869855.1600000001</v>
      </c>
      <c r="E16" s="515">
        <v>2018113.82</v>
      </c>
      <c r="F16" s="515">
        <v>2194203.89</v>
      </c>
      <c r="G16" s="518">
        <v>1951015.0399999998</v>
      </c>
    </row>
    <row r="17" spans="1:8" s="229" customFormat="1" ht="15" customHeight="1" x14ac:dyDescent="0.3">
      <c r="A17" s="53" t="s">
        <v>307</v>
      </c>
      <c r="B17" s="239">
        <f t="shared" ref="B17:E17" si="0">+B7+B10</f>
        <v>1965881.552517303</v>
      </c>
      <c r="C17" s="239">
        <f t="shared" si="0"/>
        <v>2481030.7991271326</v>
      </c>
      <c r="D17" s="239">
        <f t="shared" si="0"/>
        <v>2790898.3011989901</v>
      </c>
      <c r="E17" s="239">
        <f t="shared" si="0"/>
        <v>2478383.6148847165</v>
      </c>
      <c r="F17" s="239">
        <f>+F7+F10</f>
        <v>2829945.1509273755</v>
      </c>
      <c r="G17" s="240">
        <f t="shared" ref="G17" si="1">+G7+G10</f>
        <v>3537426.9036196871</v>
      </c>
      <c r="H17" s="540"/>
    </row>
    <row r="18" spans="1:8" s="229" customFormat="1" ht="15" customHeight="1" x14ac:dyDescent="0.3">
      <c r="A18" s="229" t="s">
        <v>312</v>
      </c>
      <c r="B18" s="231">
        <f>B17/B57</f>
        <v>3.8700509780152997E-3</v>
      </c>
      <c r="C18" s="231">
        <f>C17/C57</f>
        <v>4.5321397323264782E-3</v>
      </c>
      <c r="D18" s="231">
        <f>D17/D57</f>
        <v>4.5457848510383888E-3</v>
      </c>
      <c r="E18" s="231">
        <f>E17/E57</f>
        <v>4.8304852357694888E-3</v>
      </c>
      <c r="F18" s="231">
        <f>F17/F57</f>
        <v>5.1241257810387356E-3</v>
      </c>
      <c r="G18" s="465">
        <f>G17/G57</f>
        <v>5.3943735998351902E-3</v>
      </c>
    </row>
    <row r="19" spans="1:8" s="229" customFormat="1" ht="15" customHeight="1" x14ac:dyDescent="0.3">
      <c r="A19" s="229" t="s">
        <v>271</v>
      </c>
      <c r="B19" s="231">
        <f>B17/B58</f>
        <v>1.6157896924795197E-2</v>
      </c>
      <c r="C19" s="231">
        <f>C17/C58</f>
        <v>1.9252126325772046E-2</v>
      </c>
      <c r="D19" s="231">
        <f>D17/D58</f>
        <v>2.0907525299319548E-2</v>
      </c>
      <c r="E19" s="231">
        <f>E17/E58</f>
        <v>1.7440817766990108E-2</v>
      </c>
      <c r="F19" s="231">
        <f>F17/F58</f>
        <v>1.938193198080743E-2</v>
      </c>
      <c r="G19" s="465">
        <f>G17/G58</f>
        <v>2.3172995905135236E-2</v>
      </c>
    </row>
    <row r="20" spans="1:8" s="229" customFormat="1" ht="15" customHeight="1" x14ac:dyDescent="0.3">
      <c r="A20" s="229" t="s">
        <v>309</v>
      </c>
      <c r="B20" s="231">
        <f>B17/B59</f>
        <v>1.7056257482764574E-3</v>
      </c>
      <c r="C20" s="231">
        <f>C17/C59</f>
        <v>2.0019971607732855E-3</v>
      </c>
      <c r="D20" s="231">
        <f>D17/D59</f>
        <v>2.1267483262623495E-3</v>
      </c>
      <c r="E20" s="231">
        <f>E17/E59</f>
        <v>1.7335366303299273E-3</v>
      </c>
      <c r="F20" s="231">
        <f>F17/F59</f>
        <v>1.8316833634381992E-3</v>
      </c>
      <c r="G20" s="465">
        <f>G17/G59</f>
        <v>2.2896012689912252E-3</v>
      </c>
    </row>
    <row r="21" spans="1:8" s="229" customFormat="1" ht="15" customHeight="1" x14ac:dyDescent="0.3">
      <c r="A21" s="229" t="s">
        <v>310</v>
      </c>
      <c r="B21" s="525">
        <f>(B17/B61)*1000</f>
        <v>4679.5561830928418</v>
      </c>
      <c r="C21" s="525">
        <f>(C17/C61)*1000</f>
        <v>5880.6134134324066</v>
      </c>
      <c r="D21" s="525">
        <f>(D17/D61)*1000</f>
        <v>6615.0706356932687</v>
      </c>
      <c r="E21" s="525">
        <f>(E17/E61)*1000</f>
        <v>5832.8632969750915</v>
      </c>
      <c r="F21" s="525">
        <f>(F17/F61)*1000</f>
        <v>6652.4333590206288</v>
      </c>
      <c r="G21" s="526">
        <f>(G17/G61)*1000</f>
        <v>8315.5310381280833</v>
      </c>
    </row>
    <row r="22" spans="1:8" s="229" customFormat="1" ht="15" customHeight="1" thickBot="1" x14ac:dyDescent="0.35">
      <c r="A22" s="241" t="s">
        <v>311</v>
      </c>
      <c r="B22" s="478">
        <f>(+B21/B62)</f>
        <v>1.9998103346550607E-2</v>
      </c>
      <c r="C22" s="478">
        <f>(+C21/C62)</f>
        <v>2.5130826553129943E-2</v>
      </c>
      <c r="D22" s="478">
        <f>(+D21/D62)</f>
        <v>2.8269532631167816E-2</v>
      </c>
      <c r="E22" s="478">
        <f>(+E21/E62)</f>
        <v>2.4926766226389282E-2</v>
      </c>
      <c r="F22" s="478">
        <f>(+F21/F62)</f>
        <v>2.8429202388977046E-2</v>
      </c>
      <c r="G22" s="466">
        <f>(+G21/G62)</f>
        <v>3.5536457427897794E-2</v>
      </c>
    </row>
    <row r="23" spans="1:8" s="229" customFormat="1" ht="15" customHeight="1" x14ac:dyDescent="0.3">
      <c r="B23" s="231"/>
      <c r="C23" s="231"/>
      <c r="D23" s="231"/>
      <c r="E23" s="231"/>
      <c r="F23" s="231"/>
      <c r="G23" s="231"/>
    </row>
    <row r="24" spans="1:8" s="229" customFormat="1" ht="15" customHeight="1" x14ac:dyDescent="0.3">
      <c r="B24" s="231"/>
      <c r="C24" s="231"/>
      <c r="D24" s="231"/>
      <c r="E24" s="231"/>
      <c r="F24" s="231"/>
      <c r="G24" s="231"/>
    </row>
    <row r="25" spans="1:8" s="229" customFormat="1" ht="19.95" customHeight="1" thickBot="1" x14ac:dyDescent="0.35">
      <c r="A25" s="718" t="s">
        <v>559</v>
      </c>
      <c r="B25" s="390"/>
      <c r="C25" s="390"/>
      <c r="D25" s="390"/>
      <c r="E25" s="390"/>
      <c r="F25" s="390"/>
      <c r="G25" s="390"/>
    </row>
    <row r="26" spans="1:8" s="229" customFormat="1" ht="25.05" customHeight="1" thickBot="1" x14ac:dyDescent="0.35">
      <c r="A26" s="410" t="s">
        <v>558</v>
      </c>
      <c r="B26" s="375">
        <v>2010</v>
      </c>
      <c r="C26" s="375">
        <v>2011</v>
      </c>
      <c r="D26" s="375">
        <v>2012</v>
      </c>
      <c r="E26" s="375">
        <v>2013</v>
      </c>
      <c r="F26" s="375">
        <v>2014</v>
      </c>
      <c r="G26" s="392">
        <v>2015</v>
      </c>
    </row>
    <row r="27" spans="1:8" s="229" customFormat="1" ht="4.95" customHeight="1" x14ac:dyDescent="0.3">
      <c r="A27" s="510"/>
      <c r="B27" s="523"/>
      <c r="C27" s="523"/>
      <c r="D27" s="523"/>
      <c r="E27" s="523"/>
      <c r="F27" s="523"/>
      <c r="G27" s="527"/>
    </row>
    <row r="28" spans="1:8" s="229" customFormat="1" ht="15" customHeight="1" x14ac:dyDescent="0.3">
      <c r="A28" s="733" t="s">
        <v>262</v>
      </c>
      <c r="B28" s="538"/>
      <c r="C28" s="538"/>
      <c r="D28" s="538"/>
      <c r="E28" s="538"/>
      <c r="F28" s="538"/>
      <c r="G28" s="539"/>
    </row>
    <row r="29" spans="1:8" s="229" customFormat="1" ht="15" customHeight="1" x14ac:dyDescent="0.3">
      <c r="A29" s="510" t="s">
        <v>225</v>
      </c>
      <c r="B29" s="523">
        <v>805930.3</v>
      </c>
      <c r="C29" s="523">
        <v>1063440.3</v>
      </c>
      <c r="D29" s="523">
        <v>1321799.1000000001</v>
      </c>
      <c r="E29" s="523">
        <v>1311526.05</v>
      </c>
      <c r="F29" s="523">
        <v>1370721.72</v>
      </c>
      <c r="G29" s="528">
        <v>1693891.23</v>
      </c>
      <c r="H29" s="487"/>
    </row>
    <row r="30" spans="1:8" s="229" customFormat="1" ht="15" customHeight="1" x14ac:dyDescent="0.3">
      <c r="A30" s="510" t="s">
        <v>124</v>
      </c>
      <c r="B30" s="523">
        <v>16731043.205999998</v>
      </c>
      <c r="C30" s="523">
        <v>18910523.046</v>
      </c>
      <c r="D30" s="523">
        <v>18626301.765500002</v>
      </c>
      <c r="E30" s="523">
        <v>21859143.554000001</v>
      </c>
      <c r="F30" s="523">
        <v>23793454.77</v>
      </c>
      <c r="G30" s="528">
        <v>27970398.530000001</v>
      </c>
      <c r="H30" s="486"/>
    </row>
    <row r="31" spans="1:8" s="229" customFormat="1" ht="15" customHeight="1" x14ac:dyDescent="0.3">
      <c r="A31" s="733" t="s">
        <v>264</v>
      </c>
      <c r="B31" s="538"/>
      <c r="C31" s="538"/>
      <c r="D31" s="538"/>
      <c r="E31" s="538"/>
      <c r="F31" s="538"/>
      <c r="G31" s="539"/>
    </row>
    <row r="32" spans="1:8" s="229" customFormat="1" ht="15" customHeight="1" x14ac:dyDescent="0.3">
      <c r="A32" s="510" t="s">
        <v>224</v>
      </c>
      <c r="B32" s="523">
        <v>1159951.252517303</v>
      </c>
      <c r="C32" s="523">
        <v>1417590.4991271328</v>
      </c>
      <c r="D32" s="523">
        <v>1469099.2011989902</v>
      </c>
      <c r="E32" s="523">
        <v>1166857.5648847164</v>
      </c>
      <c r="F32" s="523">
        <v>1459223.4309273756</v>
      </c>
      <c r="G32" s="528">
        <v>1843535.6736196873</v>
      </c>
    </row>
    <row r="33" spans="1:8" s="229" customFormat="1" ht="15" customHeight="1" x14ac:dyDescent="0.3">
      <c r="A33" s="510" t="s">
        <v>125</v>
      </c>
      <c r="B33" s="523">
        <v>17231025.800000001</v>
      </c>
      <c r="C33" s="523">
        <v>18123898.75296</v>
      </c>
      <c r="D33" s="523">
        <v>19801229.903476</v>
      </c>
      <c r="E33" s="523">
        <v>20579649.626949999</v>
      </c>
      <c r="F33" s="523">
        <v>20805474.469000001</v>
      </c>
      <c r="G33" s="528">
        <v>20218326.910999998</v>
      </c>
    </row>
    <row r="34" spans="1:8" s="229" customFormat="1" ht="15" customHeight="1" x14ac:dyDescent="0.3">
      <c r="A34" s="229" t="s">
        <v>229</v>
      </c>
      <c r="B34" s="487">
        <v>0</v>
      </c>
      <c r="C34" s="487">
        <v>108541</v>
      </c>
      <c r="D34" s="487">
        <v>397648</v>
      </c>
      <c r="E34" s="487">
        <v>406794</v>
      </c>
      <c r="F34" s="487">
        <v>406794</v>
      </c>
      <c r="G34" s="529">
        <v>462031</v>
      </c>
    </row>
    <row r="35" spans="1:8" s="229" customFormat="1" ht="15" customHeight="1" x14ac:dyDescent="0.3">
      <c r="A35" s="229" t="s">
        <v>230</v>
      </c>
      <c r="B35" s="487">
        <v>32000</v>
      </c>
      <c r="C35" s="487">
        <v>70920</v>
      </c>
      <c r="D35" s="487">
        <v>72819</v>
      </c>
      <c r="E35" s="487">
        <v>80608</v>
      </c>
      <c r="F35" s="487">
        <v>87703</v>
      </c>
      <c r="G35" s="529">
        <v>93622</v>
      </c>
    </row>
    <row r="36" spans="1:8" s="229" customFormat="1" ht="15" customHeight="1" x14ac:dyDescent="0.3">
      <c r="A36" s="229" t="s">
        <v>232</v>
      </c>
      <c r="B36" s="487">
        <v>0</v>
      </c>
      <c r="C36" s="487">
        <v>0</v>
      </c>
      <c r="D36" s="487">
        <v>150668</v>
      </c>
      <c r="E36" s="487">
        <v>150668</v>
      </c>
      <c r="F36" s="487">
        <v>150668</v>
      </c>
      <c r="G36" s="529">
        <v>105000</v>
      </c>
    </row>
    <row r="37" spans="1:8" s="229" customFormat="1" ht="15" customHeight="1" x14ac:dyDescent="0.3">
      <c r="A37" s="109" t="s">
        <v>263</v>
      </c>
      <c r="B37" s="536"/>
      <c r="C37" s="536"/>
      <c r="D37" s="536"/>
      <c r="E37" s="536"/>
      <c r="F37" s="536"/>
      <c r="G37" s="537"/>
    </row>
    <row r="38" spans="1:8" s="229" customFormat="1" ht="15" customHeight="1" x14ac:dyDescent="0.3">
      <c r="A38" s="238" t="s">
        <v>234</v>
      </c>
      <c r="B38" s="524">
        <v>3716011</v>
      </c>
      <c r="C38" s="524">
        <v>3802368</v>
      </c>
      <c r="D38" s="524">
        <v>1869855.1600000001</v>
      </c>
      <c r="E38" s="524">
        <v>2018113.82</v>
      </c>
      <c r="F38" s="524">
        <v>2194203.89</v>
      </c>
      <c r="G38" s="530">
        <v>1951015.0399999998</v>
      </c>
    </row>
    <row r="39" spans="1:8" s="229" customFormat="1" ht="15" customHeight="1" x14ac:dyDescent="0.3">
      <c r="A39" s="53" t="s">
        <v>308</v>
      </c>
      <c r="B39" s="534">
        <f>SUM(B29:B38)-B33</f>
        <v>22444935.758517299</v>
      </c>
      <c r="C39" s="534">
        <f t="shared" ref="C39:G39" si="2">SUM(C29:C38)-C33</f>
        <v>25373382.845127132</v>
      </c>
      <c r="D39" s="534">
        <f t="shared" si="2"/>
        <v>23908190.226698995</v>
      </c>
      <c r="E39" s="534">
        <f t="shared" si="2"/>
        <v>26993710.988884721</v>
      </c>
      <c r="F39" s="534">
        <f t="shared" si="2"/>
        <v>29462768.810927372</v>
      </c>
      <c r="G39" s="535">
        <f t="shared" si="2"/>
        <v>34119493.473619692</v>
      </c>
      <c r="H39" s="540"/>
    </row>
    <row r="40" spans="1:8" s="229" customFormat="1" ht="15" customHeight="1" x14ac:dyDescent="0.3">
      <c r="A40" s="229" t="s">
        <v>319</v>
      </c>
      <c r="B40" s="503">
        <f>B39/B57</f>
        <v>4.4185289532074137E-2</v>
      </c>
      <c r="C40" s="503">
        <f>C39/C57</f>
        <v>4.6349975411989694E-2</v>
      </c>
      <c r="D40" s="503">
        <f>D39/D57</f>
        <v>3.8941400659988933E-2</v>
      </c>
      <c r="E40" s="503">
        <f>E39/E57</f>
        <v>5.2612001470362185E-2</v>
      </c>
      <c r="F40" s="503">
        <f>F39/F57</f>
        <v>5.3347653467906826E-2</v>
      </c>
      <c r="G40" s="519">
        <f>G39/G57</f>
        <v>5.2030275069573827E-2</v>
      </c>
    </row>
    <row r="41" spans="1:8" s="229" customFormat="1" ht="15" customHeight="1" x14ac:dyDescent="0.3">
      <c r="A41" s="229" t="s">
        <v>316</v>
      </c>
      <c r="B41" s="503">
        <f>B39/B58</f>
        <v>0.18447853992290836</v>
      </c>
      <c r="C41" s="503">
        <f>C39/C58</f>
        <v>0.1968905714586148</v>
      </c>
      <c r="D41" s="503">
        <f>D39/D58</f>
        <v>0.17910401529532971</v>
      </c>
      <c r="E41" s="503">
        <f>E39/E58</f>
        <v>0.1899594523561422</v>
      </c>
      <c r="F41" s="503">
        <f>F39/F58</f>
        <v>0.20178673105113604</v>
      </c>
      <c r="G41" s="519">
        <f>G39/G58</f>
        <v>0.22351016829222412</v>
      </c>
    </row>
    <row r="42" spans="1:8" s="229" customFormat="1" ht="15" customHeight="1" x14ac:dyDescent="0.3">
      <c r="A42" s="229" t="s">
        <v>317</v>
      </c>
      <c r="B42" s="231">
        <f>B39/B59</f>
        <v>1.9473533539758434E-2</v>
      </c>
      <c r="C42" s="231">
        <f>C39/C59</f>
        <v>2.0474328828577814E-2</v>
      </c>
      <c r="D42" s="231">
        <f>D39/D59</f>
        <v>1.8218759001985073E-2</v>
      </c>
      <c r="E42" s="231">
        <f>E39/E59</f>
        <v>1.8881091089664837E-2</v>
      </c>
      <c r="F42" s="231">
        <f>F39/F59</f>
        <v>1.9069791318788162E-2</v>
      </c>
      <c r="G42" s="465">
        <f>G39/G59</f>
        <v>2.2083858602025334E-2</v>
      </c>
    </row>
    <row r="43" spans="1:8" s="229" customFormat="1" ht="15" customHeight="1" x14ac:dyDescent="0.3">
      <c r="A43" s="229" t="s">
        <v>318</v>
      </c>
      <c r="B43" s="488">
        <f>(B39/B61)*1000</f>
        <v>53427.602376856223</v>
      </c>
      <c r="C43" s="488">
        <f>(C39/C61)*1000</f>
        <v>60140.750995797891</v>
      </c>
      <c r="D43" s="488">
        <f>(D39/D61)*1000</f>
        <v>56667.907624316176</v>
      </c>
      <c r="E43" s="488">
        <f>(E39/E61)*1000</f>
        <v>63529.56222378141</v>
      </c>
      <c r="F43" s="488">
        <f>(F39/F61)*1000</f>
        <v>69258.976988545764</v>
      </c>
      <c r="G43" s="489">
        <f>(G39/G61)*1000</f>
        <v>80205.673421767031</v>
      </c>
    </row>
    <row r="44" spans="1:8" s="229" customFormat="1" ht="15" customHeight="1" thickBot="1" x14ac:dyDescent="0.35">
      <c r="A44" s="241" t="s">
        <v>338</v>
      </c>
      <c r="B44" s="520">
        <f>(+B43/B62)</f>
        <v>0.22832308708058216</v>
      </c>
      <c r="C44" s="520">
        <f>(+C43/C62)</f>
        <v>0.25701175639229867</v>
      </c>
      <c r="D44" s="520">
        <f>(+D43/D62)</f>
        <v>0.24217054540306057</v>
      </c>
      <c r="E44" s="520">
        <f>(+E43/E62)</f>
        <v>0.27149385565718553</v>
      </c>
      <c r="F44" s="520">
        <f>(+F43/F62)</f>
        <v>0.29597853413908448</v>
      </c>
      <c r="G44" s="521">
        <f>(+G43/G62)</f>
        <v>0.34275928812720952</v>
      </c>
    </row>
    <row r="45" spans="1:8" s="229" customFormat="1" ht="15" customHeight="1" x14ac:dyDescent="0.3">
      <c r="A45" s="230" t="s">
        <v>126</v>
      </c>
      <c r="B45" s="231"/>
      <c r="C45" s="231"/>
      <c r="D45" s="231"/>
      <c r="E45" s="231"/>
      <c r="F45" s="231"/>
      <c r="G45" s="231"/>
    </row>
    <row r="46" spans="1:8" s="229" customFormat="1" ht="15" customHeight="1" x14ac:dyDescent="0.3">
      <c r="A46" s="243" t="s">
        <v>222</v>
      </c>
      <c r="F46" s="508"/>
    </row>
    <row r="47" spans="1:8" s="229" customFormat="1" ht="15" customHeight="1" x14ac:dyDescent="0.3">
      <c r="A47" s="243" t="s">
        <v>223</v>
      </c>
    </row>
    <row r="48" spans="1:8" s="229" customFormat="1" ht="15" customHeight="1" x14ac:dyDescent="0.3">
      <c r="A48" s="243" t="s">
        <v>226</v>
      </c>
    </row>
    <row r="49" spans="1:7" s="229" customFormat="1" ht="15" customHeight="1" x14ac:dyDescent="0.3">
      <c r="A49" s="243" t="s">
        <v>227</v>
      </c>
    </row>
    <row r="50" spans="1:7" s="229" customFormat="1" ht="15" customHeight="1" x14ac:dyDescent="0.3">
      <c r="A50" s="243" t="s">
        <v>228</v>
      </c>
    </row>
    <row r="51" spans="1:7" s="229" customFormat="1" ht="15" customHeight="1" x14ac:dyDescent="0.3">
      <c r="A51" s="243" t="s">
        <v>231</v>
      </c>
    </row>
    <row r="52" spans="1:7" s="229" customFormat="1" ht="15" customHeight="1" x14ac:dyDescent="0.3">
      <c r="A52" s="243" t="s">
        <v>233</v>
      </c>
    </row>
    <row r="53" spans="1:7" s="229" customFormat="1" ht="15" customHeight="1" x14ac:dyDescent="0.3"/>
    <row r="54" spans="1:7" ht="15" thickBot="1" x14ac:dyDescent="0.35"/>
    <row r="55" spans="1:7" ht="25.05" customHeight="1" thickBot="1" x14ac:dyDescent="0.35">
      <c r="A55" s="410" t="s">
        <v>292</v>
      </c>
      <c r="B55" s="411" t="s">
        <v>182</v>
      </c>
      <c r="C55" s="411" t="s">
        <v>183</v>
      </c>
      <c r="D55" s="411" t="s">
        <v>184</v>
      </c>
      <c r="E55" s="411" t="s">
        <v>185</v>
      </c>
      <c r="F55" s="411" t="s">
        <v>186</v>
      </c>
      <c r="G55" s="412" t="s">
        <v>187</v>
      </c>
    </row>
    <row r="56" spans="1:7" s="229" customFormat="1" ht="4.95" customHeight="1" x14ac:dyDescent="0.3">
      <c r="B56" s="233"/>
      <c r="C56" s="233"/>
      <c r="D56" s="233"/>
      <c r="E56" s="233"/>
      <c r="F56" s="233"/>
      <c r="G56" s="531"/>
    </row>
    <row r="57" spans="1:7" s="229" customFormat="1" ht="15" customHeight="1" x14ac:dyDescent="0.3">
      <c r="A57" s="229" t="s">
        <v>236</v>
      </c>
      <c r="B57" s="233">
        <v>507973038</v>
      </c>
      <c r="C57" s="233">
        <v>547430341</v>
      </c>
      <c r="D57" s="233">
        <v>613953012</v>
      </c>
      <c r="E57" s="233">
        <v>513071357</v>
      </c>
      <c r="F57" s="233">
        <v>552278627</v>
      </c>
      <c r="G57" s="236">
        <v>655762312</v>
      </c>
    </row>
    <row r="58" spans="1:7" s="229" customFormat="1" ht="15" customHeight="1" x14ac:dyDescent="0.3">
      <c r="A58" s="229" t="s">
        <v>238</v>
      </c>
      <c r="B58" s="233">
        <v>121666920</v>
      </c>
      <c r="C58" s="233">
        <v>128870482</v>
      </c>
      <c r="D58" s="233">
        <v>133487740</v>
      </c>
      <c r="E58" s="233">
        <v>142102489</v>
      </c>
      <c r="F58" s="233">
        <v>146009446</v>
      </c>
      <c r="G58" s="236">
        <v>152652981</v>
      </c>
    </row>
    <row r="59" spans="1:7" s="229" customFormat="1" ht="15" customHeight="1" x14ac:dyDescent="0.3">
      <c r="A59" s="229" t="s">
        <v>560</v>
      </c>
      <c r="B59" s="233">
        <v>1152586699.9274814</v>
      </c>
      <c r="C59" s="233">
        <v>1239277880.9780216</v>
      </c>
      <c r="D59" s="233">
        <v>1312284235.3913357</v>
      </c>
      <c r="E59" s="233">
        <v>1429669019.6924362</v>
      </c>
      <c r="F59" s="233">
        <v>1544996917.8162804</v>
      </c>
      <c r="G59" s="236">
        <v>1544996917.8162804</v>
      </c>
    </row>
    <row r="60" spans="1:7" s="229" customFormat="1" ht="15" customHeight="1" x14ac:dyDescent="0.3">
      <c r="A60" s="229" t="s">
        <v>240</v>
      </c>
      <c r="B60" s="513">
        <f>1/87.38</f>
        <v>1.1444266422522317E-2</v>
      </c>
      <c r="C60" s="513">
        <f>1/86.08</f>
        <v>1.1617100371747213E-2</v>
      </c>
      <c r="D60" s="513">
        <f>1/88.99</f>
        <v>1.1237217664906169E-2</v>
      </c>
      <c r="E60" s="513">
        <f>1/100.77</f>
        <v>9.923588369554431E-3</v>
      </c>
      <c r="F60" s="513">
        <f>1/111.22</f>
        <v>8.9911886351375647E-3</v>
      </c>
      <c r="G60" s="506">
        <f>1/117.31</f>
        <v>8.5244224703776312E-3</v>
      </c>
    </row>
    <row r="61" spans="1:7" s="229" customFormat="1" ht="15" customHeight="1" x14ac:dyDescent="0.3">
      <c r="A61" s="229" t="s">
        <v>244</v>
      </c>
      <c r="B61" s="514">
        <v>420100</v>
      </c>
      <c r="C61" s="514">
        <v>421900</v>
      </c>
      <c r="D61" s="514">
        <v>421900</v>
      </c>
      <c r="E61" s="514">
        <v>424900</v>
      </c>
      <c r="F61" s="514">
        <v>425400</v>
      </c>
      <c r="G61" s="532">
        <v>425400</v>
      </c>
    </row>
    <row r="62" spans="1:7" s="229" customFormat="1" ht="15" customHeight="1" x14ac:dyDescent="0.3">
      <c r="A62" s="238" t="s">
        <v>245</v>
      </c>
      <c r="B62" s="533">
        <v>234000</v>
      </c>
      <c r="C62" s="533">
        <v>234000</v>
      </c>
      <c r="D62" s="533">
        <v>234000</v>
      </c>
      <c r="E62" s="533">
        <v>234000</v>
      </c>
      <c r="F62" s="533">
        <v>234000</v>
      </c>
      <c r="G62" s="507">
        <v>234000</v>
      </c>
    </row>
    <row r="63" spans="1:7" x14ac:dyDescent="0.3">
      <c r="A63" s="57" t="s">
        <v>126</v>
      </c>
    </row>
    <row r="64" spans="1:7" x14ac:dyDescent="0.3">
      <c r="A64" s="243" t="s">
        <v>235</v>
      </c>
    </row>
    <row r="65" spans="1:1" x14ac:dyDescent="0.3">
      <c r="A65" s="243" t="s">
        <v>237</v>
      </c>
    </row>
    <row r="66" spans="1:1" x14ac:dyDescent="0.3">
      <c r="A66" s="243" t="s">
        <v>239</v>
      </c>
    </row>
    <row r="67" spans="1:1" x14ac:dyDescent="0.3">
      <c r="A67" s="243" t="s">
        <v>241</v>
      </c>
    </row>
    <row r="68" spans="1:1" x14ac:dyDescent="0.3">
      <c r="A68" s="243" t="s">
        <v>242</v>
      </c>
    </row>
    <row r="69" spans="1:1" x14ac:dyDescent="0.3">
      <c r="A69" s="243" t="s">
        <v>243</v>
      </c>
    </row>
  </sheetData>
  <printOptions horizontalCentered="1" verticalCentered="1"/>
  <pageMargins left="0.31496062992125984" right="0.31496062992125984" top="0.35433070866141736" bottom="0.35433070866141736" header="0.31496062992125984" footer="0.31496062992125984"/>
  <pageSetup scale="60" orientation="landscape" r:id="rId1"/>
  <ignoredErrors>
    <ignoredError sqref="B55:G5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28"/>
  <sheetViews>
    <sheetView showGridLines="0" zoomScale="80" zoomScaleNormal="80" workbookViewId="0">
      <pane xSplit="1" ySplit="4" topLeftCell="B5" activePane="bottomRight" state="frozen"/>
      <selection pane="topRight" activeCell="B1" sqref="B1"/>
      <selection pane="bottomLeft" activeCell="A4" sqref="A4"/>
      <selection pane="bottomRight" activeCell="A105" sqref="A105"/>
    </sheetView>
  </sheetViews>
  <sheetFormatPr defaultColWidth="11.44140625" defaultRowHeight="14.4" x14ac:dyDescent="0.3"/>
  <cols>
    <col min="1" max="1" width="118.77734375" style="14" customWidth="1"/>
    <col min="2" max="26" width="15.77734375" style="14" customWidth="1"/>
    <col min="27" max="16384" width="11.44140625" style="14"/>
  </cols>
  <sheetData>
    <row r="1" spans="1:17" ht="30" customHeight="1" x14ac:dyDescent="0.3">
      <c r="A1" s="55" t="s">
        <v>562</v>
      </c>
      <c r="B1" s="55"/>
      <c r="C1" s="55"/>
      <c r="D1" s="55"/>
      <c r="E1" s="55"/>
      <c r="F1" s="55"/>
      <c r="G1" s="55"/>
      <c r="H1" s="55"/>
      <c r="I1" s="55"/>
      <c r="J1" s="55"/>
      <c r="K1" s="55"/>
      <c r="L1" s="55"/>
      <c r="M1" s="55"/>
      <c r="N1" s="55"/>
      <c r="O1" s="55"/>
      <c r="P1" s="27"/>
    </row>
    <row r="2" spans="1:17" ht="30" customHeight="1" x14ac:dyDescent="0.3">
      <c r="A2" s="27"/>
      <c r="B2" s="27"/>
      <c r="C2" s="27"/>
      <c r="D2" s="27"/>
      <c r="E2" s="27"/>
      <c r="F2" s="27"/>
      <c r="G2" s="27"/>
      <c r="H2" s="27"/>
      <c r="I2" s="27"/>
      <c r="J2" s="27"/>
      <c r="K2" s="27"/>
      <c r="L2" s="27"/>
      <c r="M2" s="27"/>
      <c r="N2" s="27"/>
      <c r="O2" s="27"/>
      <c r="P2" s="27"/>
    </row>
    <row r="3" spans="1:17" s="229" customFormat="1" ht="19.95" customHeight="1" thickBot="1" x14ac:dyDescent="0.35">
      <c r="A3" s="718" t="s">
        <v>565</v>
      </c>
      <c r="B3" s="390"/>
      <c r="C3" s="390"/>
      <c r="D3" s="390"/>
      <c r="E3" s="390"/>
      <c r="F3" s="390"/>
      <c r="G3" s="390"/>
      <c r="H3" s="474"/>
      <c r="I3" s="390"/>
      <c r="J3" s="390"/>
      <c r="K3" s="390"/>
      <c r="L3" s="390"/>
      <c r="M3" s="390"/>
      <c r="N3" s="390"/>
      <c r="O3" s="474"/>
      <c r="P3" s="390"/>
    </row>
    <row r="4" spans="1:17" s="229" customFormat="1" ht="25.05" customHeight="1" thickBot="1" x14ac:dyDescent="0.35">
      <c r="A4" s="410" t="s">
        <v>564</v>
      </c>
      <c r="B4" s="375">
        <v>2002</v>
      </c>
      <c r="C4" s="375">
        <v>2003</v>
      </c>
      <c r="D4" s="375">
        <v>2004</v>
      </c>
      <c r="E4" s="375">
        <v>2005</v>
      </c>
      <c r="F4" s="375">
        <v>2006</v>
      </c>
      <c r="G4" s="375">
        <v>2007</v>
      </c>
      <c r="H4" s="375">
        <v>2008</v>
      </c>
      <c r="I4" s="375">
        <v>2009</v>
      </c>
      <c r="J4" s="375">
        <v>2010</v>
      </c>
      <c r="K4" s="375">
        <v>2011</v>
      </c>
      <c r="L4" s="375">
        <v>2012</v>
      </c>
      <c r="M4" s="375">
        <v>2013</v>
      </c>
      <c r="N4" s="375">
        <v>2014</v>
      </c>
      <c r="O4" s="375">
        <v>2015</v>
      </c>
      <c r="P4" s="392">
        <v>2016</v>
      </c>
    </row>
    <row r="5" spans="1:17" s="229" customFormat="1" ht="4.95" customHeight="1" x14ac:dyDescent="0.3">
      <c r="B5" s="512"/>
      <c r="C5" s="512"/>
      <c r="D5" s="512"/>
      <c r="E5" s="512"/>
      <c r="F5" s="512"/>
      <c r="G5" s="512"/>
      <c r="H5" s="512"/>
      <c r="I5" s="512"/>
      <c r="J5" s="512"/>
      <c r="K5" s="512"/>
      <c r="L5" s="512"/>
      <c r="M5" s="512"/>
      <c r="N5" s="512"/>
      <c r="O5" s="512"/>
      <c r="P5" s="517"/>
      <c r="Q5" s="508"/>
    </row>
    <row r="6" spans="1:17" s="229" customFormat="1" ht="15" customHeight="1" x14ac:dyDescent="0.3">
      <c r="A6" s="733" t="s">
        <v>262</v>
      </c>
      <c r="B6" s="536"/>
      <c r="C6" s="536"/>
      <c r="D6" s="536"/>
      <c r="E6" s="536"/>
      <c r="F6" s="536"/>
      <c r="G6" s="536"/>
      <c r="H6" s="536"/>
      <c r="I6" s="536"/>
      <c r="J6" s="536"/>
      <c r="K6" s="536"/>
      <c r="L6" s="536"/>
      <c r="M6" s="536"/>
      <c r="N6" s="536"/>
      <c r="O6" s="536"/>
      <c r="P6" s="537"/>
      <c r="Q6" s="508"/>
    </row>
    <row r="7" spans="1:17" s="229" customFormat="1" ht="15" customHeight="1" x14ac:dyDescent="0.3">
      <c r="A7" s="229" t="s">
        <v>64</v>
      </c>
      <c r="B7" s="512"/>
      <c r="C7" s="512"/>
      <c r="D7" s="512">
        <v>669401.59116728662</v>
      </c>
      <c r="E7" s="512">
        <v>723154.35883444163</v>
      </c>
      <c r="F7" s="512">
        <v>889070.78825882904</v>
      </c>
      <c r="G7" s="512">
        <v>1281492.8087294423</v>
      </c>
      <c r="H7" s="512">
        <v>1401594.9089903347</v>
      </c>
      <c r="I7" s="512"/>
      <c r="J7" s="512"/>
      <c r="K7" s="512"/>
      <c r="L7" s="512"/>
      <c r="M7" s="512"/>
      <c r="N7" s="512"/>
      <c r="O7" s="512"/>
      <c r="P7" s="517"/>
      <c r="Q7" s="508"/>
    </row>
    <row r="8" spans="1:17" s="229" customFormat="1" ht="15" customHeight="1" x14ac:dyDescent="0.3">
      <c r="A8" s="229" t="s">
        <v>65</v>
      </c>
      <c r="B8" s="512"/>
      <c r="C8" s="512"/>
      <c r="D8" s="512">
        <v>759355.97669576621</v>
      </c>
      <c r="E8" s="512">
        <v>820332.05731848557</v>
      </c>
      <c r="F8" s="512">
        <v>916826.60160000005</v>
      </c>
      <c r="G8" s="512">
        <v>1426975.9488000001</v>
      </c>
      <c r="H8" s="512">
        <v>1783109.4048000001</v>
      </c>
      <c r="I8" s="512"/>
      <c r="J8" s="512"/>
      <c r="K8" s="512"/>
      <c r="L8" s="512"/>
      <c r="M8" s="512"/>
      <c r="N8" s="512"/>
      <c r="O8" s="512"/>
      <c r="P8" s="517"/>
      <c r="Q8" s="508"/>
    </row>
    <row r="9" spans="1:17" s="229" customFormat="1" ht="15" customHeight="1" x14ac:dyDescent="0.3">
      <c r="A9" s="229" t="s">
        <v>66</v>
      </c>
      <c r="B9" s="512"/>
      <c r="C9" s="512"/>
      <c r="D9" s="512"/>
      <c r="E9" s="512"/>
      <c r="F9" s="512"/>
      <c r="G9" s="512"/>
      <c r="H9" s="512"/>
      <c r="I9" s="512">
        <v>1524456.3168000001</v>
      </c>
      <c r="J9" s="512">
        <v>1428802.7423</v>
      </c>
      <c r="K9" s="512">
        <v>1583814.1710000001</v>
      </c>
      <c r="L9" s="512">
        <v>1918480.6166000001</v>
      </c>
      <c r="M9" s="512">
        <v>2239560.4264000002</v>
      </c>
      <c r="N9" s="512">
        <v>2827865.9945999999</v>
      </c>
      <c r="O9" s="512">
        <v>3457937.6441000002</v>
      </c>
      <c r="P9" s="517">
        <v>3848124.1370999999</v>
      </c>
      <c r="Q9" s="508"/>
    </row>
    <row r="10" spans="1:17" s="229" customFormat="1" ht="15" customHeight="1" x14ac:dyDescent="0.3">
      <c r="A10" s="229" t="s">
        <v>67</v>
      </c>
      <c r="B10" s="512"/>
      <c r="C10" s="512"/>
      <c r="D10" s="512"/>
      <c r="E10" s="512"/>
      <c r="F10" s="512"/>
      <c r="G10" s="512"/>
      <c r="H10" s="512"/>
      <c r="I10" s="512">
        <v>2139883.4591999999</v>
      </c>
      <c r="J10" s="512">
        <v>1822642.7353000001</v>
      </c>
      <c r="K10" s="512">
        <v>2075399.9029999999</v>
      </c>
      <c r="L10" s="512">
        <v>2479660.4087</v>
      </c>
      <c r="M10" s="512">
        <v>2639341.7411000002</v>
      </c>
      <c r="N10" s="512">
        <v>3261641.6654000003</v>
      </c>
      <c r="O10" s="512">
        <v>3302658.0485</v>
      </c>
      <c r="P10" s="517">
        <v>3961362.1775000002</v>
      </c>
      <c r="Q10" s="508"/>
    </row>
    <row r="11" spans="1:17" s="229" customFormat="1" ht="15" customHeight="1" x14ac:dyDescent="0.3">
      <c r="A11" s="229" t="s">
        <v>68</v>
      </c>
      <c r="B11" s="512">
        <v>6753.9749074560004</v>
      </c>
      <c r="C11" s="512">
        <v>14821.120108800002</v>
      </c>
      <c r="D11" s="512">
        <v>26524.684300032</v>
      </c>
      <c r="E11" s="512">
        <v>15871.298058144001</v>
      </c>
      <c r="F11" s="512">
        <v>15233.959360224</v>
      </c>
      <c r="G11" s="512">
        <v>4490.4204944640005</v>
      </c>
      <c r="H11" s="512"/>
      <c r="I11" s="512">
        <v>4727.800169856001</v>
      </c>
      <c r="J11" s="512">
        <v>1782.9080000000001</v>
      </c>
      <c r="K11" s="512">
        <v>2412.7714000000001</v>
      </c>
      <c r="L11" s="512">
        <v>942.60300000000007</v>
      </c>
      <c r="M11" s="512">
        <v>1230.4988000000001</v>
      </c>
      <c r="N11" s="512">
        <v>78.915599999999998</v>
      </c>
      <c r="O11" s="512"/>
      <c r="P11" s="517"/>
      <c r="Q11" s="508"/>
    </row>
    <row r="12" spans="1:17" s="229" customFormat="1" ht="15" customHeight="1" x14ac:dyDescent="0.3">
      <c r="A12" s="229" t="s">
        <v>69</v>
      </c>
      <c r="B12" s="512">
        <v>1137658.037305065</v>
      </c>
      <c r="C12" s="512">
        <v>1395074.2846309792</v>
      </c>
      <c r="D12" s="512"/>
      <c r="E12" s="512"/>
      <c r="F12" s="512"/>
      <c r="G12" s="512"/>
      <c r="H12" s="512"/>
      <c r="I12" s="512"/>
      <c r="J12" s="512"/>
      <c r="K12" s="512"/>
      <c r="L12" s="512"/>
      <c r="M12" s="512"/>
      <c r="N12" s="512"/>
      <c r="O12" s="512"/>
      <c r="P12" s="517"/>
      <c r="Q12" s="508"/>
    </row>
    <row r="13" spans="1:17" s="229" customFormat="1" ht="15" customHeight="1" x14ac:dyDescent="0.3">
      <c r="A13" s="229" t="s">
        <v>76</v>
      </c>
      <c r="B13" s="512">
        <v>1195.5202183547813</v>
      </c>
      <c r="C13" s="512">
        <v>1083.3732760277323</v>
      </c>
      <c r="D13" s="512">
        <v>1160.0076729206821</v>
      </c>
      <c r="E13" s="512">
        <v>1999.181277264785</v>
      </c>
      <c r="F13" s="512">
        <v>2185.5608708818468</v>
      </c>
      <c r="G13" s="512">
        <v>1834.0716044299659</v>
      </c>
      <c r="H13" s="512">
        <v>3425.6049035372366</v>
      </c>
      <c r="I13" s="512"/>
      <c r="J13" s="512"/>
      <c r="K13" s="512"/>
      <c r="L13" s="512"/>
      <c r="M13" s="512"/>
      <c r="N13" s="512"/>
      <c r="O13" s="512"/>
      <c r="P13" s="517"/>
      <c r="Q13" s="615"/>
    </row>
    <row r="14" spans="1:17" s="229" customFormat="1" ht="15" customHeight="1" x14ac:dyDescent="0.3">
      <c r="A14" s="733" t="s">
        <v>264</v>
      </c>
      <c r="B14" s="536"/>
      <c r="C14" s="536"/>
      <c r="D14" s="536"/>
      <c r="E14" s="536"/>
      <c r="F14" s="536"/>
      <c r="G14" s="536"/>
      <c r="H14" s="536"/>
      <c r="I14" s="536"/>
      <c r="J14" s="536"/>
      <c r="K14" s="536"/>
      <c r="L14" s="536"/>
      <c r="M14" s="536"/>
      <c r="N14" s="536"/>
      <c r="O14" s="536"/>
      <c r="P14" s="537"/>
      <c r="Q14" s="508"/>
    </row>
    <row r="15" spans="1:17" s="229" customFormat="1" ht="15" customHeight="1" x14ac:dyDescent="0.3">
      <c r="A15" s="229" t="s">
        <v>70</v>
      </c>
      <c r="B15" s="512"/>
      <c r="C15" s="512"/>
      <c r="D15" s="512"/>
      <c r="E15" s="512"/>
      <c r="F15" s="512"/>
      <c r="G15" s="512"/>
      <c r="H15" s="512"/>
      <c r="I15" s="512">
        <v>473.88095207391797</v>
      </c>
      <c r="J15" s="512">
        <v>401.23451117721527</v>
      </c>
      <c r="K15" s="512">
        <v>1949.1264579464982</v>
      </c>
      <c r="L15" s="512">
        <v>3849.3624744684303</v>
      </c>
      <c r="M15" s="512">
        <v>4896.6118414182347</v>
      </c>
      <c r="N15" s="512">
        <v>10399.4980977711</v>
      </c>
      <c r="O15" s="512">
        <v>28394.38513664775</v>
      </c>
      <c r="P15" s="517">
        <v>28664.481884842033</v>
      </c>
      <c r="Q15" s="615"/>
    </row>
    <row r="16" spans="1:17" s="229" customFormat="1" ht="15" customHeight="1" x14ac:dyDescent="0.3">
      <c r="A16" s="229" t="s">
        <v>71</v>
      </c>
      <c r="B16" s="512"/>
      <c r="C16" s="512"/>
      <c r="D16" s="512"/>
      <c r="E16" s="512"/>
      <c r="F16" s="512"/>
      <c r="G16" s="512"/>
      <c r="H16" s="512"/>
      <c r="I16" s="512">
        <v>2739.1962547625321</v>
      </c>
      <c r="J16" s="512">
        <v>2319.274631082169</v>
      </c>
      <c r="K16" s="512">
        <v>2338.9517495357977</v>
      </c>
      <c r="L16" s="512">
        <v>5960.3607003927573</v>
      </c>
      <c r="M16" s="512">
        <v>5290.5921045208506</v>
      </c>
      <c r="N16" s="512"/>
      <c r="O16" s="512"/>
      <c r="P16" s="517"/>
      <c r="Q16" s="615"/>
    </row>
    <row r="17" spans="1:17" s="229" customFormat="1" ht="15" customHeight="1" x14ac:dyDescent="0.3">
      <c r="A17" s="229" t="s">
        <v>72</v>
      </c>
      <c r="B17" s="512"/>
      <c r="C17" s="512"/>
      <c r="D17" s="512"/>
      <c r="E17" s="512"/>
      <c r="F17" s="512"/>
      <c r="G17" s="512"/>
      <c r="H17" s="512"/>
      <c r="I17" s="512">
        <v>475.73484009914131</v>
      </c>
      <c r="J17" s="512">
        <v>402.80419624753165</v>
      </c>
      <c r="K17" s="512">
        <v>430.84114946915935</v>
      </c>
      <c r="L17" s="512">
        <v>216472.13853543572</v>
      </c>
      <c r="M17" s="512">
        <v>233624.29833726829</v>
      </c>
      <c r="N17" s="512">
        <v>189754.96584748663</v>
      </c>
      <c r="O17" s="512">
        <v>218818.7999194641</v>
      </c>
      <c r="P17" s="517">
        <v>224290.93871301593</v>
      </c>
      <c r="Q17" s="615"/>
    </row>
    <row r="18" spans="1:17" s="229" customFormat="1" ht="15" customHeight="1" x14ac:dyDescent="0.3">
      <c r="A18" s="229" t="s">
        <v>73</v>
      </c>
      <c r="B18" s="512"/>
      <c r="C18" s="512"/>
      <c r="D18" s="512"/>
      <c r="E18" s="512"/>
      <c r="F18" s="512"/>
      <c r="G18" s="512"/>
      <c r="H18" s="512"/>
      <c r="I18" s="512">
        <v>23405.799790450234</v>
      </c>
      <c r="J18" s="512">
        <v>28777.559622467554</v>
      </c>
      <c r="K18" s="512">
        <v>29021.713308240178</v>
      </c>
      <c r="L18" s="512"/>
      <c r="M18" s="512"/>
      <c r="N18" s="512"/>
      <c r="O18" s="512"/>
      <c r="P18" s="517"/>
      <c r="Q18" s="615"/>
    </row>
    <row r="19" spans="1:17" s="229" customFormat="1" ht="15" customHeight="1" x14ac:dyDescent="0.3">
      <c r="A19" s="229" t="s">
        <v>74</v>
      </c>
      <c r="B19" s="512"/>
      <c r="C19" s="512"/>
      <c r="D19" s="512"/>
      <c r="E19" s="512"/>
      <c r="F19" s="512"/>
      <c r="G19" s="512"/>
      <c r="H19" s="512"/>
      <c r="I19" s="512"/>
      <c r="J19" s="512"/>
      <c r="K19" s="512"/>
      <c r="L19" s="512"/>
      <c r="M19" s="512"/>
      <c r="N19" s="512"/>
      <c r="O19" s="512">
        <v>107243.48130803903</v>
      </c>
      <c r="P19" s="517">
        <v>79244.263101640565</v>
      </c>
      <c r="Q19" s="615"/>
    </row>
    <row r="20" spans="1:17" s="229" customFormat="1" ht="15" customHeight="1" x14ac:dyDescent="0.3">
      <c r="A20" s="229" t="s">
        <v>75</v>
      </c>
      <c r="B20" s="512"/>
      <c r="C20" s="512"/>
      <c r="D20" s="512"/>
      <c r="E20" s="512"/>
      <c r="F20" s="512"/>
      <c r="G20" s="512"/>
      <c r="H20" s="512"/>
      <c r="I20" s="512"/>
      <c r="J20" s="512"/>
      <c r="K20" s="512"/>
      <c r="L20" s="512"/>
      <c r="M20" s="512"/>
      <c r="N20" s="512"/>
      <c r="O20" s="512">
        <v>5018.0140454895991</v>
      </c>
      <c r="P20" s="517">
        <v>3228.663005029025</v>
      </c>
      <c r="Q20" s="615"/>
    </row>
    <row r="21" spans="1:17" s="229" customFormat="1" ht="15" customHeight="1" x14ac:dyDescent="0.3">
      <c r="A21" s="229" t="s">
        <v>248</v>
      </c>
      <c r="B21" s="512"/>
      <c r="C21" s="512"/>
      <c r="D21" s="512"/>
      <c r="E21" s="512"/>
      <c r="F21" s="512"/>
      <c r="G21" s="512">
        <v>39987.947514239997</v>
      </c>
      <c r="H21" s="512">
        <v>103709.228914764</v>
      </c>
      <c r="I21" s="512">
        <v>56900.594627910003</v>
      </c>
      <c r="J21" s="512">
        <v>24905.807714303999</v>
      </c>
      <c r="K21" s="512">
        <v>24428.25</v>
      </c>
      <c r="L21" s="512">
        <v>40201.919999999998</v>
      </c>
      <c r="M21" s="512">
        <v>39366.241199999997</v>
      </c>
      <c r="N21" s="512">
        <v>53863.407180000002</v>
      </c>
      <c r="O21" s="512">
        <v>92304.568615445998</v>
      </c>
      <c r="P21" s="517">
        <v>96647.566296600009</v>
      </c>
      <c r="Q21" s="508"/>
    </row>
    <row r="22" spans="1:17" s="229" customFormat="1" ht="15" customHeight="1" x14ac:dyDescent="0.3">
      <c r="A22" s="229" t="s">
        <v>249</v>
      </c>
      <c r="B22" s="512"/>
      <c r="C22" s="512"/>
      <c r="D22" s="512"/>
      <c r="E22" s="512"/>
      <c r="F22" s="512"/>
      <c r="G22" s="512">
        <v>181159.05311199999</v>
      </c>
      <c r="H22" s="512">
        <v>260874.54322000002</v>
      </c>
      <c r="I22" s="512">
        <v>92383.989035999999</v>
      </c>
      <c r="J22" s="512">
        <v>135361.29999600002</v>
      </c>
      <c r="K22" s="512">
        <v>260427.60176399999</v>
      </c>
      <c r="L22" s="512">
        <v>352600.34652399999</v>
      </c>
      <c r="M22" s="512">
        <v>253346.15720799999</v>
      </c>
      <c r="N22" s="512">
        <v>212022.39740399999</v>
      </c>
      <c r="O22" s="512">
        <v>252739.40349200001</v>
      </c>
      <c r="P22" s="517">
        <v>460034.34800400003</v>
      </c>
      <c r="Q22" s="508"/>
    </row>
    <row r="23" spans="1:17" s="229" customFormat="1" ht="15" customHeight="1" x14ac:dyDescent="0.3">
      <c r="A23" s="229" t="s">
        <v>82</v>
      </c>
      <c r="B23" s="512"/>
      <c r="C23" s="512"/>
      <c r="D23" s="512"/>
      <c r="E23" s="512"/>
      <c r="F23" s="512"/>
      <c r="G23" s="512"/>
      <c r="H23" s="512"/>
      <c r="I23" s="512">
        <v>49362.267125370003</v>
      </c>
      <c r="J23" s="512">
        <v>27529.081041000001</v>
      </c>
      <c r="K23" s="512">
        <v>48018.762152269999</v>
      </c>
      <c r="L23" s="512">
        <v>50871.574754000001</v>
      </c>
      <c r="M23" s="512"/>
      <c r="N23" s="512"/>
      <c r="O23" s="512"/>
      <c r="P23" s="517"/>
      <c r="Q23" s="508"/>
    </row>
    <row r="24" spans="1:17" s="229" customFormat="1" ht="15" customHeight="1" x14ac:dyDescent="0.3">
      <c r="A24" s="229" t="s">
        <v>84</v>
      </c>
      <c r="B24" s="512"/>
      <c r="C24" s="512"/>
      <c r="D24" s="512"/>
      <c r="E24" s="512"/>
      <c r="F24" s="512"/>
      <c r="G24" s="512"/>
      <c r="H24" s="512"/>
      <c r="I24" s="512"/>
      <c r="J24" s="512"/>
      <c r="K24" s="512"/>
      <c r="L24" s="512">
        <v>35984.764999999999</v>
      </c>
      <c r="M24" s="512">
        <v>45067.28490287</v>
      </c>
      <c r="N24" s="512">
        <v>34060.830999259997</v>
      </c>
      <c r="O24" s="512">
        <v>75600.061967999995</v>
      </c>
      <c r="P24" s="517">
        <v>119807.67468223</v>
      </c>
      <c r="Q24" s="508"/>
    </row>
    <row r="25" spans="1:17" s="229" customFormat="1" ht="15" customHeight="1" x14ac:dyDescent="0.3">
      <c r="A25" s="229" t="s">
        <v>85</v>
      </c>
      <c r="B25" s="512"/>
      <c r="C25" s="512"/>
      <c r="D25" s="512"/>
      <c r="E25" s="512"/>
      <c r="F25" s="512"/>
      <c r="G25" s="512"/>
      <c r="H25" s="512"/>
      <c r="I25" s="512"/>
      <c r="J25" s="512"/>
      <c r="K25" s="512"/>
      <c r="L25" s="512">
        <v>64566.998999999996</v>
      </c>
      <c r="M25" s="512">
        <v>234040.83378108998</v>
      </c>
      <c r="N25" s="512">
        <v>218164.14058457999</v>
      </c>
      <c r="O25" s="512">
        <v>211550.09919199999</v>
      </c>
      <c r="P25" s="517">
        <v>127683.50812972999</v>
      </c>
      <c r="Q25" s="508"/>
    </row>
    <row r="26" spans="1:17" s="229" customFormat="1" ht="15" customHeight="1" x14ac:dyDescent="0.3">
      <c r="A26" s="229" t="s">
        <v>86</v>
      </c>
      <c r="B26" s="512"/>
      <c r="C26" s="512"/>
      <c r="D26" s="512"/>
      <c r="E26" s="512"/>
      <c r="F26" s="512"/>
      <c r="G26" s="512"/>
      <c r="H26" s="512"/>
      <c r="I26" s="512"/>
      <c r="J26" s="512"/>
      <c r="K26" s="512"/>
      <c r="L26" s="512"/>
      <c r="M26" s="512">
        <v>53863.929426607989</v>
      </c>
      <c r="N26" s="512">
        <v>86043.127507359997</v>
      </c>
      <c r="O26" s="512">
        <v>51379.277641600005</v>
      </c>
      <c r="P26" s="517">
        <v>14803.889341167998</v>
      </c>
      <c r="Q26" s="508"/>
    </row>
    <row r="27" spans="1:17" s="229" customFormat="1" ht="15" customHeight="1" x14ac:dyDescent="0.3">
      <c r="A27" s="229" t="s">
        <v>87</v>
      </c>
      <c r="B27" s="512"/>
      <c r="C27" s="512"/>
      <c r="D27" s="512"/>
      <c r="E27" s="512"/>
      <c r="F27" s="512"/>
      <c r="G27" s="512"/>
      <c r="H27" s="512"/>
      <c r="I27" s="512"/>
      <c r="J27" s="512"/>
      <c r="K27" s="512"/>
      <c r="L27" s="512"/>
      <c r="M27" s="512"/>
      <c r="N27" s="512">
        <v>218163.12299999999</v>
      </c>
      <c r="O27" s="512">
        <v>211549.81</v>
      </c>
      <c r="P27" s="517">
        <v>127683.50472</v>
      </c>
      <c r="Q27" s="508"/>
    </row>
    <row r="28" spans="1:17" s="229" customFormat="1" ht="15" customHeight="1" x14ac:dyDescent="0.3">
      <c r="A28" s="229" t="s">
        <v>88</v>
      </c>
      <c r="B28" s="512"/>
      <c r="C28" s="512"/>
      <c r="D28" s="512"/>
      <c r="E28" s="512"/>
      <c r="F28" s="512"/>
      <c r="G28" s="512"/>
      <c r="H28" s="512"/>
      <c r="I28" s="512"/>
      <c r="J28" s="512"/>
      <c r="K28" s="512"/>
      <c r="L28" s="512"/>
      <c r="M28" s="512"/>
      <c r="N28" s="512">
        <v>25302.345999999998</v>
      </c>
      <c r="O28" s="512">
        <v>60004.409</v>
      </c>
      <c r="P28" s="517">
        <v>284951.47805000003</v>
      </c>
      <c r="Q28" s="508"/>
    </row>
    <row r="29" spans="1:17" s="229" customFormat="1" ht="15" customHeight="1" x14ac:dyDescent="0.3">
      <c r="A29" s="229" t="s">
        <v>89</v>
      </c>
      <c r="B29" s="512"/>
      <c r="C29" s="512"/>
      <c r="D29" s="512"/>
      <c r="E29" s="512"/>
      <c r="F29" s="512"/>
      <c r="G29" s="512"/>
      <c r="H29" s="512"/>
      <c r="I29" s="512"/>
      <c r="J29" s="512"/>
      <c r="K29" s="512"/>
      <c r="L29" s="512"/>
      <c r="M29" s="512"/>
      <c r="N29" s="512"/>
      <c r="O29" s="512">
        <v>29550.380799999999</v>
      </c>
      <c r="P29" s="517"/>
      <c r="Q29" s="508"/>
    </row>
    <row r="30" spans="1:17" s="229" customFormat="1" ht="15" customHeight="1" x14ac:dyDescent="0.3">
      <c r="A30" s="229" t="s">
        <v>90</v>
      </c>
      <c r="B30" s="512">
        <v>16200.747355629999</v>
      </c>
      <c r="C30" s="512">
        <v>9986.3405669000003</v>
      </c>
      <c r="D30" s="512"/>
      <c r="E30" s="512"/>
      <c r="F30" s="512"/>
      <c r="G30" s="512"/>
      <c r="H30" s="512"/>
      <c r="I30" s="512"/>
      <c r="J30" s="512"/>
      <c r="K30" s="512"/>
      <c r="L30" s="512"/>
      <c r="M30" s="512"/>
      <c r="N30" s="512"/>
      <c r="O30" s="512"/>
      <c r="P30" s="517"/>
      <c r="Q30" s="508"/>
    </row>
    <row r="31" spans="1:17" s="229" customFormat="1" ht="15" customHeight="1" x14ac:dyDescent="0.3">
      <c r="A31" s="229" t="s">
        <v>91</v>
      </c>
      <c r="B31" s="512">
        <v>45851.554020539996</v>
      </c>
      <c r="C31" s="512">
        <v>70406.391477190002</v>
      </c>
      <c r="D31" s="512">
        <v>104264.6986663</v>
      </c>
      <c r="E31" s="512">
        <v>39978.03966825</v>
      </c>
      <c r="F31" s="512">
        <v>69863.537961709997</v>
      </c>
      <c r="G31" s="512">
        <v>108410.52432963</v>
      </c>
      <c r="H31" s="512">
        <v>96535.914071210005</v>
      </c>
      <c r="I31" s="512"/>
      <c r="J31" s="512"/>
      <c r="K31" s="512"/>
      <c r="L31" s="512"/>
      <c r="M31" s="512"/>
      <c r="N31" s="512"/>
      <c r="O31" s="512"/>
      <c r="P31" s="517"/>
      <c r="Q31" s="508"/>
    </row>
    <row r="32" spans="1:17" s="229" customFormat="1" ht="15" customHeight="1" x14ac:dyDescent="0.3">
      <c r="A32" s="229" t="s">
        <v>96</v>
      </c>
      <c r="B32" s="512"/>
      <c r="C32" s="512"/>
      <c r="D32" s="512"/>
      <c r="E32" s="512">
        <v>28812.714021109998</v>
      </c>
      <c r="F32" s="512"/>
      <c r="G32" s="512">
        <v>60249.88</v>
      </c>
      <c r="H32" s="512">
        <v>64463.652930329998</v>
      </c>
      <c r="I32" s="512"/>
      <c r="J32" s="512">
        <v>16931.68</v>
      </c>
      <c r="K32" s="512">
        <v>0</v>
      </c>
      <c r="L32" s="512">
        <v>0</v>
      </c>
      <c r="M32" s="512"/>
      <c r="N32" s="512"/>
      <c r="O32" s="512"/>
      <c r="P32" s="517"/>
      <c r="Q32" s="508"/>
    </row>
    <row r="33" spans="1:17" s="229" customFormat="1" ht="15" customHeight="1" x14ac:dyDescent="0.3">
      <c r="A33" s="229" t="s">
        <v>98</v>
      </c>
      <c r="B33" s="512"/>
      <c r="C33" s="512"/>
      <c r="D33" s="512"/>
      <c r="E33" s="512"/>
      <c r="F33" s="512"/>
      <c r="G33" s="512"/>
      <c r="H33" s="512"/>
      <c r="I33" s="512"/>
      <c r="J33" s="512"/>
      <c r="K33" s="512"/>
      <c r="L33" s="512"/>
      <c r="M33" s="512"/>
      <c r="N33" s="512">
        <v>2747.1802463999998</v>
      </c>
      <c r="O33" s="512">
        <v>2749.4142127999999</v>
      </c>
      <c r="P33" s="517">
        <v>3176.8416923520003</v>
      </c>
      <c r="Q33" s="508"/>
    </row>
    <row r="34" spans="1:17" s="229" customFormat="1" ht="15" customHeight="1" x14ac:dyDescent="0.3">
      <c r="A34" s="229" t="s">
        <v>83</v>
      </c>
      <c r="B34" s="512"/>
      <c r="C34" s="512"/>
      <c r="D34" s="512"/>
      <c r="E34" s="512"/>
      <c r="F34" s="512"/>
      <c r="G34" s="512"/>
      <c r="H34" s="512">
        <v>791.2</v>
      </c>
      <c r="I34" s="512">
        <v>14171.756819999999</v>
      </c>
      <c r="J34" s="512"/>
      <c r="K34" s="512"/>
      <c r="L34" s="512"/>
      <c r="M34" s="512"/>
      <c r="N34" s="512"/>
      <c r="O34" s="512"/>
      <c r="P34" s="517"/>
      <c r="Q34" s="508"/>
    </row>
    <row r="35" spans="1:17" s="229" customFormat="1" ht="15" customHeight="1" x14ac:dyDescent="0.3">
      <c r="A35" s="229" t="s">
        <v>92</v>
      </c>
      <c r="B35" s="512"/>
      <c r="C35" s="512"/>
      <c r="D35" s="512"/>
      <c r="E35" s="512"/>
      <c r="F35" s="512">
        <v>14944.065476059999</v>
      </c>
      <c r="G35" s="512">
        <v>38996.479371299996</v>
      </c>
      <c r="H35" s="512"/>
      <c r="I35" s="512"/>
      <c r="J35" s="512"/>
      <c r="K35" s="512"/>
      <c r="L35" s="512"/>
      <c r="M35" s="512"/>
      <c r="N35" s="512"/>
      <c r="O35" s="512"/>
      <c r="P35" s="517"/>
      <c r="Q35" s="508"/>
    </row>
    <row r="36" spans="1:17" s="229" customFormat="1" ht="15" customHeight="1" x14ac:dyDescent="0.3">
      <c r="A36" s="229" t="s">
        <v>97</v>
      </c>
      <c r="B36" s="512"/>
      <c r="C36" s="512"/>
      <c r="D36" s="512"/>
      <c r="E36" s="512"/>
      <c r="F36" s="512"/>
      <c r="G36" s="512"/>
      <c r="H36" s="512"/>
      <c r="I36" s="512"/>
      <c r="J36" s="512"/>
      <c r="K36" s="512">
        <v>40108.894999999997</v>
      </c>
      <c r="L36" s="512">
        <v>53655.228000000003</v>
      </c>
      <c r="M36" s="512">
        <v>30231.752</v>
      </c>
      <c r="N36" s="512">
        <v>35587.186999999998</v>
      </c>
      <c r="O36" s="512"/>
      <c r="P36" s="517"/>
      <c r="Q36" s="508"/>
    </row>
    <row r="37" spans="1:17" s="229" customFormat="1" ht="15" customHeight="1" x14ac:dyDescent="0.3">
      <c r="A37" s="733" t="s">
        <v>265</v>
      </c>
      <c r="B37" s="536"/>
      <c r="C37" s="536"/>
      <c r="D37" s="536"/>
      <c r="E37" s="536"/>
      <c r="F37" s="536"/>
      <c r="G37" s="536"/>
      <c r="H37" s="536"/>
      <c r="I37" s="536"/>
      <c r="J37" s="536"/>
      <c r="K37" s="536"/>
      <c r="L37" s="536"/>
      <c r="M37" s="536"/>
      <c r="N37" s="536"/>
      <c r="O37" s="536"/>
      <c r="P37" s="537"/>
      <c r="Q37" s="615"/>
    </row>
    <row r="38" spans="1:17" s="229" customFormat="1" ht="15" customHeight="1" x14ac:dyDescent="0.3">
      <c r="A38" s="229" t="s">
        <v>77</v>
      </c>
      <c r="B38" s="512"/>
      <c r="C38" s="512"/>
      <c r="D38" s="512"/>
      <c r="E38" s="512"/>
      <c r="F38" s="512"/>
      <c r="G38" s="512"/>
      <c r="H38" s="512"/>
      <c r="I38" s="512"/>
      <c r="J38" s="512">
        <v>11172.077662777858</v>
      </c>
      <c r="K38" s="512">
        <v>20544.794423348878</v>
      </c>
      <c r="L38" s="512"/>
      <c r="M38" s="512"/>
      <c r="N38" s="512"/>
      <c r="O38" s="512"/>
      <c r="P38" s="517"/>
      <c r="Q38" s="508"/>
    </row>
    <row r="39" spans="1:17" s="229" customFormat="1" ht="15" customHeight="1" x14ac:dyDescent="0.3">
      <c r="A39" s="229" t="s">
        <v>78</v>
      </c>
      <c r="B39" s="512"/>
      <c r="C39" s="512"/>
      <c r="D39" s="512"/>
      <c r="E39" s="512"/>
      <c r="F39" s="512"/>
      <c r="G39" s="512"/>
      <c r="H39" s="512"/>
      <c r="I39" s="512"/>
      <c r="J39" s="512">
        <v>7271.1920604205707</v>
      </c>
      <c r="K39" s="512">
        <v>8376.2762410695159</v>
      </c>
      <c r="L39" s="512"/>
      <c r="M39" s="512"/>
      <c r="N39" s="512"/>
      <c r="O39" s="512"/>
      <c r="P39" s="517"/>
      <c r="Q39" s="508"/>
    </row>
    <row r="40" spans="1:17" s="229" customFormat="1" ht="15" customHeight="1" x14ac:dyDescent="0.3">
      <c r="A40" s="229" t="s">
        <v>79</v>
      </c>
      <c r="B40" s="512"/>
      <c r="C40" s="512"/>
      <c r="D40" s="512"/>
      <c r="E40" s="512"/>
      <c r="F40" s="512"/>
      <c r="G40" s="512"/>
      <c r="H40" s="512"/>
      <c r="I40" s="512"/>
      <c r="J40" s="512"/>
      <c r="K40" s="512"/>
      <c r="L40" s="512">
        <v>22680.929124958442</v>
      </c>
      <c r="M40" s="512">
        <v>7613.0540838412462</v>
      </c>
      <c r="N40" s="512">
        <v>9688.4934691866329</v>
      </c>
      <c r="O40" s="512">
        <v>53458.417844570751</v>
      </c>
      <c r="P40" s="517"/>
      <c r="Q40" s="508"/>
    </row>
    <row r="41" spans="1:17" s="229" customFormat="1" ht="15" customHeight="1" x14ac:dyDescent="0.3">
      <c r="A41" s="229" t="s">
        <v>80</v>
      </c>
      <c r="B41" s="512"/>
      <c r="C41" s="512"/>
      <c r="D41" s="512"/>
      <c r="E41" s="512"/>
      <c r="F41" s="512"/>
      <c r="G41" s="512"/>
      <c r="H41" s="512"/>
      <c r="I41" s="512"/>
      <c r="J41" s="512"/>
      <c r="K41" s="512"/>
      <c r="L41" s="512">
        <v>10142.664372563266</v>
      </c>
      <c r="M41" s="512">
        <v>13739.422727202045</v>
      </c>
      <c r="N41" s="512">
        <v>14151.271155247199</v>
      </c>
      <c r="O41" s="512">
        <v>17546.840058806236</v>
      </c>
      <c r="P41" s="517"/>
      <c r="Q41" s="508"/>
    </row>
    <row r="42" spans="1:17" s="229" customFormat="1" ht="15" customHeight="1" x14ac:dyDescent="0.3">
      <c r="A42" s="229" t="s">
        <v>81</v>
      </c>
      <c r="B42" s="512"/>
      <c r="C42" s="512"/>
      <c r="D42" s="512"/>
      <c r="E42" s="512"/>
      <c r="F42" s="512"/>
      <c r="G42" s="512"/>
      <c r="H42" s="512"/>
      <c r="I42" s="512"/>
      <c r="J42" s="512"/>
      <c r="K42" s="512"/>
      <c r="L42" s="512"/>
      <c r="M42" s="512"/>
      <c r="N42" s="512"/>
      <c r="O42" s="512"/>
      <c r="P42" s="517">
        <v>60201.811022445218</v>
      </c>
      <c r="Q42" s="508"/>
    </row>
    <row r="43" spans="1:17" s="229" customFormat="1" ht="15" customHeight="1" x14ac:dyDescent="0.3">
      <c r="A43" s="229" t="s">
        <v>93</v>
      </c>
      <c r="B43" s="512"/>
      <c r="C43" s="512">
        <v>24449.020521999999</v>
      </c>
      <c r="D43" s="512">
        <v>41778.887183069994</v>
      </c>
      <c r="E43" s="512">
        <v>45705.950407069999</v>
      </c>
      <c r="F43" s="512">
        <v>45705.950407069999</v>
      </c>
      <c r="G43" s="512">
        <v>78783.811217280003</v>
      </c>
      <c r="H43" s="512">
        <v>107379.71070132</v>
      </c>
      <c r="I43" s="512"/>
      <c r="J43" s="512"/>
      <c r="K43" s="512"/>
      <c r="L43" s="512"/>
      <c r="M43" s="512"/>
      <c r="N43" s="512"/>
      <c r="O43" s="512"/>
      <c r="P43" s="517"/>
      <c r="Q43" s="508"/>
    </row>
    <row r="44" spans="1:17" s="229" customFormat="1" ht="15" customHeight="1" x14ac:dyDescent="0.3">
      <c r="A44" s="229" t="s">
        <v>94</v>
      </c>
      <c r="B44" s="512"/>
      <c r="C44" s="512"/>
      <c r="D44" s="512"/>
      <c r="E44" s="512"/>
      <c r="F44" s="512"/>
      <c r="G44" s="512">
        <v>23009.484072289997</v>
      </c>
      <c r="H44" s="512">
        <v>18995.223715529999</v>
      </c>
      <c r="I44" s="512"/>
      <c r="J44" s="512"/>
      <c r="K44" s="512"/>
      <c r="L44" s="512"/>
      <c r="M44" s="512"/>
      <c r="N44" s="512"/>
      <c r="O44" s="512"/>
      <c r="P44" s="517"/>
      <c r="Q44" s="508"/>
    </row>
    <row r="45" spans="1:17" s="229" customFormat="1" ht="15" customHeight="1" x14ac:dyDescent="0.3">
      <c r="A45" s="238" t="s">
        <v>95</v>
      </c>
      <c r="B45" s="515">
        <v>34355.093776889997</v>
      </c>
      <c r="C45" s="515">
        <v>40787.605734509998</v>
      </c>
      <c r="D45" s="515">
        <v>29637.042455210001</v>
      </c>
      <c r="E45" s="515">
        <v>37259.641156530008</v>
      </c>
      <c r="F45" s="515">
        <v>37259.641156530008</v>
      </c>
      <c r="G45" s="515">
        <v>56127.742024020001</v>
      </c>
      <c r="H45" s="515">
        <v>43095.197708599997</v>
      </c>
      <c r="I45" s="515">
        <v>42111.64774144999</v>
      </c>
      <c r="J45" s="515">
        <v>42956.614716560005</v>
      </c>
      <c r="K45" s="515">
        <v>19237.463281</v>
      </c>
      <c r="L45" s="515">
        <v>9918.8723813899996</v>
      </c>
      <c r="M45" s="515"/>
      <c r="N45" s="515"/>
      <c r="O45" s="515"/>
      <c r="P45" s="518"/>
      <c r="Q45" s="508"/>
    </row>
    <row r="46" spans="1:17" s="229" customFormat="1" ht="15" customHeight="1" x14ac:dyDescent="0.3">
      <c r="A46" s="53" t="s">
        <v>307</v>
      </c>
      <c r="B46" s="515">
        <f t="shared" ref="B46:O46" si="0">+SUM(B38:B42,B7:B20)</f>
        <v>1145607.5324308758</v>
      </c>
      <c r="C46" s="515">
        <f t="shared" si="0"/>
        <v>1410978.7780158068</v>
      </c>
      <c r="D46" s="515">
        <f t="shared" si="0"/>
        <v>1456442.2598360053</v>
      </c>
      <c r="E46" s="515">
        <f t="shared" si="0"/>
        <v>1561356.895488336</v>
      </c>
      <c r="F46" s="515">
        <f t="shared" si="0"/>
        <v>1823316.9100899349</v>
      </c>
      <c r="G46" s="515">
        <f t="shared" si="0"/>
        <v>2714793.2496283362</v>
      </c>
      <c r="H46" s="515">
        <f t="shared" si="0"/>
        <v>3188129.9186938722</v>
      </c>
      <c r="I46" s="515">
        <f t="shared" si="0"/>
        <v>3696162.1880072416</v>
      </c>
      <c r="J46" s="515">
        <f t="shared" si="0"/>
        <v>3303572.5282841721</v>
      </c>
      <c r="K46" s="515">
        <f t="shared" si="0"/>
        <v>3724288.5487296102</v>
      </c>
      <c r="L46" s="515">
        <f t="shared" si="0"/>
        <v>4658189.0835078191</v>
      </c>
      <c r="M46" s="515">
        <f t="shared" si="0"/>
        <v>5145296.6453942517</v>
      </c>
      <c r="N46" s="515">
        <f t="shared" si="0"/>
        <v>6313580.8041696912</v>
      </c>
      <c r="O46" s="515">
        <f t="shared" si="0"/>
        <v>7191075.6309130182</v>
      </c>
      <c r="P46" s="518">
        <f>+SUM(P38:P42,P7:P20)</f>
        <v>8205116.4723269725</v>
      </c>
      <c r="Q46" s="512"/>
    </row>
    <row r="47" spans="1:17" s="229" customFormat="1" ht="15" customHeight="1" x14ac:dyDescent="0.3">
      <c r="A47" s="229" t="s">
        <v>312</v>
      </c>
      <c r="B47" s="231">
        <f>+B46/B114</f>
        <v>9.7888400816090973E-2</v>
      </c>
      <c r="C47" s="231">
        <f>+C46/C114</f>
        <v>9.4432278657435684E-2</v>
      </c>
      <c r="D47" s="231">
        <f>+D46/D114</f>
        <v>9.1215773773157469E-2</v>
      </c>
      <c r="E47" s="231">
        <f>+E46/E114</f>
        <v>8.5118183951085183E-2</v>
      </c>
      <c r="F47" s="231">
        <f>+F46/F114</f>
        <v>8.6176241142354421E-2</v>
      </c>
      <c r="G47" s="231">
        <f>+G46/G114</f>
        <v>0.11397451854707469</v>
      </c>
      <c r="H47" s="231">
        <f>+H46/H114</f>
        <v>0.11312565799312588</v>
      </c>
      <c r="I47" s="231">
        <f>+I46/I114</f>
        <v>0.12373913439995318</v>
      </c>
      <c r="J47" s="231">
        <f>+J46/J114</f>
        <v>0.10400827565571148</v>
      </c>
      <c r="K47" s="231">
        <f>+K46/K114</f>
        <v>0.10148257024016072</v>
      </c>
      <c r="L47" s="231">
        <f>+L46/L114</f>
        <v>0.10962843830550729</v>
      </c>
      <c r="M47" s="231">
        <f>+M46/M114</f>
        <v>0.11062013891528108</v>
      </c>
      <c r="N47" s="231">
        <f>+N46/N114</f>
        <v>0.11555060028751739</v>
      </c>
      <c r="O47" s="231">
        <f>+O46/O114</f>
        <v>0.11299491726069981</v>
      </c>
      <c r="P47" s="465">
        <f>+P46/P114</f>
        <v>0.11275085468643851</v>
      </c>
    </row>
    <row r="48" spans="1:17" s="229" customFormat="1" ht="15" customHeight="1" x14ac:dyDescent="0.3">
      <c r="A48" s="229" t="s">
        <v>271</v>
      </c>
      <c r="B48" s="231">
        <f>+B46/B115</f>
        <v>0.23414628577899232</v>
      </c>
      <c r="C48" s="231">
        <f>+C46/C115</f>
        <v>0.22403956525441923</v>
      </c>
      <c r="D48" s="231">
        <f>+D46/D115</f>
        <v>0.19808533849740301</v>
      </c>
      <c r="E48" s="231">
        <f>+E46/E115</f>
        <v>0.17144391688773988</v>
      </c>
      <c r="F48" s="231">
        <f>+F46/F115</f>
        <v>0.17660098891858539</v>
      </c>
      <c r="G48" s="231">
        <f>+G46/G115</f>
        <v>0.22073463883992359</v>
      </c>
      <c r="H48" s="231">
        <f>+H46/H115</f>
        <v>0.21028354926053336</v>
      </c>
      <c r="I48" s="231">
        <f>+I46/I115</f>
        <v>0.22494779370996892</v>
      </c>
      <c r="J48" s="231">
        <f>+J46/J115</f>
        <v>0.18978632076453869</v>
      </c>
      <c r="K48" s="231">
        <f>+K46/K115</f>
        <v>0.18700921660706052</v>
      </c>
      <c r="L48" s="231">
        <f>+L46/L115</f>
        <v>0.197768049465811</v>
      </c>
      <c r="M48" s="231">
        <f>+M46/M115</f>
        <v>0.19537938801340624</v>
      </c>
      <c r="N48" s="231">
        <f>+N46/N115</f>
        <v>0.20091204992807199</v>
      </c>
      <c r="O48" s="231">
        <f>+O46/O115</f>
        <v>0.19598590504998442</v>
      </c>
      <c r="P48" s="465">
        <f>+P46/P115</f>
        <v>0.20402566316293655</v>
      </c>
    </row>
    <row r="49" spans="1:17" s="229" customFormat="1" ht="15" customHeight="1" x14ac:dyDescent="0.3">
      <c r="A49" s="229" t="s">
        <v>309</v>
      </c>
      <c r="B49" s="231">
        <f>+B46/B116</f>
        <v>1.9966553882400945E-2</v>
      </c>
      <c r="C49" s="231">
        <f>+C46/C116</f>
        <v>2.2772961285384329E-2</v>
      </c>
      <c r="D49" s="231">
        <f>+D46/D116</f>
        <v>2.0468427101038904E-2</v>
      </c>
      <c r="E49" s="231">
        <f>+E46/E116</f>
        <v>1.91520265605815E-2</v>
      </c>
      <c r="F49" s="231">
        <f>+F46/F116</f>
        <v>1.5342915198598386E-2</v>
      </c>
      <c r="G49" s="231">
        <f>+G46/G116</f>
        <v>1.9823218049457227E-2</v>
      </c>
      <c r="H49" s="231">
        <f>+H46/H116</f>
        <v>1.9368675356088792E-2</v>
      </c>
      <c r="I49" s="231">
        <f>+I46/I116</f>
        <v>2.1897822758682114E-2</v>
      </c>
      <c r="J49" s="231">
        <f>+J46/J116</f>
        <v>1.766119149974827E-2</v>
      </c>
      <c r="K49" s="231">
        <f>+K46/K116</f>
        <v>1.6991746510748539E-2</v>
      </c>
      <c r="L49" s="231">
        <f>+L46/L116</f>
        <v>1.8783484710251125E-2</v>
      </c>
      <c r="M49" s="231">
        <f>+M46/M116</f>
        <v>1.8949287128479431E-2</v>
      </c>
      <c r="N49" s="231">
        <f>+N46/N116</f>
        <v>2.0471844562687531E-2</v>
      </c>
      <c r="O49" s="231">
        <f>+O46/O116</f>
        <v>2.069596776601744E-2</v>
      </c>
      <c r="P49" s="465">
        <f>+P46/P116</f>
        <v>2.1668738039581744E-2</v>
      </c>
    </row>
    <row r="50" spans="1:17" s="229" customFormat="1" ht="15" customHeight="1" x14ac:dyDescent="0.3">
      <c r="A50" s="229" t="s">
        <v>310</v>
      </c>
      <c r="B50" s="612">
        <f>+B46/B117</f>
        <v>0.78455245422207298</v>
      </c>
      <c r="C50" s="612">
        <f>+C46/C117</f>
        <v>0.94880654670737241</v>
      </c>
      <c r="D50" s="612">
        <f>+D46/D117</f>
        <v>0.96165994852765058</v>
      </c>
      <c r="E50" s="612">
        <f>+E46/E117</f>
        <v>1.012281986399451</v>
      </c>
      <c r="F50" s="612">
        <f>+F46/F117</f>
        <v>1.1179219547955896</v>
      </c>
      <c r="G50" s="612">
        <f>+G46/G117</f>
        <v>1.5741136634645316</v>
      </c>
      <c r="H50" s="612">
        <f>+H46/H117</f>
        <v>1.7481767556466759</v>
      </c>
      <c r="I50" s="612">
        <f>+I46/I117</f>
        <v>1.9166832733793506</v>
      </c>
      <c r="J50" s="612">
        <f>+J46/J117</f>
        <v>1.6200677673588508</v>
      </c>
      <c r="K50" s="612">
        <f>+K46/K117</f>
        <v>1.7137356705495679</v>
      </c>
      <c r="L50" s="612">
        <f>+L46/L117</f>
        <v>2.0112627365481512</v>
      </c>
      <c r="M50" s="612">
        <f>+M46/M117</f>
        <v>2.3356175031008308</v>
      </c>
      <c r="N50" s="612">
        <f>+N46/N117</f>
        <v>3.255102639556037</v>
      </c>
      <c r="O50" s="612">
        <f>+O46/O117</f>
        <v>3.7542025699422035</v>
      </c>
      <c r="P50" s="618">
        <f>+P46/P117</f>
        <v>4.3375400589121025</v>
      </c>
      <c r="Q50" s="616"/>
    </row>
    <row r="51" spans="1:17" s="229" customFormat="1" ht="15" customHeight="1" x14ac:dyDescent="0.3">
      <c r="A51" s="229" t="s">
        <v>311</v>
      </c>
      <c r="B51" s="231">
        <f>+B50/B118</f>
        <v>4.9558360256793874E-2</v>
      </c>
      <c r="C51" s="231">
        <f>+C50/C118</f>
        <v>5.8285512679675931E-2</v>
      </c>
      <c r="D51" s="231">
        <f>+D50/D118</f>
        <v>5.7022939897657478E-2</v>
      </c>
      <c r="E51" s="231">
        <f>+E50/E118</f>
        <v>5.398595403722984E-2</v>
      </c>
      <c r="F51" s="231">
        <f>+F50/F118</f>
        <v>5.3796941098130435E-2</v>
      </c>
      <c r="G51" s="231">
        <f>+G50/G118</f>
        <v>6.7887416094130362E-2</v>
      </c>
      <c r="H51" s="231">
        <f>+H50/H118</f>
        <v>6.2757998166512882E-2</v>
      </c>
      <c r="I51" s="231">
        <f>+I50/I118</f>
        <v>5.4323322625005402E-2</v>
      </c>
      <c r="J51" s="231">
        <f>+J50/J118</f>
        <v>4.2356041689120986E-2</v>
      </c>
      <c r="K51" s="231">
        <f>+K50/K118</f>
        <v>4.1101706932475543E-2</v>
      </c>
      <c r="L51" s="231">
        <f>+L50/L118</f>
        <v>4.4015037488825917E-2</v>
      </c>
      <c r="M51" s="231">
        <f>+M50/M118</f>
        <v>4.7034063053301198E-2</v>
      </c>
      <c r="N51" s="231">
        <f>+N50/N118</f>
        <v>5.8319599955496418E-2</v>
      </c>
      <c r="O51" s="231">
        <f>+O50/O118</f>
        <v>6.0687516083461096E-2</v>
      </c>
      <c r="P51" s="465">
        <f>+P50/P118</f>
        <v>6.4200521931170915E-2</v>
      </c>
      <c r="Q51" s="464"/>
    </row>
    <row r="52" spans="1:17" s="229" customFormat="1" ht="15" customHeight="1" thickBot="1" x14ac:dyDescent="0.35">
      <c r="A52" s="241" t="s">
        <v>602</v>
      </c>
      <c r="B52" s="478">
        <f>+B50/B120</f>
        <v>3.3167412164948624E-2</v>
      </c>
      <c r="C52" s="478">
        <f>+C50/C120</f>
        <v>3.7107911408856172E-2</v>
      </c>
      <c r="D52" s="478">
        <f>+D50/D120</f>
        <v>3.4569152233953904E-2</v>
      </c>
      <c r="E52" s="478">
        <f>+E50/E120</f>
        <v>3.1442579946622286E-2</v>
      </c>
      <c r="F52" s="478">
        <f>+F50/F120</f>
        <v>3.0711291162238426E-2</v>
      </c>
      <c r="G52" s="478">
        <f>+G50/G120</f>
        <v>4.2078518861795311E-2</v>
      </c>
      <c r="H52" s="478">
        <f>+H50/H120</f>
        <v>4.3365810150152298E-2</v>
      </c>
      <c r="I52" s="478">
        <f>+I50/I120</f>
        <v>4.2258071224229671E-2</v>
      </c>
      <c r="J52" s="478">
        <f>+J50/J120</f>
        <v>3.3970104758549592E-2</v>
      </c>
      <c r="K52" s="478">
        <f>+K50/K120</f>
        <v>3.433027921309801E-2</v>
      </c>
      <c r="L52" s="478">
        <f>+L50/L120</f>
        <v>3.813484628690135E-2</v>
      </c>
      <c r="M52" s="478">
        <f>+M50/M120</f>
        <v>4.1472546680260812E-2</v>
      </c>
      <c r="N52" s="478">
        <f>+N50/N120</f>
        <v>5.2944987184357313E-2</v>
      </c>
      <c r="O52" s="478">
        <f>+O50/O120</f>
        <v>5.7089188592588651E-2</v>
      </c>
      <c r="P52" s="466">
        <f>+P50/P120</f>
        <v>6.1859692089357265E-2</v>
      </c>
    </row>
    <row r="53" spans="1:17" s="229" customFormat="1" ht="15" customHeight="1" x14ac:dyDescent="0.3">
      <c r="B53" s="231"/>
      <c r="C53" s="231"/>
      <c r="D53" s="231"/>
      <c r="E53" s="231"/>
      <c r="F53" s="231"/>
      <c r="G53" s="231"/>
      <c r="H53" s="231"/>
      <c r="I53" s="231"/>
      <c r="J53" s="231"/>
      <c r="K53" s="231"/>
      <c r="L53" s="231"/>
      <c r="M53" s="231"/>
      <c r="N53" s="231"/>
      <c r="O53" s="231"/>
      <c r="P53" s="231"/>
    </row>
    <row r="54" spans="1:17" s="229" customFormat="1" ht="15" customHeight="1" x14ac:dyDescent="0.3">
      <c r="A54" s="509"/>
      <c r="B54" s="509"/>
      <c r="C54" s="509"/>
      <c r="D54" s="509"/>
      <c r="E54" s="509"/>
      <c r="F54" s="509"/>
      <c r="G54" s="509"/>
      <c r="H54" s="509"/>
      <c r="I54" s="509"/>
      <c r="J54" s="509"/>
      <c r="K54" s="509"/>
      <c r="L54" s="509"/>
      <c r="M54" s="509"/>
      <c r="N54" s="509"/>
      <c r="O54" s="509"/>
      <c r="P54" s="617"/>
    </row>
    <row r="55" spans="1:17" s="229" customFormat="1" ht="19.95" customHeight="1" thickBot="1" x14ac:dyDescent="0.35">
      <c r="A55" s="718" t="s">
        <v>563</v>
      </c>
      <c r="B55" s="390"/>
      <c r="C55" s="390"/>
      <c r="D55" s="390"/>
      <c r="E55" s="390"/>
      <c r="F55" s="390"/>
      <c r="G55" s="390"/>
      <c r="H55" s="474"/>
      <c r="I55" s="390"/>
      <c r="J55" s="390"/>
      <c r="K55" s="390"/>
      <c r="L55" s="390"/>
      <c r="M55" s="390"/>
      <c r="N55" s="390"/>
      <c r="O55" s="474"/>
      <c r="P55" s="390"/>
    </row>
    <row r="56" spans="1:17" s="229" customFormat="1" ht="25.05" customHeight="1" thickBot="1" x14ac:dyDescent="0.35">
      <c r="A56" s="410" t="s">
        <v>564</v>
      </c>
      <c r="B56" s="375">
        <v>2002</v>
      </c>
      <c r="C56" s="375">
        <v>2003</v>
      </c>
      <c r="D56" s="375">
        <v>2004</v>
      </c>
      <c r="E56" s="375">
        <v>2005</v>
      </c>
      <c r="F56" s="375">
        <v>2006</v>
      </c>
      <c r="G56" s="375">
        <v>2007</v>
      </c>
      <c r="H56" s="375">
        <v>2008</v>
      </c>
      <c r="I56" s="375">
        <v>2009</v>
      </c>
      <c r="J56" s="375">
        <v>2010</v>
      </c>
      <c r="K56" s="375">
        <v>2011</v>
      </c>
      <c r="L56" s="375">
        <v>2012</v>
      </c>
      <c r="M56" s="375">
        <v>2013</v>
      </c>
      <c r="N56" s="375">
        <v>2014</v>
      </c>
      <c r="O56" s="375">
        <v>2015</v>
      </c>
      <c r="P56" s="392">
        <v>2016</v>
      </c>
    </row>
    <row r="57" spans="1:17" s="229" customFormat="1" ht="4.95" customHeight="1" x14ac:dyDescent="0.3">
      <c r="B57" s="512"/>
      <c r="C57" s="512"/>
      <c r="D57" s="512"/>
      <c r="E57" s="512"/>
      <c r="F57" s="512"/>
      <c r="G57" s="512"/>
      <c r="H57" s="512"/>
      <c r="I57" s="512"/>
      <c r="J57" s="512"/>
      <c r="K57" s="512"/>
      <c r="L57" s="512"/>
      <c r="M57" s="512"/>
      <c r="N57" s="512"/>
      <c r="O57" s="512"/>
      <c r="P57" s="517"/>
      <c r="Q57" s="508"/>
    </row>
    <row r="58" spans="1:17" s="229" customFormat="1" ht="15" customHeight="1" x14ac:dyDescent="0.3">
      <c r="A58" s="733" t="s">
        <v>262</v>
      </c>
      <c r="B58" s="536"/>
      <c r="C58" s="536"/>
      <c r="D58" s="536"/>
      <c r="E58" s="536"/>
      <c r="F58" s="536"/>
      <c r="G58" s="536"/>
      <c r="H58" s="536"/>
      <c r="I58" s="536"/>
      <c r="J58" s="536"/>
      <c r="K58" s="536"/>
      <c r="L58" s="536"/>
      <c r="M58" s="536"/>
      <c r="N58" s="536"/>
      <c r="O58" s="536"/>
      <c r="P58" s="537"/>
      <c r="Q58" s="508"/>
    </row>
    <row r="59" spans="1:17" s="229" customFormat="1" ht="15" customHeight="1" x14ac:dyDescent="0.3">
      <c r="A59" s="229" t="s">
        <v>64</v>
      </c>
      <c r="B59" s="512"/>
      <c r="C59" s="512"/>
      <c r="D59" s="512">
        <v>669401.59116728662</v>
      </c>
      <c r="E59" s="512">
        <v>723154.35883444163</v>
      </c>
      <c r="F59" s="512">
        <v>889070.78825882904</v>
      </c>
      <c r="G59" s="512">
        <v>1281492.8087294423</v>
      </c>
      <c r="H59" s="512">
        <v>1401594.9089903347</v>
      </c>
      <c r="I59" s="512"/>
      <c r="J59" s="512"/>
      <c r="K59" s="512"/>
      <c r="L59" s="512"/>
      <c r="M59" s="512"/>
      <c r="N59" s="512"/>
      <c r="O59" s="512"/>
      <c r="P59" s="517"/>
      <c r="Q59" s="508"/>
    </row>
    <row r="60" spans="1:17" s="229" customFormat="1" ht="15" customHeight="1" x14ac:dyDescent="0.3">
      <c r="A60" s="229" t="s">
        <v>65</v>
      </c>
      <c r="B60" s="512"/>
      <c r="C60" s="512"/>
      <c r="D60" s="512">
        <v>759355.97669576621</v>
      </c>
      <c r="E60" s="512">
        <v>820332.05731848557</v>
      </c>
      <c r="F60" s="512">
        <v>916826.60160000005</v>
      </c>
      <c r="G60" s="512">
        <v>1426975.9488000001</v>
      </c>
      <c r="H60" s="512">
        <v>1783109.4048000001</v>
      </c>
      <c r="I60" s="512"/>
      <c r="J60" s="512"/>
      <c r="K60" s="512"/>
      <c r="L60" s="512"/>
      <c r="M60" s="512"/>
      <c r="N60" s="512"/>
      <c r="O60" s="512"/>
      <c r="P60" s="517"/>
      <c r="Q60" s="508"/>
    </row>
    <row r="61" spans="1:17" s="229" customFormat="1" ht="15" customHeight="1" x14ac:dyDescent="0.3">
      <c r="A61" s="229" t="s">
        <v>66</v>
      </c>
      <c r="B61" s="512"/>
      <c r="C61" s="512"/>
      <c r="D61" s="512"/>
      <c r="E61" s="512"/>
      <c r="F61" s="512"/>
      <c r="G61" s="512"/>
      <c r="H61" s="512"/>
      <c r="I61" s="512">
        <v>1524456.3168000001</v>
      </c>
      <c r="J61" s="512">
        <v>1428802.7423</v>
      </c>
      <c r="K61" s="512">
        <v>1583814.1710000001</v>
      </c>
      <c r="L61" s="512">
        <v>1918480.6166000001</v>
      </c>
      <c r="M61" s="512">
        <v>2239560.4264000002</v>
      </c>
      <c r="N61" s="512">
        <v>2827865.9945999999</v>
      </c>
      <c r="O61" s="512">
        <v>3457937.6441000002</v>
      </c>
      <c r="P61" s="517">
        <v>3848124.1370999999</v>
      </c>
      <c r="Q61" s="508"/>
    </row>
    <row r="62" spans="1:17" s="229" customFormat="1" ht="15" customHeight="1" x14ac:dyDescent="0.3">
      <c r="A62" s="229" t="s">
        <v>67</v>
      </c>
      <c r="B62" s="512"/>
      <c r="C62" s="512"/>
      <c r="D62" s="512"/>
      <c r="E62" s="512"/>
      <c r="F62" s="512"/>
      <c r="G62" s="512"/>
      <c r="H62" s="512"/>
      <c r="I62" s="512">
        <v>2139883.4591999999</v>
      </c>
      <c r="J62" s="512">
        <v>1822642.7353000001</v>
      </c>
      <c r="K62" s="512">
        <v>2075399.9029999999</v>
      </c>
      <c r="L62" s="512">
        <v>2479660.4087</v>
      </c>
      <c r="M62" s="512">
        <v>2639341.7411000002</v>
      </c>
      <c r="N62" s="512">
        <v>3261641.6654000003</v>
      </c>
      <c r="O62" s="512">
        <v>3302658.0485</v>
      </c>
      <c r="P62" s="517">
        <v>3961362.1775000002</v>
      </c>
      <c r="Q62" s="508"/>
    </row>
    <row r="63" spans="1:17" s="229" customFormat="1" ht="15" customHeight="1" x14ac:dyDescent="0.3">
      <c r="A63" s="229" t="s">
        <v>68</v>
      </c>
      <c r="B63" s="512">
        <v>6753.9749074560004</v>
      </c>
      <c r="C63" s="512">
        <v>14821.120108800002</v>
      </c>
      <c r="D63" s="512">
        <v>26524.684300032</v>
      </c>
      <c r="E63" s="512">
        <v>15871.298058144001</v>
      </c>
      <c r="F63" s="512">
        <v>15233.959360224</v>
      </c>
      <c r="G63" s="512">
        <v>4490.4204944640005</v>
      </c>
      <c r="H63" s="512"/>
      <c r="I63" s="512">
        <v>4727.800169856001</v>
      </c>
      <c r="J63" s="512">
        <v>1782.9080000000001</v>
      </c>
      <c r="K63" s="512">
        <v>2412.7714000000001</v>
      </c>
      <c r="L63" s="512">
        <v>942.60300000000007</v>
      </c>
      <c r="M63" s="512">
        <v>1230.4988000000001</v>
      </c>
      <c r="N63" s="512">
        <v>78.915599999999998</v>
      </c>
      <c r="O63" s="512"/>
      <c r="P63" s="517"/>
      <c r="Q63" s="508"/>
    </row>
    <row r="64" spans="1:17" s="229" customFormat="1" ht="15" customHeight="1" x14ac:dyDescent="0.3">
      <c r="A64" s="229" t="s">
        <v>69</v>
      </c>
      <c r="B64" s="512">
        <v>1137658.037305065</v>
      </c>
      <c r="C64" s="512">
        <v>1395074.2846309792</v>
      </c>
      <c r="D64" s="512"/>
      <c r="E64" s="512"/>
      <c r="F64" s="512"/>
      <c r="G64" s="512"/>
      <c r="H64" s="512"/>
      <c r="I64" s="512"/>
      <c r="J64" s="512"/>
      <c r="K64" s="512"/>
      <c r="L64" s="512"/>
      <c r="M64" s="512"/>
      <c r="N64" s="512"/>
      <c r="O64" s="512"/>
      <c r="P64" s="517"/>
      <c r="Q64" s="508"/>
    </row>
    <row r="65" spans="1:17" s="229" customFormat="1" ht="15" customHeight="1" x14ac:dyDescent="0.3">
      <c r="A65" s="229" t="s">
        <v>76</v>
      </c>
      <c r="B65" s="512">
        <v>1195.5202183547813</v>
      </c>
      <c r="C65" s="512">
        <v>1083.3732760277323</v>
      </c>
      <c r="D65" s="512">
        <v>1160.0076729206821</v>
      </c>
      <c r="E65" s="512">
        <v>1999.181277264785</v>
      </c>
      <c r="F65" s="512">
        <v>2185.5608708818468</v>
      </c>
      <c r="G65" s="512">
        <v>1834.0716044299659</v>
      </c>
      <c r="H65" s="512">
        <v>3425.6049035372366</v>
      </c>
      <c r="I65" s="512"/>
      <c r="J65" s="512"/>
      <c r="K65" s="512"/>
      <c r="L65" s="512"/>
      <c r="M65" s="512"/>
      <c r="N65" s="512"/>
      <c r="O65" s="512"/>
      <c r="P65" s="517"/>
      <c r="Q65" s="615"/>
    </row>
    <row r="66" spans="1:17" s="229" customFormat="1" ht="15" customHeight="1" x14ac:dyDescent="0.3">
      <c r="A66" s="733" t="s">
        <v>264</v>
      </c>
      <c r="B66" s="536"/>
      <c r="C66" s="536"/>
      <c r="D66" s="536"/>
      <c r="E66" s="536"/>
      <c r="F66" s="536"/>
      <c r="G66" s="536"/>
      <c r="H66" s="536"/>
      <c r="I66" s="536"/>
      <c r="J66" s="536"/>
      <c r="K66" s="536"/>
      <c r="L66" s="536"/>
      <c r="M66" s="536"/>
      <c r="N66" s="536"/>
      <c r="O66" s="536"/>
      <c r="P66" s="537"/>
      <c r="Q66" s="508"/>
    </row>
    <row r="67" spans="1:17" s="229" customFormat="1" ht="15" customHeight="1" x14ac:dyDescent="0.3">
      <c r="A67" s="229" t="s">
        <v>70</v>
      </c>
      <c r="B67" s="512"/>
      <c r="C67" s="512"/>
      <c r="D67" s="512"/>
      <c r="E67" s="512"/>
      <c r="F67" s="512"/>
      <c r="G67" s="512"/>
      <c r="H67" s="512"/>
      <c r="I67" s="512">
        <v>473.88095207391797</v>
      </c>
      <c r="J67" s="512">
        <v>401.23451117721527</v>
      </c>
      <c r="K67" s="512">
        <v>1949.1264579464982</v>
      </c>
      <c r="L67" s="512">
        <v>3849.3624744684303</v>
      </c>
      <c r="M67" s="512">
        <v>4896.6118414182347</v>
      </c>
      <c r="N67" s="512">
        <v>10399.4980977711</v>
      </c>
      <c r="O67" s="512">
        <v>28394.38513664775</v>
      </c>
      <c r="P67" s="517">
        <v>28664.481884842033</v>
      </c>
      <c r="Q67" s="615"/>
    </row>
    <row r="68" spans="1:17" s="229" customFormat="1" ht="15" customHeight="1" x14ac:dyDescent="0.3">
      <c r="A68" s="229" t="s">
        <v>71</v>
      </c>
      <c r="B68" s="512"/>
      <c r="C68" s="512"/>
      <c r="D68" s="512"/>
      <c r="E68" s="512"/>
      <c r="F68" s="512"/>
      <c r="G68" s="512"/>
      <c r="H68" s="512"/>
      <c r="I68" s="512">
        <v>2739.1962547625321</v>
      </c>
      <c r="J68" s="512">
        <v>2319.274631082169</v>
      </c>
      <c r="K68" s="512">
        <v>2338.9517495357977</v>
      </c>
      <c r="L68" s="512">
        <v>5960.3607003927573</v>
      </c>
      <c r="M68" s="512">
        <v>5290.5921045208506</v>
      </c>
      <c r="N68" s="512"/>
      <c r="O68" s="512"/>
      <c r="P68" s="517"/>
      <c r="Q68" s="615"/>
    </row>
    <row r="69" spans="1:17" s="229" customFormat="1" ht="15" customHeight="1" x14ac:dyDescent="0.3">
      <c r="A69" s="229" t="s">
        <v>72</v>
      </c>
      <c r="B69" s="512"/>
      <c r="C69" s="512"/>
      <c r="D69" s="512"/>
      <c r="E69" s="512"/>
      <c r="F69" s="512"/>
      <c r="G69" s="512"/>
      <c r="H69" s="512"/>
      <c r="I69" s="512">
        <v>475.73484009914131</v>
      </c>
      <c r="J69" s="512">
        <v>402.80419624753165</v>
      </c>
      <c r="K69" s="512">
        <v>430.84114946915935</v>
      </c>
      <c r="L69" s="512">
        <v>216472.13853543572</v>
      </c>
      <c r="M69" s="512">
        <v>233624.29833726829</v>
      </c>
      <c r="N69" s="512">
        <v>189754.96584748663</v>
      </c>
      <c r="O69" s="512">
        <v>218818.7999194641</v>
      </c>
      <c r="P69" s="517">
        <v>224290.93871301593</v>
      </c>
      <c r="Q69" s="615"/>
    </row>
    <row r="70" spans="1:17" s="229" customFormat="1" ht="15" customHeight="1" x14ac:dyDescent="0.3">
      <c r="A70" s="229" t="s">
        <v>73</v>
      </c>
      <c r="B70" s="512"/>
      <c r="C70" s="512"/>
      <c r="D70" s="512"/>
      <c r="E70" s="512"/>
      <c r="F70" s="512"/>
      <c r="G70" s="512"/>
      <c r="H70" s="512"/>
      <c r="I70" s="512">
        <v>23405.799790450234</v>
      </c>
      <c r="J70" s="512">
        <v>28777.559622467554</v>
      </c>
      <c r="K70" s="512">
        <v>29021.713308240178</v>
      </c>
      <c r="L70" s="512"/>
      <c r="M70" s="512"/>
      <c r="N70" s="512"/>
      <c r="O70" s="512"/>
      <c r="P70" s="517"/>
      <c r="Q70" s="615"/>
    </row>
    <row r="71" spans="1:17" s="229" customFormat="1" ht="15" customHeight="1" x14ac:dyDescent="0.3">
      <c r="A71" s="229" t="s">
        <v>74</v>
      </c>
      <c r="B71" s="512"/>
      <c r="C71" s="512"/>
      <c r="D71" s="512"/>
      <c r="E71" s="512"/>
      <c r="F71" s="512"/>
      <c r="G71" s="512"/>
      <c r="H71" s="512"/>
      <c r="I71" s="512"/>
      <c r="J71" s="512"/>
      <c r="K71" s="512"/>
      <c r="L71" s="512"/>
      <c r="M71" s="512"/>
      <c r="N71" s="512"/>
      <c r="O71" s="512">
        <v>107243.48130803903</v>
      </c>
      <c r="P71" s="517">
        <v>79244.263101640565</v>
      </c>
      <c r="Q71" s="615"/>
    </row>
    <row r="72" spans="1:17" s="229" customFormat="1" ht="15" customHeight="1" x14ac:dyDescent="0.3">
      <c r="A72" s="229" t="s">
        <v>75</v>
      </c>
      <c r="B72" s="512"/>
      <c r="C72" s="512"/>
      <c r="D72" s="512"/>
      <c r="E72" s="512"/>
      <c r="F72" s="512"/>
      <c r="G72" s="512"/>
      <c r="H72" s="512"/>
      <c r="I72" s="512"/>
      <c r="J72" s="512"/>
      <c r="K72" s="512"/>
      <c r="L72" s="512"/>
      <c r="M72" s="512"/>
      <c r="N72" s="512"/>
      <c r="O72" s="512">
        <v>5018.0140454895991</v>
      </c>
      <c r="P72" s="517">
        <v>3228.663005029025</v>
      </c>
      <c r="Q72" s="615"/>
    </row>
    <row r="73" spans="1:17" s="229" customFormat="1" ht="15" customHeight="1" x14ac:dyDescent="0.3">
      <c r="A73" s="229" t="s">
        <v>248</v>
      </c>
      <c r="B73" s="512"/>
      <c r="C73" s="512"/>
      <c r="D73" s="512"/>
      <c r="E73" s="512"/>
      <c r="F73" s="512"/>
      <c r="G73" s="512">
        <v>39987.947514239997</v>
      </c>
      <c r="H73" s="512">
        <v>103709.228914764</v>
      </c>
      <c r="I73" s="512">
        <v>56900.594627910003</v>
      </c>
      <c r="J73" s="512">
        <v>24905.807714303999</v>
      </c>
      <c r="K73" s="512">
        <v>24428.25</v>
      </c>
      <c r="L73" s="512">
        <v>40201.919999999998</v>
      </c>
      <c r="M73" s="512">
        <v>39366.241199999997</v>
      </c>
      <c r="N73" s="512">
        <v>53863.407180000002</v>
      </c>
      <c r="O73" s="512">
        <v>92304.568615445998</v>
      </c>
      <c r="P73" s="517">
        <v>96647.566296600009</v>
      </c>
      <c r="Q73" s="508"/>
    </row>
    <row r="74" spans="1:17" s="229" customFormat="1" ht="15" customHeight="1" x14ac:dyDescent="0.3">
      <c r="A74" s="229" t="s">
        <v>249</v>
      </c>
      <c r="B74" s="512"/>
      <c r="C74" s="512"/>
      <c r="D74" s="512"/>
      <c r="E74" s="512"/>
      <c r="F74" s="512"/>
      <c r="G74" s="512">
        <v>181159.05311199999</v>
      </c>
      <c r="H74" s="512">
        <v>260874.54322000002</v>
      </c>
      <c r="I74" s="512">
        <v>92383.989035999999</v>
      </c>
      <c r="J74" s="512">
        <v>135361.29999600002</v>
      </c>
      <c r="K74" s="512">
        <v>260427.60176399999</v>
      </c>
      <c r="L74" s="512">
        <v>352600.34652399999</v>
      </c>
      <c r="M74" s="512">
        <v>253346.15720799999</v>
      </c>
      <c r="N74" s="512">
        <v>212022.39740399999</v>
      </c>
      <c r="O74" s="512">
        <v>252739.40349200001</v>
      </c>
      <c r="P74" s="517">
        <v>460034.34800400003</v>
      </c>
      <c r="Q74" s="508"/>
    </row>
    <row r="75" spans="1:17" s="229" customFormat="1" ht="15" customHeight="1" x14ac:dyDescent="0.3">
      <c r="A75" s="229" t="s">
        <v>82</v>
      </c>
      <c r="B75" s="512"/>
      <c r="C75" s="512"/>
      <c r="D75" s="512"/>
      <c r="E75" s="512"/>
      <c r="F75" s="512"/>
      <c r="G75" s="512"/>
      <c r="H75" s="512"/>
      <c r="I75" s="512">
        <v>49362.267125370003</v>
      </c>
      <c r="J75" s="512">
        <v>27529.081041000001</v>
      </c>
      <c r="K75" s="512">
        <v>48018.762152269999</v>
      </c>
      <c r="L75" s="512">
        <v>50871.574754000001</v>
      </c>
      <c r="M75" s="512"/>
      <c r="N75" s="512"/>
      <c r="O75" s="512"/>
      <c r="P75" s="517"/>
      <c r="Q75" s="508"/>
    </row>
    <row r="76" spans="1:17" s="229" customFormat="1" ht="15" customHeight="1" x14ac:dyDescent="0.3">
      <c r="A76" s="229" t="s">
        <v>96</v>
      </c>
      <c r="B76" s="512"/>
      <c r="C76" s="512"/>
      <c r="D76" s="512"/>
      <c r="E76" s="512">
        <v>28812.714021109998</v>
      </c>
      <c r="F76" s="512"/>
      <c r="G76" s="512">
        <v>60249.88</v>
      </c>
      <c r="H76" s="512">
        <v>64463.652930329998</v>
      </c>
      <c r="I76" s="512"/>
      <c r="J76" s="512">
        <v>16931.68</v>
      </c>
      <c r="K76" s="512">
        <v>0</v>
      </c>
      <c r="L76" s="512">
        <v>0</v>
      </c>
      <c r="M76" s="512"/>
      <c r="N76" s="512"/>
      <c r="O76" s="512"/>
      <c r="P76" s="517"/>
      <c r="Q76" s="508"/>
    </row>
    <row r="77" spans="1:17" s="229" customFormat="1" ht="15" customHeight="1" x14ac:dyDescent="0.3">
      <c r="A77" s="229" t="s">
        <v>247</v>
      </c>
      <c r="B77" s="512"/>
      <c r="C77" s="512"/>
      <c r="D77" s="512"/>
      <c r="E77" s="512"/>
      <c r="F77" s="512"/>
      <c r="G77" s="512"/>
      <c r="H77" s="512"/>
      <c r="I77" s="512"/>
      <c r="J77" s="512"/>
      <c r="K77" s="512"/>
      <c r="L77" s="512"/>
      <c r="M77" s="512"/>
      <c r="N77" s="512">
        <v>2747.1802463999998</v>
      </c>
      <c r="O77" s="512">
        <v>2749.4142127999999</v>
      </c>
      <c r="P77" s="517">
        <v>3176.8416923520003</v>
      </c>
      <c r="Q77" s="508"/>
    </row>
    <row r="78" spans="1:17" s="229" customFormat="1" ht="15" customHeight="1" x14ac:dyDescent="0.3">
      <c r="A78" s="229" t="s">
        <v>83</v>
      </c>
      <c r="B78" s="512"/>
      <c r="C78" s="512"/>
      <c r="D78" s="512"/>
      <c r="E78" s="512"/>
      <c r="F78" s="512"/>
      <c r="G78" s="512"/>
      <c r="H78" s="512">
        <v>791.2</v>
      </c>
      <c r="I78" s="512">
        <v>14171.756819999999</v>
      </c>
      <c r="J78" s="512"/>
      <c r="K78" s="512"/>
      <c r="L78" s="512"/>
      <c r="M78" s="512"/>
      <c r="N78" s="512"/>
      <c r="O78" s="512"/>
      <c r="P78" s="517"/>
      <c r="Q78" s="508"/>
    </row>
    <row r="79" spans="1:17" s="229" customFormat="1" ht="15" customHeight="1" x14ac:dyDescent="0.3">
      <c r="A79" s="229" t="s">
        <v>84</v>
      </c>
      <c r="B79" s="512"/>
      <c r="C79" s="512"/>
      <c r="D79" s="512"/>
      <c r="E79" s="512"/>
      <c r="F79" s="512"/>
      <c r="G79" s="512"/>
      <c r="H79" s="512"/>
      <c r="I79" s="512"/>
      <c r="J79" s="512"/>
      <c r="K79" s="512"/>
      <c r="L79" s="512">
        <v>35984.764999999999</v>
      </c>
      <c r="M79" s="512">
        <v>45067.28490287</v>
      </c>
      <c r="N79" s="512">
        <v>34060.830999259997</v>
      </c>
      <c r="O79" s="512">
        <v>75600.061967999995</v>
      </c>
      <c r="P79" s="517">
        <v>119807.67468223</v>
      </c>
      <c r="Q79" s="508"/>
    </row>
    <row r="80" spans="1:17" s="229" customFormat="1" ht="15" customHeight="1" x14ac:dyDescent="0.3">
      <c r="A80" s="229" t="s">
        <v>85</v>
      </c>
      <c r="B80" s="512"/>
      <c r="C80" s="512"/>
      <c r="D80" s="512"/>
      <c r="E80" s="512"/>
      <c r="F80" s="512"/>
      <c r="G80" s="512"/>
      <c r="H80" s="512"/>
      <c r="I80" s="512"/>
      <c r="J80" s="512"/>
      <c r="K80" s="512"/>
      <c r="L80" s="512">
        <v>64566.998999999996</v>
      </c>
      <c r="M80" s="512">
        <v>234040.83378108998</v>
      </c>
      <c r="N80" s="512">
        <v>218164.14058457999</v>
      </c>
      <c r="O80" s="512">
        <v>211550.09919199999</v>
      </c>
      <c r="P80" s="517">
        <v>127683.50812972999</v>
      </c>
      <c r="Q80" s="508"/>
    </row>
    <row r="81" spans="1:17" s="229" customFormat="1" ht="15" customHeight="1" x14ac:dyDescent="0.3">
      <c r="A81" s="229" t="s">
        <v>86</v>
      </c>
      <c r="B81" s="512"/>
      <c r="C81" s="512"/>
      <c r="D81" s="512"/>
      <c r="E81" s="512"/>
      <c r="F81" s="512"/>
      <c r="G81" s="512"/>
      <c r="H81" s="512"/>
      <c r="I81" s="512"/>
      <c r="J81" s="512"/>
      <c r="K81" s="512"/>
      <c r="L81" s="512"/>
      <c r="M81" s="512">
        <v>53863.929426607989</v>
      </c>
      <c r="N81" s="512">
        <v>86043.127507359997</v>
      </c>
      <c r="O81" s="512">
        <v>51379.277641600005</v>
      </c>
      <c r="P81" s="517">
        <v>14803.889341167998</v>
      </c>
      <c r="Q81" s="508"/>
    </row>
    <row r="82" spans="1:17" s="229" customFormat="1" ht="15" customHeight="1" x14ac:dyDescent="0.3">
      <c r="A82" s="229" t="s">
        <v>87</v>
      </c>
      <c r="B82" s="512"/>
      <c r="C82" s="512"/>
      <c r="D82" s="512"/>
      <c r="E82" s="512"/>
      <c r="F82" s="512"/>
      <c r="G82" s="512"/>
      <c r="H82" s="512"/>
      <c r="I82" s="512"/>
      <c r="J82" s="512"/>
      <c r="K82" s="512"/>
      <c r="L82" s="512"/>
      <c r="M82" s="512"/>
      <c r="N82" s="512">
        <v>218163.12299999999</v>
      </c>
      <c r="O82" s="512">
        <v>211549.81</v>
      </c>
      <c r="P82" s="517">
        <v>127683.50472</v>
      </c>
      <c r="Q82" s="508"/>
    </row>
    <row r="83" spans="1:17" s="229" customFormat="1" ht="15" customHeight="1" x14ac:dyDescent="0.3">
      <c r="A83" s="229" t="s">
        <v>88</v>
      </c>
      <c r="B83" s="512"/>
      <c r="C83" s="512"/>
      <c r="D83" s="512"/>
      <c r="E83" s="512"/>
      <c r="F83" s="512"/>
      <c r="G83" s="512"/>
      <c r="H83" s="512"/>
      <c r="I83" s="512"/>
      <c r="J83" s="512"/>
      <c r="K83" s="512"/>
      <c r="L83" s="512"/>
      <c r="M83" s="512"/>
      <c r="N83" s="512">
        <v>25302.345999999998</v>
      </c>
      <c r="O83" s="512">
        <v>60004.409</v>
      </c>
      <c r="P83" s="517">
        <v>284951.47805000003</v>
      </c>
      <c r="Q83" s="508"/>
    </row>
    <row r="84" spans="1:17" s="229" customFormat="1" ht="15" customHeight="1" x14ac:dyDescent="0.3">
      <c r="A84" s="229" t="s">
        <v>89</v>
      </c>
      <c r="B84" s="512"/>
      <c r="C84" s="512"/>
      <c r="D84" s="512"/>
      <c r="E84" s="512"/>
      <c r="F84" s="512"/>
      <c r="G84" s="512"/>
      <c r="H84" s="512"/>
      <c r="I84" s="512"/>
      <c r="J84" s="512"/>
      <c r="K84" s="512"/>
      <c r="L84" s="512"/>
      <c r="M84" s="512"/>
      <c r="N84" s="512"/>
      <c r="O84" s="512">
        <v>29550.380799999999</v>
      </c>
      <c r="P84" s="517"/>
      <c r="Q84" s="508"/>
    </row>
    <row r="85" spans="1:17" s="229" customFormat="1" ht="15" customHeight="1" x14ac:dyDescent="0.3">
      <c r="A85" s="229" t="s">
        <v>90</v>
      </c>
      <c r="B85" s="512">
        <v>16200.747355629999</v>
      </c>
      <c r="C85" s="512">
        <v>9986.3405669000003</v>
      </c>
      <c r="D85" s="512"/>
      <c r="E85" s="512"/>
      <c r="F85" s="512"/>
      <c r="G85" s="512"/>
      <c r="H85" s="512"/>
      <c r="I85" s="512"/>
      <c r="J85" s="512"/>
      <c r="K85" s="512"/>
      <c r="L85" s="512"/>
      <c r="M85" s="512"/>
      <c r="N85" s="512"/>
      <c r="O85" s="512"/>
      <c r="P85" s="517"/>
      <c r="Q85" s="508"/>
    </row>
    <row r="86" spans="1:17" s="229" customFormat="1" ht="15" customHeight="1" x14ac:dyDescent="0.3">
      <c r="A86" s="229" t="s">
        <v>91</v>
      </c>
      <c r="B86" s="512">
        <v>45851.554020539996</v>
      </c>
      <c r="C86" s="512">
        <v>70406.391477190002</v>
      </c>
      <c r="D86" s="512">
        <v>104264.6986663</v>
      </c>
      <c r="E86" s="512">
        <v>39978.03966825</v>
      </c>
      <c r="F86" s="512">
        <v>69863.537961709997</v>
      </c>
      <c r="G86" s="512">
        <v>108410.52432963</v>
      </c>
      <c r="H86" s="512">
        <v>96535.914071210005</v>
      </c>
      <c r="I86" s="512"/>
      <c r="J86" s="512"/>
      <c r="K86" s="512"/>
      <c r="L86" s="512"/>
      <c r="M86" s="512"/>
      <c r="N86" s="512"/>
      <c r="O86" s="512"/>
      <c r="P86" s="517"/>
      <c r="Q86" s="508"/>
    </row>
    <row r="87" spans="1:17" s="229" customFormat="1" ht="15" customHeight="1" x14ac:dyDescent="0.3">
      <c r="A87" s="229" t="s">
        <v>92</v>
      </c>
      <c r="B87" s="512"/>
      <c r="C87" s="512"/>
      <c r="D87" s="512"/>
      <c r="E87" s="512"/>
      <c r="F87" s="512">
        <v>14944.065476059999</v>
      </c>
      <c r="G87" s="512">
        <v>38996.479371299996</v>
      </c>
      <c r="H87" s="512"/>
      <c r="I87" s="512"/>
      <c r="J87" s="512"/>
      <c r="K87" s="512"/>
      <c r="L87" s="512"/>
      <c r="M87" s="512"/>
      <c r="N87" s="512"/>
      <c r="O87" s="512"/>
      <c r="P87" s="517"/>
      <c r="Q87" s="508"/>
    </row>
    <row r="88" spans="1:17" s="229" customFormat="1" ht="15" customHeight="1" x14ac:dyDescent="0.3">
      <c r="A88" s="229" t="s">
        <v>97</v>
      </c>
      <c r="B88" s="512"/>
      <c r="C88" s="512"/>
      <c r="D88" s="512"/>
      <c r="E88" s="512"/>
      <c r="F88" s="512"/>
      <c r="G88" s="512"/>
      <c r="H88" s="512"/>
      <c r="I88" s="512"/>
      <c r="J88" s="512"/>
      <c r="K88" s="512">
        <v>40108.894999999997</v>
      </c>
      <c r="L88" s="512">
        <v>53655.228000000003</v>
      </c>
      <c r="M88" s="512">
        <v>30231.752</v>
      </c>
      <c r="N88" s="512">
        <v>35587.186999999998</v>
      </c>
      <c r="O88" s="512"/>
      <c r="P88" s="517"/>
      <c r="Q88" s="508"/>
    </row>
    <row r="89" spans="1:17" s="229" customFormat="1" ht="15" customHeight="1" x14ac:dyDescent="0.3">
      <c r="A89" s="733" t="s">
        <v>265</v>
      </c>
      <c r="B89" s="536"/>
      <c r="C89" s="536"/>
      <c r="D89" s="536"/>
      <c r="E89" s="536"/>
      <c r="F89" s="536"/>
      <c r="G89" s="536"/>
      <c r="H89" s="536"/>
      <c r="I89" s="536"/>
      <c r="J89" s="536"/>
      <c r="K89" s="536"/>
      <c r="L89" s="536"/>
      <c r="M89" s="536"/>
      <c r="N89" s="536"/>
      <c r="O89" s="536"/>
      <c r="P89" s="537"/>
      <c r="Q89" s="615"/>
    </row>
    <row r="90" spans="1:17" s="229" customFormat="1" ht="15" customHeight="1" x14ac:dyDescent="0.3">
      <c r="A90" s="229" t="s">
        <v>77</v>
      </c>
      <c r="B90" s="512"/>
      <c r="C90" s="512"/>
      <c r="D90" s="512"/>
      <c r="E90" s="512"/>
      <c r="F90" s="512"/>
      <c r="G90" s="512"/>
      <c r="H90" s="512"/>
      <c r="I90" s="512"/>
      <c r="J90" s="512">
        <v>11172.077662777858</v>
      </c>
      <c r="K90" s="512">
        <v>20544.794423348878</v>
      </c>
      <c r="L90" s="512"/>
      <c r="M90" s="512"/>
      <c r="N90" s="512"/>
      <c r="O90" s="512"/>
      <c r="P90" s="517"/>
      <c r="Q90" s="508"/>
    </row>
    <row r="91" spans="1:17" s="229" customFormat="1" ht="15" customHeight="1" x14ac:dyDescent="0.3">
      <c r="A91" s="229" t="s">
        <v>78</v>
      </c>
      <c r="B91" s="512"/>
      <c r="C91" s="512"/>
      <c r="D91" s="512"/>
      <c r="E91" s="512"/>
      <c r="F91" s="512"/>
      <c r="G91" s="512"/>
      <c r="H91" s="512"/>
      <c r="I91" s="512"/>
      <c r="J91" s="512">
        <v>7271.1920604205707</v>
      </c>
      <c r="K91" s="512">
        <v>8376.2762410695159</v>
      </c>
      <c r="L91" s="512"/>
      <c r="M91" s="512"/>
      <c r="N91" s="512"/>
      <c r="O91" s="512"/>
      <c r="P91" s="517"/>
      <c r="Q91" s="508"/>
    </row>
    <row r="92" spans="1:17" s="229" customFormat="1" ht="15" customHeight="1" x14ac:dyDescent="0.3">
      <c r="A92" s="229" t="s">
        <v>79</v>
      </c>
      <c r="B92" s="512"/>
      <c r="C92" s="512"/>
      <c r="D92" s="512"/>
      <c r="E92" s="512"/>
      <c r="F92" s="512"/>
      <c r="G92" s="512"/>
      <c r="H92" s="512"/>
      <c r="I92" s="512"/>
      <c r="J92" s="512"/>
      <c r="K92" s="512"/>
      <c r="L92" s="512">
        <v>22680.929124958442</v>
      </c>
      <c r="M92" s="512">
        <v>7613.0540838412462</v>
      </c>
      <c r="N92" s="512">
        <v>9688.4934691866329</v>
      </c>
      <c r="O92" s="512">
        <v>53458.417844570751</v>
      </c>
      <c r="P92" s="517"/>
      <c r="Q92" s="508"/>
    </row>
    <row r="93" spans="1:17" s="229" customFormat="1" ht="15" customHeight="1" x14ac:dyDescent="0.3">
      <c r="A93" s="229" t="s">
        <v>80</v>
      </c>
      <c r="B93" s="512"/>
      <c r="C93" s="512"/>
      <c r="D93" s="512"/>
      <c r="E93" s="512"/>
      <c r="F93" s="512"/>
      <c r="G93" s="512"/>
      <c r="H93" s="512"/>
      <c r="I93" s="512"/>
      <c r="J93" s="512"/>
      <c r="K93" s="512"/>
      <c r="L93" s="512">
        <v>10142.664372563266</v>
      </c>
      <c r="M93" s="512">
        <v>13739.422727202045</v>
      </c>
      <c r="N93" s="512">
        <v>14151.271155247199</v>
      </c>
      <c r="O93" s="512">
        <v>17546.840058806236</v>
      </c>
      <c r="P93" s="517"/>
      <c r="Q93" s="508"/>
    </row>
    <row r="94" spans="1:17" s="229" customFormat="1" ht="15" customHeight="1" x14ac:dyDescent="0.3">
      <c r="A94" s="229" t="s">
        <v>81</v>
      </c>
      <c r="B94" s="512"/>
      <c r="C94" s="512"/>
      <c r="D94" s="512"/>
      <c r="E94" s="512"/>
      <c r="F94" s="512"/>
      <c r="G94" s="512"/>
      <c r="H94" s="512"/>
      <c r="I94" s="512"/>
      <c r="J94" s="512"/>
      <c r="K94" s="512"/>
      <c r="L94" s="512"/>
      <c r="M94" s="512"/>
      <c r="N94" s="512"/>
      <c r="O94" s="512"/>
      <c r="P94" s="517">
        <v>60201.811022445218</v>
      </c>
      <c r="Q94" s="508"/>
    </row>
    <row r="95" spans="1:17" s="229" customFormat="1" ht="15" customHeight="1" x14ac:dyDescent="0.3">
      <c r="A95" s="229" t="s">
        <v>93</v>
      </c>
      <c r="B95" s="512"/>
      <c r="C95" s="512">
        <v>24449.020521999999</v>
      </c>
      <c r="D95" s="512">
        <v>41778.887183069994</v>
      </c>
      <c r="E95" s="512">
        <v>45705.950407069999</v>
      </c>
      <c r="F95" s="512">
        <v>45705.950407069999</v>
      </c>
      <c r="G95" s="512">
        <v>78783.811217280003</v>
      </c>
      <c r="H95" s="512">
        <v>107379.71070132</v>
      </c>
      <c r="I95" s="512"/>
      <c r="J95" s="512"/>
      <c r="K95" s="512"/>
      <c r="L95" s="512"/>
      <c r="M95" s="512"/>
      <c r="N95" s="512"/>
      <c r="O95" s="512"/>
      <c r="P95" s="517"/>
      <c r="Q95" s="508"/>
    </row>
    <row r="96" spans="1:17" s="229" customFormat="1" ht="15" customHeight="1" x14ac:dyDescent="0.3">
      <c r="A96" s="229" t="s">
        <v>94</v>
      </c>
      <c r="B96" s="512"/>
      <c r="C96" s="512"/>
      <c r="D96" s="512"/>
      <c r="E96" s="512"/>
      <c r="F96" s="512"/>
      <c r="G96" s="512">
        <v>23009.484072289997</v>
      </c>
      <c r="H96" s="512">
        <v>18995.223715529999</v>
      </c>
      <c r="I96" s="512"/>
      <c r="J96" s="512"/>
      <c r="K96" s="512"/>
      <c r="L96" s="512"/>
      <c r="M96" s="512"/>
      <c r="N96" s="512"/>
      <c r="O96" s="512"/>
      <c r="P96" s="517"/>
      <c r="Q96" s="508"/>
    </row>
    <row r="97" spans="1:17" s="229" customFormat="1" ht="15" customHeight="1" x14ac:dyDescent="0.3">
      <c r="A97" s="238" t="s">
        <v>95</v>
      </c>
      <c r="B97" s="515">
        <v>34355.093776889997</v>
      </c>
      <c r="C97" s="515">
        <v>40787.605734509998</v>
      </c>
      <c r="D97" s="515">
        <v>29637.042455210001</v>
      </c>
      <c r="E97" s="515">
        <v>37259.641156530008</v>
      </c>
      <c r="F97" s="515">
        <v>37259.641156530008</v>
      </c>
      <c r="G97" s="515">
        <v>56127.742024020001</v>
      </c>
      <c r="H97" s="515">
        <v>43095.197708599997</v>
      </c>
      <c r="I97" s="515">
        <v>42111.64774144999</v>
      </c>
      <c r="J97" s="515">
        <v>42956.614716560005</v>
      </c>
      <c r="K97" s="515">
        <v>19237.463281</v>
      </c>
      <c r="L97" s="515">
        <v>9918.8723813899996</v>
      </c>
      <c r="M97" s="515"/>
      <c r="N97" s="515"/>
      <c r="O97" s="515"/>
      <c r="P97" s="518"/>
      <c r="Q97" s="622"/>
    </row>
    <row r="98" spans="1:17" s="229" customFormat="1" ht="15" customHeight="1" x14ac:dyDescent="0.3">
      <c r="A98" s="53" t="s">
        <v>308</v>
      </c>
      <c r="B98" s="515">
        <f t="shared" ref="B98:O98" si="1">+SUM(B59:B72)+SUM(B73:B97)</f>
        <v>1242014.9275839359</v>
      </c>
      <c r="C98" s="515">
        <f t="shared" si="1"/>
        <v>1556608.1363164068</v>
      </c>
      <c r="D98" s="515">
        <f t="shared" si="1"/>
        <v>1632122.8881405853</v>
      </c>
      <c r="E98" s="515">
        <f t="shared" si="1"/>
        <v>1713113.240741296</v>
      </c>
      <c r="F98" s="515">
        <f t="shared" si="1"/>
        <v>1991090.105091305</v>
      </c>
      <c r="G98" s="515">
        <f t="shared" si="1"/>
        <v>3301518.1712690964</v>
      </c>
      <c r="H98" s="515">
        <f t="shared" si="1"/>
        <v>3883974.5899556261</v>
      </c>
      <c r="I98" s="515">
        <f t="shared" si="1"/>
        <v>3951092.4433579715</v>
      </c>
      <c r="J98" s="515">
        <f t="shared" si="1"/>
        <v>3551257.0117520364</v>
      </c>
      <c r="K98" s="515">
        <f t="shared" si="1"/>
        <v>4116509.5209268802</v>
      </c>
      <c r="L98" s="515">
        <f t="shared" si="1"/>
        <v>5265988.7891672086</v>
      </c>
      <c r="M98" s="515">
        <f t="shared" si="1"/>
        <v>5801212.8439128194</v>
      </c>
      <c r="N98" s="515">
        <f t="shared" si="1"/>
        <v>7199534.5440912917</v>
      </c>
      <c r="O98" s="515">
        <f t="shared" si="1"/>
        <v>8178503.0558348643</v>
      </c>
      <c r="P98" s="518">
        <f>+SUM(P59:P72)+SUM(P73:P97)</f>
        <v>9439905.2832430527</v>
      </c>
      <c r="Q98" s="512"/>
    </row>
    <row r="99" spans="1:17" s="229" customFormat="1" ht="15" customHeight="1" x14ac:dyDescent="0.3">
      <c r="A99" s="229" t="s">
        <v>319</v>
      </c>
      <c r="B99" s="231">
        <f>+B98/B114</f>
        <v>0.1061260960749142</v>
      </c>
      <c r="C99" s="231">
        <f>+C98/C114</f>
        <v>0.10417878396142385</v>
      </c>
      <c r="D99" s="231">
        <f>+D98/D114</f>
        <v>0.10221850617777825</v>
      </c>
      <c r="E99" s="231">
        <f>+E98/E114</f>
        <v>9.3391260112154567E-2</v>
      </c>
      <c r="F99" s="231">
        <f>+F98/F114</f>
        <v>9.4105780560133523E-2</v>
      </c>
      <c r="G99" s="231">
        <f>+G98/G114</f>
        <v>0.13860685122019104</v>
      </c>
      <c r="H99" s="231">
        <f>+H98/H114</f>
        <v>0.13781658599951835</v>
      </c>
      <c r="I99" s="231">
        <f>+I98/I114</f>
        <v>0.13227362166672152</v>
      </c>
      <c r="J99" s="231">
        <f>+J98/J114</f>
        <v>0.11180626883176813</v>
      </c>
      <c r="K99" s="231">
        <f>+K98/K114</f>
        <v>0.11217013964835036</v>
      </c>
      <c r="L99" s="231">
        <f>+L98/L114</f>
        <v>0.12393273796777197</v>
      </c>
      <c r="M99" s="231">
        <f>+M98/M114</f>
        <v>0.12472186054523919</v>
      </c>
      <c r="N99" s="231">
        <f>+N98/N114</f>
        <v>0.13176524767229497</v>
      </c>
      <c r="O99" s="231">
        <f>+O98/O114</f>
        <v>0.12851057665668139</v>
      </c>
      <c r="P99" s="465">
        <f>+P98/P114</f>
        <v>0.12971874225483465</v>
      </c>
      <c r="Q99" s="231"/>
    </row>
    <row r="100" spans="1:17" s="229" customFormat="1" ht="15" customHeight="1" x14ac:dyDescent="0.3">
      <c r="A100" s="229" t="s">
        <v>316</v>
      </c>
      <c r="B100" s="613">
        <f>B98/B115</f>
        <v>0.25385061981808327</v>
      </c>
      <c r="C100" s="613">
        <f>C98/C115</f>
        <v>0.247163044239573</v>
      </c>
      <c r="D100" s="613">
        <f>D98/D115</f>
        <v>0.22197901261330485</v>
      </c>
      <c r="E100" s="613">
        <f>E98/E115</f>
        <v>0.18810743713600334</v>
      </c>
      <c r="F100" s="613">
        <f>F98/F115</f>
        <v>0.19285099569870745</v>
      </c>
      <c r="G100" s="613">
        <f>G98/G115</f>
        <v>0.26844011832514258</v>
      </c>
      <c r="H100" s="613">
        <f>H98/H115</f>
        <v>0.25618026330250615</v>
      </c>
      <c r="I100" s="613">
        <f>I98/I115</f>
        <v>0.24046280511210208</v>
      </c>
      <c r="J100" s="613">
        <f>J98/J115</f>
        <v>0.20401550036491695</v>
      </c>
      <c r="K100" s="613">
        <f>K98/K115</f>
        <v>0.20670396790996134</v>
      </c>
      <c r="L100" s="613">
        <f>L98/L115</f>
        <v>0.22357279034241645</v>
      </c>
      <c r="M100" s="613">
        <f>M98/M115</f>
        <v>0.22028611629103659</v>
      </c>
      <c r="N100" s="613">
        <f>N98/N115</f>
        <v>0.22910504967736398</v>
      </c>
      <c r="O100" s="613">
        <f>O98/O115</f>
        <v>0.2228972973752954</v>
      </c>
      <c r="P100" s="620">
        <f>P98/P115</f>
        <v>0.2347295059253148</v>
      </c>
    </row>
    <row r="101" spans="1:17" s="229" customFormat="1" ht="15" customHeight="1" x14ac:dyDescent="0.3">
      <c r="A101" s="229" t="s">
        <v>317</v>
      </c>
      <c r="B101" s="231">
        <f>+B98/B116</f>
        <v>2.1646818192378882E-2</v>
      </c>
      <c r="C101" s="231">
        <f>+C98/C116</f>
        <v>2.5123394750626551E-2</v>
      </c>
      <c r="D101" s="231">
        <f>+D98/D116</f>
        <v>2.2937392903996243E-2</v>
      </c>
      <c r="E101" s="231">
        <f>+E98/E116</f>
        <v>2.1013510993397506E-2</v>
      </c>
      <c r="F101" s="231">
        <f>+F98/F116</f>
        <v>1.675469934279138E-2</v>
      </c>
      <c r="G101" s="231">
        <f>+G98/G116</f>
        <v>2.4107439714708453E-2</v>
      </c>
      <c r="H101" s="231">
        <f>+H98/H116</f>
        <v>2.3596103309042105E-2</v>
      </c>
      <c r="I101" s="231">
        <f>+I98/I116</f>
        <v>2.340815084049867E-2</v>
      </c>
      <c r="J101" s="231">
        <f>+J98/J116</f>
        <v>1.8985334698237145E-2</v>
      </c>
      <c r="K101" s="231">
        <f>+K98/K116</f>
        <v>1.8781220996566424E-2</v>
      </c>
      <c r="L101" s="231">
        <f>+L98/L116</f>
        <v>2.1234350545338926E-2</v>
      </c>
      <c r="M101" s="231">
        <f>+M98/M116</f>
        <v>2.136491935234253E-2</v>
      </c>
      <c r="N101" s="231">
        <f>+N98/N116</f>
        <v>2.3344557816223209E-2</v>
      </c>
      <c r="O101" s="231">
        <f>+O98/O116</f>
        <v>2.3537791048978723E-2</v>
      </c>
      <c r="P101" s="465">
        <f>+P98/P116</f>
        <v>2.4929668627000825E-2</v>
      </c>
    </row>
    <row r="102" spans="1:17" s="229" customFormat="1" ht="15" customHeight="1" x14ac:dyDescent="0.3">
      <c r="A102" s="229" t="s">
        <v>318</v>
      </c>
      <c r="B102" s="612">
        <f>+B98/B117</f>
        <v>0.85057563958992433</v>
      </c>
      <c r="C102" s="612">
        <f>+C98/C117</f>
        <v>1.0467343757443976</v>
      </c>
      <c r="D102" s="612">
        <f>+D98/D117</f>
        <v>1.0776583843267538</v>
      </c>
      <c r="E102" s="612">
        <f>+E98/E117</f>
        <v>1.1106709037989801</v>
      </c>
      <c r="F102" s="612">
        <f>+F98/F117</f>
        <v>1.2207879662280081</v>
      </c>
      <c r="G102" s="612">
        <f>+G98/G117</f>
        <v>1.9143133143868687</v>
      </c>
      <c r="H102" s="612">
        <f>+H98/H117</f>
        <v>2.1297356979932802</v>
      </c>
      <c r="I102" s="612">
        <f>+I98/I117</f>
        <v>2.0488800037864943</v>
      </c>
      <c r="J102" s="612">
        <f>+J98/J117</f>
        <v>1.7415319231192283</v>
      </c>
      <c r="K102" s="612">
        <f>+K98/K117</f>
        <v>1.894216603215586</v>
      </c>
      <c r="L102" s="612">
        <f>+L98/L117</f>
        <v>2.2736919504256417</v>
      </c>
      <c r="M102" s="612">
        <f>+M98/M117</f>
        <v>2.6333591999179906</v>
      </c>
      <c r="N102" s="612">
        <f>+N98/N117</f>
        <v>3.7118751822371636</v>
      </c>
      <c r="O102" s="612">
        <f>+O98/O117</f>
        <v>4.2697029994380822</v>
      </c>
      <c r="P102" s="618">
        <f>+P98/P117</f>
        <v>4.9902969027312851</v>
      </c>
    </row>
    <row r="103" spans="1:17" s="229" customFormat="1" ht="15" customHeight="1" x14ac:dyDescent="0.3">
      <c r="A103" s="229" t="s">
        <v>338</v>
      </c>
      <c r="B103" s="231">
        <f>+B102/B118</f>
        <v>5.3728891861344684E-2</v>
      </c>
      <c r="C103" s="231">
        <f>+C102/C118</f>
        <v>6.4301252917597196E-2</v>
      </c>
      <c r="D103" s="231">
        <f>+D102/D118</f>
        <v>6.3901225556659683E-2</v>
      </c>
      <c r="E103" s="231">
        <f>+E102/E118</f>
        <v>5.9233127891816041E-2</v>
      </c>
      <c r="F103" s="231">
        <f>+F102/F118</f>
        <v>5.8747086977536916E-2</v>
      </c>
      <c r="G103" s="231">
        <f>+G102/G118</f>
        <v>8.2559339598314449E-2</v>
      </c>
      <c r="H103" s="231">
        <f>+H102/H118</f>
        <v>7.645562646803257E-2</v>
      </c>
      <c r="I103" s="231">
        <f>+I102/I118</f>
        <v>5.807008962382023E-2</v>
      </c>
      <c r="J103" s="231">
        <f>+J102/J118</f>
        <v>4.5531674800757885E-2</v>
      </c>
      <c r="K103" s="231">
        <f>+K102/K118</f>
        <v>4.5430305869183021E-2</v>
      </c>
      <c r="L103" s="231">
        <f>+L102/L118</f>
        <v>4.9758111964916037E-2</v>
      </c>
      <c r="M103" s="231">
        <f>+M102/M118</f>
        <v>5.3029908572999128E-2</v>
      </c>
      <c r="N103" s="231">
        <f>+N102/N118</f>
        <v>6.6503302563243216E-2</v>
      </c>
      <c r="O103" s="231">
        <f>+O102/O118</f>
        <v>6.9020694707475488E-2</v>
      </c>
      <c r="P103" s="465">
        <f>+P102/P118</f>
        <v>7.386206499432503E-2</v>
      </c>
    </row>
    <row r="104" spans="1:17" s="229" customFormat="1" ht="15" customHeight="1" thickBot="1" x14ac:dyDescent="0.35">
      <c r="A104" s="241" t="s">
        <v>603</v>
      </c>
      <c r="B104" s="478">
        <f>+B102/B120</f>
        <v>3.5958580798420882E-2</v>
      </c>
      <c r="C104" s="478">
        <f>+C102/C120</f>
        <v>4.0937877819794417E-2</v>
      </c>
      <c r="D104" s="478">
        <f>+D102/D120</f>
        <v>3.8738991678946066E-2</v>
      </c>
      <c r="E104" s="478">
        <f>+E102/E120</f>
        <v>3.4498646776577283E-2</v>
      </c>
      <c r="F104" s="478">
        <f>+F102/F120</f>
        <v>3.3537202232548156E-2</v>
      </c>
      <c r="G104" s="478">
        <f>+G102/G120</f>
        <v>5.1172587327350111E-2</v>
      </c>
      <c r="H104" s="478">
        <f>+H102/H120</f>
        <v>5.283087860015289E-2</v>
      </c>
      <c r="I104" s="478">
        <f>+I102/I120</f>
        <v>4.5172678414026807E-2</v>
      </c>
      <c r="J104" s="478">
        <f>+J102/J120</f>
        <v>3.6517004449243121E-2</v>
      </c>
      <c r="K104" s="478">
        <f>+K102/K120</f>
        <v>3.7945749741921046E-2</v>
      </c>
      <c r="L104" s="478">
        <f>+L102/L120</f>
        <v>4.3110674432351039E-2</v>
      </c>
      <c r="M104" s="478">
        <f>+M102/M120</f>
        <v>4.6759416813540781E-2</v>
      </c>
      <c r="N104" s="478">
        <f>+N102/N120</f>
        <v>6.0374496817797628E-2</v>
      </c>
      <c r="O104" s="478">
        <f>+O102/O120</f>
        <v>6.4928270445730032E-2</v>
      </c>
      <c r="P104" s="466">
        <f>+P102/P120</f>
        <v>7.1168963431972335E-2</v>
      </c>
    </row>
    <row r="105" spans="1:17" s="229" customFormat="1" ht="15" customHeight="1" x14ac:dyDescent="0.3">
      <c r="A105" s="230" t="s">
        <v>566</v>
      </c>
      <c r="P105" s="614"/>
    </row>
    <row r="106" spans="1:17" s="229" customFormat="1" ht="15" customHeight="1" x14ac:dyDescent="0.3">
      <c r="A106" s="243" t="s">
        <v>570</v>
      </c>
      <c r="P106" s="614"/>
    </row>
    <row r="107" spans="1:17" s="229" customFormat="1" ht="15" customHeight="1" x14ac:dyDescent="0.3">
      <c r="A107" s="243" t="s">
        <v>571</v>
      </c>
      <c r="P107" s="614"/>
    </row>
    <row r="108" spans="1:17" s="229" customFormat="1" ht="15" customHeight="1" x14ac:dyDescent="0.3">
      <c r="A108" s="243" t="s">
        <v>568</v>
      </c>
      <c r="P108" s="614"/>
    </row>
    <row r="109" spans="1:17" s="229" customFormat="1" ht="15" customHeight="1" x14ac:dyDescent="0.3">
      <c r="A109" s="243" t="s">
        <v>569</v>
      </c>
      <c r="B109" s="509"/>
      <c r="C109" s="509"/>
      <c r="D109" s="509"/>
      <c r="E109" s="509"/>
      <c r="F109" s="509"/>
      <c r="G109" s="509"/>
      <c r="H109" s="509"/>
      <c r="I109" s="509"/>
    </row>
    <row r="110" spans="1:17" s="229" customFormat="1" ht="15" customHeight="1" x14ac:dyDescent="0.3">
      <c r="A110" s="243"/>
      <c r="B110" s="509"/>
      <c r="C110" s="509"/>
      <c r="D110" s="509"/>
      <c r="E110" s="509"/>
      <c r="F110" s="509"/>
      <c r="G110" s="509"/>
      <c r="H110" s="509"/>
      <c r="I110" s="509"/>
    </row>
    <row r="111" spans="1:17" s="229" customFormat="1" ht="15" customHeight="1" thickBot="1" x14ac:dyDescent="0.35"/>
    <row r="112" spans="1:17" s="229" customFormat="1" ht="25.05" customHeight="1" thickBot="1" x14ac:dyDescent="0.35">
      <c r="A112" s="410" t="s">
        <v>163</v>
      </c>
      <c r="B112" s="411" t="s">
        <v>174</v>
      </c>
      <c r="C112" s="411" t="s">
        <v>175</v>
      </c>
      <c r="D112" s="411" t="s">
        <v>176</v>
      </c>
      <c r="E112" s="411" t="s">
        <v>177</v>
      </c>
      <c r="F112" s="411" t="s">
        <v>178</v>
      </c>
      <c r="G112" s="411" t="s">
        <v>179</v>
      </c>
      <c r="H112" s="411" t="s">
        <v>180</v>
      </c>
      <c r="I112" s="411" t="s">
        <v>181</v>
      </c>
      <c r="J112" s="411" t="s">
        <v>182</v>
      </c>
      <c r="K112" s="411" t="s">
        <v>183</v>
      </c>
      <c r="L112" s="411" t="s">
        <v>184</v>
      </c>
      <c r="M112" s="411" t="s">
        <v>185</v>
      </c>
      <c r="N112" s="411" t="s">
        <v>186</v>
      </c>
      <c r="O112" s="411" t="s">
        <v>187</v>
      </c>
      <c r="P112" s="412" t="s">
        <v>188</v>
      </c>
    </row>
    <row r="113" spans="1:17" s="229" customFormat="1" ht="4.95" customHeight="1" x14ac:dyDescent="0.3">
      <c r="B113" s="512"/>
      <c r="C113" s="512"/>
      <c r="D113" s="512"/>
      <c r="E113" s="512"/>
      <c r="F113" s="512"/>
      <c r="G113" s="512"/>
      <c r="H113" s="512"/>
      <c r="I113" s="512"/>
      <c r="J113" s="512"/>
      <c r="K113" s="512"/>
      <c r="L113" s="512"/>
      <c r="M113" s="512"/>
      <c r="N113" s="512"/>
      <c r="O113" s="512"/>
      <c r="P113" s="517"/>
    </row>
    <row r="114" spans="1:17" s="229" customFormat="1" ht="15" customHeight="1" x14ac:dyDescent="0.3">
      <c r="A114" s="229" t="s">
        <v>374</v>
      </c>
      <c r="B114" s="512">
        <v>11703200</v>
      </c>
      <c r="C114" s="512">
        <v>14941700</v>
      </c>
      <c r="D114" s="512">
        <v>15967000</v>
      </c>
      <c r="E114" s="512">
        <v>18343400</v>
      </c>
      <c r="F114" s="512">
        <v>21158000</v>
      </c>
      <c r="G114" s="512">
        <v>23819300</v>
      </c>
      <c r="H114" s="512">
        <v>28182200</v>
      </c>
      <c r="I114" s="512">
        <v>29870600</v>
      </c>
      <c r="J114" s="512">
        <v>31762593</v>
      </c>
      <c r="K114" s="512">
        <v>36698800</v>
      </c>
      <c r="L114" s="512">
        <v>42490700</v>
      </c>
      <c r="M114" s="512">
        <v>46513200</v>
      </c>
      <c r="N114" s="512">
        <v>54639100</v>
      </c>
      <c r="O114" s="512">
        <v>63640700</v>
      </c>
      <c r="P114" s="517">
        <v>72772100</v>
      </c>
    </row>
    <row r="115" spans="1:17" s="229" customFormat="1" ht="15" customHeight="1" x14ac:dyDescent="0.3">
      <c r="A115" s="229" t="s">
        <v>567</v>
      </c>
      <c r="B115" s="512">
        <v>4892700</v>
      </c>
      <c r="C115" s="512">
        <v>6297900</v>
      </c>
      <c r="D115" s="512">
        <v>7352600</v>
      </c>
      <c r="E115" s="512">
        <v>9107100</v>
      </c>
      <c r="F115" s="512">
        <v>10324500</v>
      </c>
      <c r="G115" s="512">
        <v>12298900</v>
      </c>
      <c r="H115" s="512">
        <v>15161100</v>
      </c>
      <c r="I115" s="512">
        <v>16431200</v>
      </c>
      <c r="J115" s="512">
        <v>17406800</v>
      </c>
      <c r="K115" s="512">
        <v>19915000</v>
      </c>
      <c r="L115" s="512">
        <v>23553800</v>
      </c>
      <c r="M115" s="512">
        <v>26334900</v>
      </c>
      <c r="N115" s="512">
        <v>31424600</v>
      </c>
      <c r="O115" s="512">
        <v>36691800</v>
      </c>
      <c r="P115" s="517">
        <v>40216100</v>
      </c>
    </row>
    <row r="116" spans="1:17" s="229" customFormat="1" ht="15" customHeight="1" x14ac:dyDescent="0.3">
      <c r="A116" s="229" t="s">
        <v>387</v>
      </c>
      <c r="B116" s="512">
        <v>57376327.391210206</v>
      </c>
      <c r="C116" s="512">
        <v>61958511.250856601</v>
      </c>
      <c r="D116" s="512">
        <v>71155553.509144902</v>
      </c>
      <c r="E116" s="512">
        <v>81524369.7866368</v>
      </c>
      <c r="F116" s="512">
        <v>118837710.206239</v>
      </c>
      <c r="G116" s="512">
        <v>136950178.46523002</v>
      </c>
      <c r="H116" s="512">
        <v>164602372.649694</v>
      </c>
      <c r="I116" s="512">
        <v>168791309.92791399</v>
      </c>
      <c r="J116" s="512">
        <v>187052641.85212299</v>
      </c>
      <c r="K116" s="512">
        <v>219182209.808375</v>
      </c>
      <c r="L116" s="512">
        <v>247993870.96504</v>
      </c>
      <c r="M116" s="512">
        <v>271529826.45248097</v>
      </c>
      <c r="N116" s="512">
        <v>308403123.36471003</v>
      </c>
      <c r="O116" s="512">
        <v>347462641.62242699</v>
      </c>
      <c r="P116" s="517">
        <v>378661482.60867298</v>
      </c>
    </row>
    <row r="117" spans="1:17" s="229" customFormat="1" ht="15" customHeight="1" x14ac:dyDescent="0.3">
      <c r="A117" s="229" t="s">
        <v>383</v>
      </c>
      <c r="B117" s="512">
        <v>1460205.1478722463</v>
      </c>
      <c r="C117" s="512">
        <v>1487109.0243973369</v>
      </c>
      <c r="D117" s="512">
        <v>1514508.5974162605</v>
      </c>
      <c r="E117" s="512">
        <v>1542412.9999999995</v>
      </c>
      <c r="F117" s="512">
        <v>1630987.6572943106</v>
      </c>
      <c r="G117" s="512">
        <v>1724648.8056353161</v>
      </c>
      <c r="H117" s="512">
        <v>1823688.5420173299</v>
      </c>
      <c r="I117" s="232">
        <v>1928415.7374058201</v>
      </c>
      <c r="J117" s="232">
        <v>2039157</v>
      </c>
      <c r="K117" s="232">
        <v>2173198.9435309414</v>
      </c>
      <c r="L117" s="232">
        <v>2316052</v>
      </c>
      <c r="M117" s="232">
        <v>2202970.5799700562</v>
      </c>
      <c r="N117" s="232">
        <v>1939595</v>
      </c>
      <c r="O117" s="232">
        <v>1915473.5251869282</v>
      </c>
      <c r="P117" s="235">
        <v>1891652.0333843085</v>
      </c>
      <c r="Q117" s="616"/>
    </row>
    <row r="118" spans="1:17" s="229" customFormat="1" ht="15" customHeight="1" x14ac:dyDescent="0.3">
      <c r="A118" s="229" t="s">
        <v>367</v>
      </c>
      <c r="B118" s="486">
        <v>15.830880000000001</v>
      </c>
      <c r="C118" s="486">
        <v>16.278599999999997</v>
      </c>
      <c r="D118" s="486">
        <v>16.864439999999998</v>
      </c>
      <c r="E118" s="486">
        <v>18.750840000000004</v>
      </c>
      <c r="F118" s="486">
        <v>20.7804</v>
      </c>
      <c r="G118" s="486">
        <v>23.187119999999997</v>
      </c>
      <c r="H118" s="486">
        <v>27.855839999999997</v>
      </c>
      <c r="I118" s="486">
        <v>35.282879999999999</v>
      </c>
      <c r="J118" s="486">
        <v>38.248800000000003</v>
      </c>
      <c r="K118" s="486">
        <v>41.695</v>
      </c>
      <c r="L118" s="486">
        <v>45.694899999999997</v>
      </c>
      <c r="M118" s="486">
        <v>49.658000000000001</v>
      </c>
      <c r="N118" s="486">
        <v>55.814900000000002</v>
      </c>
      <c r="O118" s="486">
        <v>61.861199999999997</v>
      </c>
      <c r="P118" s="619">
        <v>67.56237999999999</v>
      </c>
    </row>
    <row r="119" spans="1:17" s="229" customFormat="1" ht="15" customHeight="1" x14ac:dyDescent="0.3">
      <c r="A119" s="229" t="s">
        <v>353</v>
      </c>
      <c r="B119" s="486">
        <v>37.613999999999997</v>
      </c>
      <c r="C119" s="486">
        <v>40.658399999999993</v>
      </c>
      <c r="D119" s="486">
        <v>44.235600000000005</v>
      </c>
      <c r="E119" s="486">
        <v>51.194399999999995</v>
      </c>
      <c r="F119" s="486">
        <v>57.883200000000002</v>
      </c>
      <c r="G119" s="486">
        <v>59.485999999999997</v>
      </c>
      <c r="H119" s="486">
        <v>64.102800000000002</v>
      </c>
      <c r="I119" s="486">
        <v>72.123999999999967</v>
      </c>
      <c r="J119" s="486">
        <v>75.835999999999999</v>
      </c>
      <c r="K119" s="486">
        <v>79.379000000000005</v>
      </c>
      <c r="L119" s="486">
        <v>83.866</v>
      </c>
      <c r="M119" s="486">
        <v>89.552999999999997</v>
      </c>
      <c r="N119" s="486">
        <v>97.763999999999996</v>
      </c>
      <c r="O119" s="486">
        <v>104.569</v>
      </c>
      <c r="P119" s="619">
        <v>111.5</v>
      </c>
    </row>
    <row r="120" spans="1:17" s="229" customFormat="1" ht="15" customHeight="1" x14ac:dyDescent="0.3">
      <c r="A120" s="238" t="s">
        <v>366</v>
      </c>
      <c r="B120" s="522">
        <v>23.654316179999999</v>
      </c>
      <c r="C120" s="522">
        <v>25.568848007999996</v>
      </c>
      <c r="D120" s="522">
        <v>27.818441772000003</v>
      </c>
      <c r="E120" s="522">
        <v>32.194622328000001</v>
      </c>
      <c r="F120" s="522">
        <v>36.401007984000003</v>
      </c>
      <c r="G120" s="522">
        <v>37.408960819999997</v>
      </c>
      <c r="H120" s="522">
        <v>40.312327836000001</v>
      </c>
      <c r="I120" s="522">
        <v>45.356619879999982</v>
      </c>
      <c r="J120" s="522">
        <v>47.690985320000003</v>
      </c>
      <c r="K120" s="522">
        <v>49.919071730000006</v>
      </c>
      <c r="L120" s="522">
        <v>52.74081142</v>
      </c>
      <c r="M120" s="522">
        <v>56.31719511</v>
      </c>
      <c r="N120" s="522">
        <v>61.480846679999999</v>
      </c>
      <c r="O120" s="522">
        <v>65.760307030000007</v>
      </c>
      <c r="P120" s="621">
        <v>70.119005000000001</v>
      </c>
      <c r="Q120" s="616"/>
    </row>
    <row r="121" spans="1:17" x14ac:dyDescent="0.3">
      <c r="A121" s="243" t="s">
        <v>569</v>
      </c>
    </row>
    <row r="122" spans="1:17" x14ac:dyDescent="0.3">
      <c r="A122" s="243" t="s">
        <v>571</v>
      </c>
    </row>
    <row r="127" spans="1:17" x14ac:dyDescent="0.3">
      <c r="A127" s="601"/>
    </row>
    <row r="128" spans="1:17" x14ac:dyDescent="0.3">
      <c r="A128" s="601"/>
    </row>
  </sheetData>
  <printOptions horizontalCentered="1" verticalCentered="1"/>
  <pageMargins left="0.31496062992125984" right="0.31496062992125984" top="0.35433070866141736" bottom="0.35433070866141736" header="0.31496062992125984" footer="0.31496062992125984"/>
  <pageSetup scale="47" orientation="landscape" r:id="rId1"/>
  <ignoredErrors>
    <ignoredError sqref="B112:P112" numberStoredAsText="1"/>
    <ignoredError sqref="B46:P4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tabSelected="1" zoomScale="80" zoomScaleNormal="80" workbookViewId="0">
      <pane xSplit="1" ySplit="4" topLeftCell="B5" activePane="bottomRight" state="frozen"/>
      <selection pane="topRight" activeCell="B1" sqref="B1"/>
      <selection pane="bottomLeft" activeCell="A5" sqref="A5"/>
      <selection pane="bottomRight" activeCell="A49" sqref="A49"/>
    </sheetView>
  </sheetViews>
  <sheetFormatPr defaultColWidth="11.44140625" defaultRowHeight="14.4" x14ac:dyDescent="0.3"/>
  <cols>
    <col min="1" max="1" width="69" style="624" customWidth="1"/>
    <col min="2" max="28" width="12.77734375" style="624" customWidth="1"/>
    <col min="29" max="16384" width="11.44140625" style="624"/>
  </cols>
  <sheetData>
    <row r="1" spans="1:7" ht="30" customHeight="1" x14ac:dyDescent="0.3">
      <c r="A1" s="714" t="s">
        <v>572</v>
      </c>
      <c r="B1" s="623"/>
      <c r="C1" s="623"/>
      <c r="D1" s="623"/>
      <c r="E1" s="623"/>
      <c r="F1" s="623"/>
      <c r="G1" s="623"/>
    </row>
    <row r="2" spans="1:7" ht="30" customHeight="1" x14ac:dyDescent="0.3">
      <c r="A2" s="623"/>
      <c r="B2" s="623"/>
      <c r="C2" s="623"/>
      <c r="D2" s="623"/>
      <c r="E2" s="623"/>
      <c r="F2" s="623"/>
      <c r="G2" s="623"/>
    </row>
    <row r="3" spans="1:7" s="626" customFormat="1" ht="19.95" customHeight="1" thickBot="1" x14ac:dyDescent="0.35">
      <c r="A3" s="718" t="s">
        <v>573</v>
      </c>
      <c r="B3" s="625"/>
      <c r="C3" s="625"/>
      <c r="D3" s="625"/>
      <c r="E3" s="625"/>
      <c r="F3" s="625"/>
      <c r="G3" s="625"/>
    </row>
    <row r="4" spans="1:7" s="626" customFormat="1" ht="25.05" customHeight="1" thickBot="1" x14ac:dyDescent="0.35">
      <c r="A4" s="391" t="s">
        <v>260</v>
      </c>
      <c r="B4" s="627">
        <v>2010</v>
      </c>
      <c r="C4" s="627">
        <v>2011</v>
      </c>
      <c r="D4" s="627">
        <v>2012</v>
      </c>
      <c r="E4" s="627">
        <v>2013</v>
      </c>
      <c r="F4" s="627">
        <v>2014</v>
      </c>
      <c r="G4" s="628">
        <v>2015</v>
      </c>
    </row>
    <row r="5" spans="1:7" s="626" customFormat="1" ht="4.95" customHeight="1" x14ac:dyDescent="0.3">
      <c r="B5" s="629"/>
      <c r="C5" s="629"/>
      <c r="D5" s="629"/>
      <c r="E5" s="629"/>
      <c r="F5" s="629"/>
      <c r="G5" s="630"/>
    </row>
    <row r="6" spans="1:7" s="626" customFormat="1" ht="15" customHeight="1" x14ac:dyDescent="0.3">
      <c r="A6" s="733" t="s">
        <v>264</v>
      </c>
      <c r="B6" s="631"/>
      <c r="C6" s="631"/>
      <c r="D6" s="631"/>
      <c r="E6" s="631"/>
      <c r="F6" s="631"/>
      <c r="G6" s="632"/>
    </row>
    <row r="7" spans="1:7" s="626" customFormat="1" ht="15" customHeight="1" x14ac:dyDescent="0.3">
      <c r="A7" s="626" t="s">
        <v>253</v>
      </c>
      <c r="B7" s="633">
        <v>0</v>
      </c>
      <c r="C7" s="633">
        <v>3475.1941299999999</v>
      </c>
      <c r="D7" s="633">
        <v>4161.3283460000002</v>
      </c>
      <c r="E7" s="633">
        <v>2252.8064509999999</v>
      </c>
      <c r="F7" s="633">
        <v>0</v>
      </c>
      <c r="G7" s="634">
        <v>0</v>
      </c>
    </row>
    <row r="8" spans="1:7" s="626" customFormat="1" ht="15" customHeight="1" x14ac:dyDescent="0.3">
      <c r="A8" s="626" t="s">
        <v>250</v>
      </c>
      <c r="B8" s="635">
        <v>62973.842298488009</v>
      </c>
      <c r="C8" s="635">
        <v>78892.944312978012</v>
      </c>
      <c r="D8" s="635">
        <v>99789.971968980011</v>
      </c>
      <c r="E8" s="635">
        <v>60454.493107646987</v>
      </c>
      <c r="F8" s="635">
        <v>5474.3847121783383</v>
      </c>
      <c r="G8" s="636">
        <v>0</v>
      </c>
    </row>
    <row r="9" spans="1:7" s="626" customFormat="1" ht="15" customHeight="1" x14ac:dyDescent="0.3">
      <c r="A9" s="626" t="s">
        <v>254</v>
      </c>
      <c r="B9" s="637">
        <v>0</v>
      </c>
      <c r="C9" s="637">
        <v>2723.3708630000001</v>
      </c>
      <c r="D9" s="637">
        <v>2201.3946080000001</v>
      </c>
      <c r="E9" s="637">
        <v>3272.1740009999999</v>
      </c>
      <c r="F9" s="637">
        <v>967.36666500000001</v>
      </c>
      <c r="G9" s="636">
        <f>+F9*1.11</f>
        <v>1073.7769981500001</v>
      </c>
    </row>
    <row r="10" spans="1:7" s="626" customFormat="1" ht="15" customHeight="1" x14ac:dyDescent="0.3">
      <c r="A10" s="109" t="s">
        <v>263</v>
      </c>
      <c r="B10" s="638"/>
      <c r="C10" s="638"/>
      <c r="D10" s="638"/>
      <c r="E10" s="638"/>
      <c r="F10" s="638"/>
      <c r="G10" s="639"/>
    </row>
    <row r="11" spans="1:7" s="626" customFormat="1" ht="15" customHeight="1" x14ac:dyDescent="0.3">
      <c r="A11" s="640" t="s">
        <v>251</v>
      </c>
      <c r="B11" s="633">
        <v>123406.04223314402</v>
      </c>
      <c r="C11" s="633">
        <v>102485.58443314201</v>
      </c>
      <c r="D11" s="633">
        <v>128698.86361787999</v>
      </c>
      <c r="E11" s="633">
        <v>94182.256194201982</v>
      </c>
      <c r="F11" s="633">
        <v>170510.80534541202</v>
      </c>
      <c r="G11" s="641">
        <v>0</v>
      </c>
    </row>
    <row r="12" spans="1:7" s="626" customFormat="1" ht="15" customHeight="1" x14ac:dyDescent="0.3">
      <c r="A12" s="733" t="s">
        <v>262</v>
      </c>
      <c r="B12" s="642"/>
      <c r="C12" s="642"/>
      <c r="D12" s="642"/>
      <c r="E12" s="642"/>
      <c r="F12" s="642"/>
      <c r="G12" s="643"/>
    </row>
    <row r="13" spans="1:7" s="626" customFormat="1" ht="15" customHeight="1" x14ac:dyDescent="0.3">
      <c r="A13" s="626" t="s">
        <v>255</v>
      </c>
      <c r="B13" s="635">
        <v>1517850.7075603963</v>
      </c>
      <c r="C13" s="635">
        <v>1847897.3011327139</v>
      </c>
      <c r="D13" s="635">
        <v>2352151.9565834403</v>
      </c>
      <c r="E13" s="635">
        <v>2251060.0355145964</v>
      </c>
      <c r="F13" s="635">
        <v>2681993.6926935976</v>
      </c>
      <c r="G13" s="644">
        <v>0</v>
      </c>
    </row>
    <row r="14" spans="1:7" s="626" customFormat="1" ht="15" customHeight="1" x14ac:dyDescent="0.3">
      <c r="A14" s="168" t="s">
        <v>261</v>
      </c>
      <c r="B14" s="631"/>
      <c r="C14" s="631"/>
      <c r="D14" s="631"/>
      <c r="E14" s="631"/>
      <c r="F14" s="631"/>
      <c r="G14" s="632"/>
    </row>
    <row r="15" spans="1:7" s="626" customFormat="1" ht="15" customHeight="1" x14ac:dyDescent="0.3">
      <c r="A15" s="626" t="s">
        <v>161</v>
      </c>
      <c r="B15" s="637">
        <v>1113</v>
      </c>
      <c r="C15" s="637">
        <v>36576</v>
      </c>
      <c r="D15" s="637">
        <v>181168</v>
      </c>
      <c r="E15" s="637">
        <v>362147.72974400001</v>
      </c>
      <c r="F15" s="637">
        <v>530624.29060800001</v>
      </c>
      <c r="G15" s="636">
        <v>722055.30368400004</v>
      </c>
    </row>
    <row r="16" spans="1:7" s="626" customFormat="1" ht="15" customHeight="1" x14ac:dyDescent="0.3">
      <c r="A16" s="733" t="s">
        <v>265</v>
      </c>
      <c r="B16" s="645"/>
      <c r="C16" s="645"/>
      <c r="D16" s="645"/>
      <c r="E16" s="645"/>
      <c r="F16" s="645"/>
      <c r="G16" s="646"/>
    </row>
    <row r="17" spans="1:7" s="626" customFormat="1" ht="15" customHeight="1" x14ac:dyDescent="0.3">
      <c r="A17" s="647" t="s">
        <v>256</v>
      </c>
      <c r="B17" s="648">
        <v>15913.547917</v>
      </c>
      <c r="C17" s="648">
        <v>18282.809991999999</v>
      </c>
      <c r="D17" s="648">
        <v>20377.635700999999</v>
      </c>
      <c r="E17" s="648">
        <v>21234.222893999999</v>
      </c>
      <c r="F17" s="648">
        <v>21913.21255</v>
      </c>
      <c r="G17" s="649">
        <v>21043.427497000001</v>
      </c>
    </row>
    <row r="18" spans="1:7" s="626" customFormat="1" ht="15" customHeight="1" x14ac:dyDescent="0.3">
      <c r="A18" s="650" t="s">
        <v>307</v>
      </c>
      <c r="B18" s="651">
        <f>+SUM(B13:B15)</f>
        <v>1518963.7075603963</v>
      </c>
      <c r="C18" s="651">
        <f t="shared" ref="C18:G18" si="0">+SUM(C13:C15)</f>
        <v>1884473.3011327139</v>
      </c>
      <c r="D18" s="651">
        <f t="shared" si="0"/>
        <v>2533319.9565834403</v>
      </c>
      <c r="E18" s="651">
        <f t="shared" si="0"/>
        <v>2613207.7652585963</v>
      </c>
      <c r="F18" s="651">
        <f t="shared" si="0"/>
        <v>3212617.9833015976</v>
      </c>
      <c r="G18" s="652">
        <f t="shared" si="0"/>
        <v>722055.30368400004</v>
      </c>
    </row>
    <row r="19" spans="1:7" s="626" customFormat="1" ht="15" customHeight="1" x14ac:dyDescent="0.3">
      <c r="A19" s="626" t="s">
        <v>312</v>
      </c>
      <c r="B19" s="653">
        <f>+B18/B59</f>
        <v>4.9735508820719768E-2</v>
      </c>
      <c r="C19" s="653">
        <f>+C18/C59</f>
        <v>5.2502414349734884E-2</v>
      </c>
      <c r="D19" s="653">
        <f>+D18/D59</f>
        <v>5.0067876133479933E-2</v>
      </c>
      <c r="E19" s="653">
        <f>+E18/E59</f>
        <v>5.8473467080834597E-2</v>
      </c>
      <c r="F19" s="653">
        <f>+F18/F59</f>
        <v>6.3001791024083681E-2</v>
      </c>
      <c r="G19" s="654">
        <f>+G18/G59</f>
        <v>1.0125157891061422E-2</v>
      </c>
    </row>
    <row r="20" spans="1:7" s="626" customFormat="1" ht="15" customHeight="1" x14ac:dyDescent="0.3">
      <c r="A20" s="626" t="s">
        <v>271</v>
      </c>
      <c r="B20" s="653">
        <f>+B18/B60</f>
        <v>0.12072646649005472</v>
      </c>
      <c r="C20" s="653">
        <f>+C18/C60</f>
        <v>0.11953341999646078</v>
      </c>
      <c r="D20" s="653">
        <f>+D18/D60</f>
        <v>0.13042915202383709</v>
      </c>
      <c r="E20" s="653">
        <f>+E18/E60</f>
        <v>0.12199736421399569</v>
      </c>
      <c r="F20" s="653">
        <f>+F18/F60</f>
        <v>0.13592916737051097</v>
      </c>
      <c r="G20" s="654">
        <f>+G18/G60</f>
        <v>2.6111881799588302E-2</v>
      </c>
    </row>
    <row r="21" spans="1:7" s="626" customFormat="1" ht="15" customHeight="1" x14ac:dyDescent="0.3">
      <c r="A21" s="626" t="s">
        <v>309</v>
      </c>
      <c r="B21" s="653">
        <f>+B18/B61</f>
        <v>1.6000164578541726E-2</v>
      </c>
      <c r="C21" s="653">
        <f>+C18/C61</f>
        <v>1.791269706257204E-2</v>
      </c>
      <c r="D21" s="653">
        <f>+D18/D61</f>
        <v>2.3277288819719369E-2</v>
      </c>
      <c r="E21" s="653">
        <f>+E18/E61</f>
        <v>2.0880230852173491E-2</v>
      </c>
      <c r="F21" s="653">
        <f>+F18/F61</f>
        <v>2.3314019755253542E-2</v>
      </c>
      <c r="G21" s="654">
        <f>+G18/G61</f>
        <v>5.0221522376021326E-3</v>
      </c>
    </row>
    <row r="22" spans="1:7" s="626" customFormat="1" ht="15" customHeight="1" x14ac:dyDescent="0.3">
      <c r="A22" s="626" t="s">
        <v>310</v>
      </c>
      <c r="B22" s="655">
        <f>+B18/B63</f>
        <v>0.6225099611352034</v>
      </c>
      <c r="C22" s="655">
        <f>+C18/C63</f>
        <v>0.75542655279491044</v>
      </c>
      <c r="D22" s="655">
        <f>+D18/D63</f>
        <v>0.96324236933240537</v>
      </c>
      <c r="E22" s="655">
        <f>+E18/E63</f>
        <v>0.99871105976109387</v>
      </c>
      <c r="F22" s="655">
        <f>+F18/F63</f>
        <v>1.2590942392240572</v>
      </c>
      <c r="G22" s="656"/>
    </row>
    <row r="23" spans="1:7" s="626" customFormat="1" ht="15" customHeight="1" x14ac:dyDescent="0.3">
      <c r="A23" s="626" t="s">
        <v>311</v>
      </c>
      <c r="B23" s="657">
        <f>+B22/B65</f>
        <v>3.1765101072903514E-2</v>
      </c>
      <c r="C23" s="657">
        <f>+C22/C65</f>
        <v>3.5043187461330942E-2</v>
      </c>
      <c r="D23" s="657">
        <f>+D22/D65</f>
        <v>4.4683474249516048E-2</v>
      </c>
      <c r="E23" s="657">
        <f>+E22/E65</f>
        <v>4.632881748388061E-2</v>
      </c>
      <c r="F23" s="657">
        <f>+F22/F65</f>
        <v>5.3097852322016151E-2</v>
      </c>
      <c r="G23" s="658"/>
    </row>
    <row r="24" spans="1:7" s="626" customFormat="1" ht="15" customHeight="1" thickBot="1" x14ac:dyDescent="0.35">
      <c r="A24" s="241" t="s">
        <v>602</v>
      </c>
      <c r="B24" s="659">
        <f>+B22/B68</f>
        <v>3.8289266699093827E-2</v>
      </c>
      <c r="C24" s="659">
        <f>+C22/C68</f>
        <v>3.955256142237773E-2</v>
      </c>
      <c r="D24" s="659">
        <f>+D22/D68</f>
        <v>6.0849201271384427E-2</v>
      </c>
      <c r="E24" s="659">
        <f>+E22/E68</f>
        <v>5.4084317733973625E-2</v>
      </c>
      <c r="F24" s="659">
        <f>+F22/F68</f>
        <v>5.4069642293778496E-2</v>
      </c>
      <c r="G24" s="660"/>
    </row>
    <row r="25" spans="1:7" s="626" customFormat="1" ht="15" customHeight="1" x14ac:dyDescent="0.3"/>
    <row r="26" spans="1:7" s="626" customFormat="1" ht="15" customHeight="1" x14ac:dyDescent="0.3"/>
    <row r="27" spans="1:7" s="626" customFormat="1" ht="19.95" customHeight="1" thickBot="1" x14ac:dyDescent="0.35">
      <c r="A27" s="718" t="s">
        <v>574</v>
      </c>
      <c r="B27" s="625"/>
      <c r="C27" s="625"/>
      <c r="D27" s="625"/>
      <c r="E27" s="625"/>
      <c r="F27" s="625"/>
      <c r="G27" s="625"/>
    </row>
    <row r="28" spans="1:7" s="626" customFormat="1" ht="25.05" customHeight="1" thickBot="1" x14ac:dyDescent="0.35">
      <c r="A28" s="391" t="s">
        <v>260</v>
      </c>
      <c r="B28" s="627">
        <v>2010</v>
      </c>
      <c r="C28" s="627">
        <v>2011</v>
      </c>
      <c r="D28" s="627">
        <v>2012</v>
      </c>
      <c r="E28" s="627">
        <v>2013</v>
      </c>
      <c r="F28" s="627">
        <v>2014</v>
      </c>
      <c r="G28" s="628">
        <v>2015</v>
      </c>
    </row>
    <row r="29" spans="1:7" s="626" customFormat="1" ht="4.95" customHeight="1" x14ac:dyDescent="0.3">
      <c r="B29" s="629"/>
      <c r="C29" s="629"/>
      <c r="D29" s="629"/>
      <c r="E29" s="629"/>
      <c r="F29" s="629"/>
      <c r="G29" s="630"/>
    </row>
    <row r="30" spans="1:7" s="626" customFormat="1" ht="15" customHeight="1" x14ac:dyDescent="0.3">
      <c r="A30" s="733" t="s">
        <v>264</v>
      </c>
      <c r="B30" s="631"/>
      <c r="C30" s="631"/>
      <c r="D30" s="631"/>
      <c r="E30" s="631"/>
      <c r="F30" s="631"/>
      <c r="G30" s="632"/>
    </row>
    <row r="31" spans="1:7" s="626" customFormat="1" ht="15" customHeight="1" x14ac:dyDescent="0.3">
      <c r="A31" s="626" t="s">
        <v>253</v>
      </c>
      <c r="B31" s="633">
        <v>0</v>
      </c>
      <c r="C31" s="633">
        <v>3475.1941299999999</v>
      </c>
      <c r="D31" s="633">
        <v>4161.3283460000002</v>
      </c>
      <c r="E31" s="633">
        <v>2252.8064509999999</v>
      </c>
      <c r="F31" s="633">
        <v>0</v>
      </c>
      <c r="G31" s="634">
        <v>0</v>
      </c>
    </row>
    <row r="32" spans="1:7" s="626" customFormat="1" ht="15" customHeight="1" x14ac:dyDescent="0.3">
      <c r="A32" s="626" t="s">
        <v>250</v>
      </c>
      <c r="B32" s="635">
        <v>62973.842298488009</v>
      </c>
      <c r="C32" s="635">
        <v>78892.944312978012</v>
      </c>
      <c r="D32" s="635">
        <v>99789.971968980011</v>
      </c>
      <c r="E32" s="635">
        <v>60454.493107646987</v>
      </c>
      <c r="F32" s="635">
        <v>5474.3847121783383</v>
      </c>
      <c r="G32" s="636">
        <v>0</v>
      </c>
    </row>
    <row r="33" spans="1:7" s="626" customFormat="1" ht="15" customHeight="1" x14ac:dyDescent="0.3">
      <c r="A33" s="626" t="s">
        <v>254</v>
      </c>
      <c r="B33" s="637">
        <v>0</v>
      </c>
      <c r="C33" s="637">
        <v>2723.3708630000001</v>
      </c>
      <c r="D33" s="637">
        <v>2201.3946080000001</v>
      </c>
      <c r="E33" s="637">
        <v>3272.1740009999999</v>
      </c>
      <c r="F33" s="637">
        <v>967.36666500000001</v>
      </c>
      <c r="G33" s="636">
        <f>+F33*1.11</f>
        <v>1073.7769981500001</v>
      </c>
    </row>
    <row r="34" spans="1:7" s="626" customFormat="1" ht="15" customHeight="1" x14ac:dyDescent="0.3">
      <c r="A34" s="109" t="s">
        <v>263</v>
      </c>
      <c r="B34" s="638"/>
      <c r="C34" s="638"/>
      <c r="D34" s="638"/>
      <c r="E34" s="638"/>
      <c r="F34" s="638"/>
      <c r="G34" s="639"/>
    </row>
    <row r="35" spans="1:7" s="626" customFormat="1" ht="15" customHeight="1" x14ac:dyDescent="0.3">
      <c r="A35" s="640" t="s">
        <v>251</v>
      </c>
      <c r="B35" s="633">
        <v>123406.04223314402</v>
      </c>
      <c r="C35" s="633">
        <v>102485.58443314201</v>
      </c>
      <c r="D35" s="633">
        <v>128698.86361787999</v>
      </c>
      <c r="E35" s="633">
        <v>94182.256194201982</v>
      </c>
      <c r="F35" s="633">
        <v>170510.80534541202</v>
      </c>
      <c r="G35" s="641">
        <v>0</v>
      </c>
    </row>
    <row r="36" spans="1:7" s="626" customFormat="1" ht="15" customHeight="1" x14ac:dyDescent="0.3">
      <c r="A36" s="733" t="s">
        <v>262</v>
      </c>
      <c r="B36" s="642"/>
      <c r="C36" s="642"/>
      <c r="D36" s="642"/>
      <c r="E36" s="642"/>
      <c r="F36" s="642"/>
      <c r="G36" s="643"/>
    </row>
    <row r="37" spans="1:7" s="626" customFormat="1" ht="15" customHeight="1" x14ac:dyDescent="0.3">
      <c r="A37" s="626" t="s">
        <v>252</v>
      </c>
      <c r="B37" s="635">
        <v>1517850.7075603963</v>
      </c>
      <c r="C37" s="635">
        <v>1847897.3011327139</v>
      </c>
      <c r="D37" s="635">
        <v>2352151.9565834403</v>
      </c>
      <c r="E37" s="635">
        <v>2251060.0355145964</v>
      </c>
      <c r="F37" s="635">
        <v>2681993.6926935976</v>
      </c>
      <c r="G37" s="644">
        <v>0</v>
      </c>
    </row>
    <row r="38" spans="1:7" s="626" customFormat="1" ht="15" customHeight="1" x14ac:dyDescent="0.3">
      <c r="A38" s="168" t="s">
        <v>261</v>
      </c>
      <c r="B38" s="631"/>
      <c r="C38" s="631"/>
      <c r="D38" s="631"/>
      <c r="E38" s="631"/>
      <c r="F38" s="631"/>
      <c r="G38" s="632"/>
    </row>
    <row r="39" spans="1:7" s="626" customFormat="1" ht="15" customHeight="1" x14ac:dyDescent="0.3">
      <c r="A39" s="626" t="s">
        <v>161</v>
      </c>
      <c r="B39" s="637">
        <v>1113</v>
      </c>
      <c r="C39" s="637">
        <v>36576</v>
      </c>
      <c r="D39" s="637">
        <v>181168</v>
      </c>
      <c r="E39" s="637">
        <v>362147.72974400001</v>
      </c>
      <c r="F39" s="637">
        <v>530624.29060800001</v>
      </c>
      <c r="G39" s="636">
        <v>722055.30368400004</v>
      </c>
    </row>
    <row r="40" spans="1:7" s="626" customFormat="1" ht="15" customHeight="1" x14ac:dyDescent="0.3">
      <c r="A40" s="733" t="s">
        <v>265</v>
      </c>
      <c r="B40" s="645"/>
      <c r="C40" s="645"/>
      <c r="D40" s="645"/>
      <c r="E40" s="645"/>
      <c r="F40" s="645"/>
      <c r="G40" s="646"/>
    </row>
    <row r="41" spans="1:7" s="626" customFormat="1" ht="15" customHeight="1" x14ac:dyDescent="0.3">
      <c r="A41" s="647" t="s">
        <v>256</v>
      </c>
      <c r="B41" s="648">
        <v>15913.547917</v>
      </c>
      <c r="C41" s="648">
        <v>18282.809991999999</v>
      </c>
      <c r="D41" s="648">
        <v>20377.635700999999</v>
      </c>
      <c r="E41" s="648">
        <v>21234.222893999999</v>
      </c>
      <c r="F41" s="648">
        <v>21913.21255</v>
      </c>
      <c r="G41" s="649">
        <v>21043.427497000001</v>
      </c>
    </row>
    <row r="42" spans="1:7" s="626" customFormat="1" ht="15" customHeight="1" x14ac:dyDescent="0.3">
      <c r="A42" s="650" t="s">
        <v>308</v>
      </c>
      <c r="B42" s="648">
        <f t="shared" ref="B42:G42" si="1">+SUM(B31:B41)</f>
        <v>1721257.1400090284</v>
      </c>
      <c r="C42" s="648">
        <f t="shared" si="1"/>
        <v>2090333.204863834</v>
      </c>
      <c r="D42" s="648">
        <f t="shared" si="1"/>
        <v>2788549.1508253007</v>
      </c>
      <c r="E42" s="648">
        <f t="shared" si="1"/>
        <v>2794603.7179064453</v>
      </c>
      <c r="F42" s="648">
        <f t="shared" si="1"/>
        <v>3411483.7525741877</v>
      </c>
      <c r="G42" s="649">
        <f t="shared" si="1"/>
        <v>744172.50817915006</v>
      </c>
    </row>
    <row r="43" spans="1:7" s="626" customFormat="1" ht="15" customHeight="1" x14ac:dyDescent="0.3">
      <c r="A43" s="626" t="s">
        <v>319</v>
      </c>
      <c r="B43" s="653">
        <f>+B42/B59</f>
        <v>5.6359213352858879E-2</v>
      </c>
      <c r="C43" s="653">
        <f>+C42/C59</f>
        <v>5.8237779216507614E-2</v>
      </c>
      <c r="D43" s="653">
        <f>+D42/D59</f>
        <v>5.5112159485742884E-2</v>
      </c>
      <c r="E43" s="653">
        <f>+E42/E59</f>
        <v>6.2532405832955218E-2</v>
      </c>
      <c r="F43" s="653">
        <f>+F42/F59</f>
        <v>6.690169437477074E-2</v>
      </c>
      <c r="G43" s="654">
        <f>+G42/G59</f>
        <v>1.0435300599631972E-2</v>
      </c>
    </row>
    <row r="44" spans="1:7" s="626" customFormat="1" ht="15" customHeight="1" x14ac:dyDescent="0.3">
      <c r="A44" s="626" t="s">
        <v>316</v>
      </c>
      <c r="B44" s="653">
        <f>+B42/B60</f>
        <v>0.13680464608849444</v>
      </c>
      <c r="C44" s="653">
        <f>+C42/C60</f>
        <v>0.13259125335410621</v>
      </c>
      <c r="D44" s="653">
        <f>+D42/D60</f>
        <v>0.14356974537454384</v>
      </c>
      <c r="E44" s="653">
        <f>+E42/E60</f>
        <v>0.13046581758243059</v>
      </c>
      <c r="F44" s="653">
        <f>+F42/F60</f>
        <v>0.14434338237404493</v>
      </c>
      <c r="G44" s="654">
        <f>+G42/G60</f>
        <v>2.6911712264883834E-2</v>
      </c>
    </row>
    <row r="45" spans="1:7" s="626" customFormat="1" ht="15" customHeight="1" x14ac:dyDescent="0.3">
      <c r="A45" s="626" t="s">
        <v>317</v>
      </c>
      <c r="B45" s="653">
        <f>+B42/B61</f>
        <v>1.8131043806416582E-2</v>
      </c>
      <c r="C45" s="653">
        <f>+C42/C61</f>
        <v>1.9869480472901768E-2</v>
      </c>
      <c r="D45" s="653">
        <f>+D42/D61</f>
        <v>2.5622450019808923E-2</v>
      </c>
      <c r="E45" s="653">
        <f>+E42/E61</f>
        <v>2.2329633160436648E-2</v>
      </c>
      <c r="F45" s="653">
        <f>+F42/F61</f>
        <v>2.4757191802961525E-2</v>
      </c>
      <c r="G45" s="654">
        <f>+G42/G61</f>
        <v>5.1759852854006885E-3</v>
      </c>
    </row>
    <row r="46" spans="1:7" s="626" customFormat="1" ht="15" customHeight="1" x14ac:dyDescent="0.3">
      <c r="A46" s="626" t="s">
        <v>318</v>
      </c>
      <c r="B46" s="661">
        <f>+B42/B63</f>
        <v>0.70541495494427875</v>
      </c>
      <c r="C46" s="661">
        <f>+C42/C63</f>
        <v>0.83794936558340549</v>
      </c>
      <c r="D46" s="661">
        <f>+D42/D63</f>
        <v>1.0602879766768059</v>
      </c>
      <c r="E46" s="661">
        <f>+E42/E63</f>
        <v>1.068036639806345</v>
      </c>
      <c r="F46" s="661">
        <f>+F42/F63</f>
        <v>1.3370340209757152</v>
      </c>
      <c r="G46" s="662"/>
    </row>
    <row r="47" spans="1:7" s="626" customFormat="1" ht="15" customHeight="1" x14ac:dyDescent="0.3">
      <c r="A47" s="626" t="s">
        <v>338</v>
      </c>
      <c r="B47" s="653">
        <f>+B46/B65</f>
        <v>3.5995532185991753E-2</v>
      </c>
      <c r="C47" s="653">
        <f>+C46/C65</f>
        <v>3.887130600930136E-2</v>
      </c>
      <c r="D47" s="653">
        <f>+D46/D65</f>
        <v>4.9185285044869194E-2</v>
      </c>
      <c r="E47" s="653">
        <f>+E46/E65</f>
        <v>4.9544734753935567E-2</v>
      </c>
      <c r="F47" s="653">
        <f>+F46/F65</f>
        <v>5.6384687328115538E-2</v>
      </c>
      <c r="G47" s="654"/>
    </row>
    <row r="48" spans="1:7" s="626" customFormat="1" ht="15" customHeight="1" thickBot="1" x14ac:dyDescent="0.35">
      <c r="A48" s="241" t="s">
        <v>603</v>
      </c>
      <c r="B48" s="659">
        <f>+B46/B68</f>
        <v>4.3388576938007364E-2</v>
      </c>
      <c r="C48" s="659">
        <f>+C46/C68</f>
        <v>4.3873284078323964E-2</v>
      </c>
      <c r="D48" s="659">
        <f>+D46/D68</f>
        <v>6.6979691251695256E-2</v>
      </c>
      <c r="E48" s="659">
        <f>+E46/E68</f>
        <v>5.7838583456390175E-2</v>
      </c>
      <c r="F48" s="659">
        <f>+F46/F68</f>
        <v>5.7416632525712517E-2</v>
      </c>
      <c r="G48" s="660"/>
    </row>
    <row r="49" spans="1:7" s="626" customFormat="1" ht="15" customHeight="1" x14ac:dyDescent="0.3">
      <c r="A49" s="230" t="s">
        <v>126</v>
      </c>
      <c r="B49" s="664"/>
      <c r="C49" s="653"/>
      <c r="D49" s="653"/>
      <c r="E49" s="653"/>
      <c r="F49" s="653"/>
      <c r="G49" s="653"/>
    </row>
    <row r="50" spans="1:7" s="626" customFormat="1" ht="15" customHeight="1" x14ac:dyDescent="0.3">
      <c r="A50" s="230" t="s">
        <v>581</v>
      </c>
    </row>
    <row r="51" spans="1:7" s="626" customFormat="1" ht="15" customHeight="1" x14ac:dyDescent="0.3">
      <c r="A51" s="230" t="s">
        <v>578</v>
      </c>
    </row>
    <row r="52" spans="1:7" s="626" customFormat="1" ht="15" customHeight="1" x14ac:dyDescent="0.3">
      <c r="A52" s="230" t="s">
        <v>579</v>
      </c>
    </row>
    <row r="53" spans="1:7" s="626" customFormat="1" ht="15" customHeight="1" x14ac:dyDescent="0.3">
      <c r="A53" s="230" t="s">
        <v>580</v>
      </c>
      <c r="B53" s="665"/>
      <c r="C53" s="665"/>
      <c r="D53" s="665"/>
      <c r="E53" s="665"/>
      <c r="F53" s="665"/>
      <c r="G53" s="665"/>
    </row>
    <row r="54" spans="1:7" s="626" customFormat="1" ht="15" customHeight="1" x14ac:dyDescent="0.3">
      <c r="A54" s="230" t="s">
        <v>582</v>
      </c>
    </row>
    <row r="55" spans="1:7" s="626" customFormat="1" ht="15" customHeight="1" x14ac:dyDescent="0.3"/>
    <row r="56" spans="1:7" s="626" customFormat="1" ht="15" customHeight="1" thickBot="1" x14ac:dyDescent="0.35"/>
    <row r="57" spans="1:7" s="668" customFormat="1" ht="25.05" customHeight="1" thickBot="1" x14ac:dyDescent="0.3">
      <c r="A57" s="410" t="s">
        <v>292</v>
      </c>
      <c r="B57" s="666" t="s">
        <v>182</v>
      </c>
      <c r="C57" s="666" t="s">
        <v>183</v>
      </c>
      <c r="D57" s="666" t="s">
        <v>184</v>
      </c>
      <c r="E57" s="666" t="s">
        <v>185</v>
      </c>
      <c r="F57" s="666" t="s">
        <v>186</v>
      </c>
      <c r="G57" s="667" t="s">
        <v>187</v>
      </c>
    </row>
    <row r="58" spans="1:7" s="626" customFormat="1" ht="4.95" customHeight="1" x14ac:dyDescent="0.3">
      <c r="B58" s="669"/>
      <c r="C58" s="669"/>
      <c r="D58" s="669"/>
      <c r="E58" s="669"/>
      <c r="F58" s="669"/>
      <c r="G58" s="670"/>
    </row>
    <row r="59" spans="1:7" s="626" customFormat="1" ht="15" customHeight="1" x14ac:dyDescent="0.3">
      <c r="A59" s="626" t="s">
        <v>363</v>
      </c>
      <c r="B59" s="669">
        <v>30540829.752758</v>
      </c>
      <c r="C59" s="669">
        <v>35893078.908326998</v>
      </c>
      <c r="D59" s="669">
        <v>50597711.591154002</v>
      </c>
      <c r="E59" s="669">
        <v>44690487.766802996</v>
      </c>
      <c r="F59" s="669">
        <v>50992486.579842001</v>
      </c>
      <c r="G59" s="670">
        <v>71312992</v>
      </c>
    </row>
    <row r="60" spans="1:7" s="626" customFormat="1" ht="15" customHeight="1" x14ac:dyDescent="0.3">
      <c r="A60" s="229" t="s">
        <v>575</v>
      </c>
      <c r="B60" s="671">
        <v>12581861.721974</v>
      </c>
      <c r="C60" s="671">
        <v>15765242.065261001</v>
      </c>
      <c r="D60" s="671">
        <v>19422958.113846</v>
      </c>
      <c r="E60" s="671">
        <v>21420198.559985001</v>
      </c>
      <c r="F60" s="671">
        <v>23634500.567084</v>
      </c>
      <c r="G60" s="672">
        <v>27652365.663488276</v>
      </c>
    </row>
    <row r="61" spans="1:7" s="626" customFormat="1" ht="15" customHeight="1" x14ac:dyDescent="0.3">
      <c r="A61" s="626" t="s">
        <v>387</v>
      </c>
      <c r="B61" s="671">
        <v>94934255.213694587</v>
      </c>
      <c r="C61" s="671">
        <v>105203213.929758</v>
      </c>
      <c r="D61" s="671">
        <v>108832260.32910401</v>
      </c>
      <c r="E61" s="671">
        <v>125152244.903776</v>
      </c>
      <c r="F61" s="671">
        <v>137797686.414745</v>
      </c>
      <c r="G61" s="673">
        <v>143774077.23282224</v>
      </c>
    </row>
    <row r="62" spans="1:7" s="626" customFormat="1" ht="15" customHeight="1" x14ac:dyDescent="0.3">
      <c r="A62" s="229" t="s">
        <v>576</v>
      </c>
      <c r="B62" s="674">
        <v>2918736</v>
      </c>
      <c r="C62" s="674">
        <v>3034771</v>
      </c>
      <c r="D62" s="674">
        <v>3246904</v>
      </c>
      <c r="E62" s="674">
        <v>3274819</v>
      </c>
      <c r="F62" s="671">
        <v>3250976</v>
      </c>
      <c r="G62" s="672"/>
    </row>
    <row r="63" spans="1:7" s="626" customFormat="1" ht="15" customHeight="1" x14ac:dyDescent="0.3">
      <c r="A63" s="624" t="s">
        <v>383</v>
      </c>
      <c r="B63" s="675">
        <v>2440063.2960000001</v>
      </c>
      <c r="C63" s="675">
        <v>2494581.7620000001</v>
      </c>
      <c r="D63" s="675">
        <v>2629992.2400000002</v>
      </c>
      <c r="E63" s="675">
        <v>2616580.3809999996</v>
      </c>
      <c r="F63" s="675">
        <v>2551531</v>
      </c>
      <c r="G63" s="656"/>
    </row>
    <row r="64" spans="1:7" s="626" customFormat="1" ht="15" customHeight="1" x14ac:dyDescent="0.3">
      <c r="A64" s="229" t="s">
        <v>577</v>
      </c>
      <c r="B64" s="655">
        <f>+B63/B62</f>
        <v>0.83600000000000008</v>
      </c>
      <c r="C64" s="655">
        <f t="shared" ref="C64:F64" si="2">+C63/C62</f>
        <v>0.82200000000000006</v>
      </c>
      <c r="D64" s="655">
        <f t="shared" si="2"/>
        <v>0.81</v>
      </c>
      <c r="E64" s="655">
        <f t="shared" si="2"/>
        <v>0.79899999999999982</v>
      </c>
      <c r="F64" s="655">
        <f t="shared" si="2"/>
        <v>0.78485076481647353</v>
      </c>
      <c r="G64" s="676"/>
    </row>
    <row r="65" spans="1:7" s="626" customFormat="1" ht="15" customHeight="1" x14ac:dyDescent="0.3">
      <c r="A65" s="624" t="s">
        <v>367</v>
      </c>
      <c r="B65" s="655">
        <f>1.507484*13</f>
        <v>19.597291999999999</v>
      </c>
      <c r="C65" s="655">
        <f>1.658232*13</f>
        <v>21.557015999999997</v>
      </c>
      <c r="D65" s="655">
        <f>1.658232*13</f>
        <v>21.557015999999997</v>
      </c>
      <c r="E65" s="655">
        <f>1.658232*13</f>
        <v>21.557015999999997</v>
      </c>
      <c r="F65" s="655">
        <f>1.824055*13</f>
        <v>23.712714999999999</v>
      </c>
      <c r="G65" s="676">
        <f>1.824055*13</f>
        <v>23.712714999999999</v>
      </c>
    </row>
    <row r="66" spans="1:7" s="626" customFormat="1" ht="15" customHeight="1" x14ac:dyDescent="0.3">
      <c r="A66" s="229" t="s">
        <v>551</v>
      </c>
      <c r="B66" s="677">
        <v>1.5209999999999999</v>
      </c>
      <c r="C66" s="677">
        <v>1.867</v>
      </c>
      <c r="D66" s="677">
        <v>1.6990000000000001</v>
      </c>
      <c r="E66" s="677">
        <v>1.6990000000000001</v>
      </c>
      <c r="F66" s="677">
        <v>1.5720000000000001</v>
      </c>
      <c r="G66" s="676"/>
    </row>
    <row r="67" spans="1:7" s="626" customFormat="1" ht="15" customHeight="1" x14ac:dyDescent="0.3">
      <c r="A67" s="626" t="s">
        <v>353</v>
      </c>
      <c r="B67" s="661">
        <v>28.299876000000001</v>
      </c>
      <c r="C67" s="661">
        <v>33.15372</v>
      </c>
      <c r="D67" s="661">
        <v>31.924572000000001</v>
      </c>
      <c r="E67" s="661">
        <v>37.357284</v>
      </c>
      <c r="F67" s="661">
        <v>38.149619999999999</v>
      </c>
      <c r="G67" s="662"/>
    </row>
    <row r="68" spans="1:7" s="626" customFormat="1" ht="15" customHeight="1" x14ac:dyDescent="0.3">
      <c r="A68" s="647" t="s">
        <v>366</v>
      </c>
      <c r="B68" s="678">
        <v>16.25808</v>
      </c>
      <c r="C68" s="678">
        <v>19.099308000000001</v>
      </c>
      <c r="D68" s="678">
        <v>15.829992000000001</v>
      </c>
      <c r="E68" s="679">
        <v>18.465816</v>
      </c>
      <c r="F68" s="678">
        <v>23.286528000000001</v>
      </c>
      <c r="G68" s="680"/>
    </row>
    <row r="69" spans="1:7" x14ac:dyDescent="0.3">
      <c r="A69" s="663" t="s">
        <v>583</v>
      </c>
    </row>
    <row r="70" spans="1:7" x14ac:dyDescent="0.3">
      <c r="A70" s="663" t="s">
        <v>584</v>
      </c>
    </row>
    <row r="72" spans="1:7" x14ac:dyDescent="0.3">
      <c r="A72" s="57"/>
    </row>
    <row r="73" spans="1:7" x14ac:dyDescent="0.3">
      <c r="A73" s="57"/>
    </row>
    <row r="74" spans="1:7" x14ac:dyDescent="0.3">
      <c r="A74" s="229"/>
    </row>
  </sheetData>
  <pageMargins left="0.7" right="0.7" top="0.75" bottom="0.75" header="0.3" footer="0.3"/>
  <pageSetup paperSize="9" orientation="portrait" verticalDpi="90" r:id="rId1"/>
  <ignoredErrors>
    <ignoredError sqref="B57:G57" numberStoredAsText="1"/>
    <ignoredError sqref="B18:G1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L111"/>
  <sheetViews>
    <sheetView zoomScale="80" zoomScaleNormal="80" workbookViewId="0">
      <pane xSplit="1" ySplit="4" topLeftCell="B5" activePane="bottomRight" state="frozen"/>
      <selection pane="topRight" activeCell="C1" sqref="C1"/>
      <selection pane="bottomLeft" activeCell="A4" sqref="A4"/>
      <selection pane="bottomRight" activeCell="A59" sqref="A59"/>
    </sheetView>
  </sheetViews>
  <sheetFormatPr defaultColWidth="11.44140625" defaultRowHeight="14.4" x14ac:dyDescent="0.3"/>
  <cols>
    <col min="1" max="1" width="86.109375" style="1" customWidth="1"/>
    <col min="2" max="18" width="12.77734375" style="1" customWidth="1"/>
    <col min="19" max="19" width="12.109375" style="1" bestFit="1" customWidth="1"/>
    <col min="20" max="16384" width="11.44140625" style="1"/>
  </cols>
  <sheetData>
    <row r="1" spans="1:18" s="14" customFormat="1" ht="30" customHeight="1" x14ac:dyDescent="0.3">
      <c r="A1" s="55" t="s">
        <v>304</v>
      </c>
      <c r="B1" s="55"/>
      <c r="C1" s="55"/>
      <c r="D1" s="55"/>
      <c r="E1" s="55"/>
      <c r="F1" s="55"/>
      <c r="G1" s="55"/>
      <c r="H1" s="55"/>
      <c r="I1" s="55"/>
      <c r="J1" s="55"/>
      <c r="K1" s="55"/>
      <c r="L1" s="55"/>
      <c r="M1" s="55"/>
      <c r="N1" s="55"/>
      <c r="O1" s="55"/>
      <c r="P1" s="55"/>
      <c r="Q1" s="55"/>
      <c r="R1" s="55"/>
    </row>
    <row r="2" spans="1:18" s="14" customFormat="1" ht="30" customHeight="1" x14ac:dyDescent="0.3">
      <c r="A2" s="55"/>
      <c r="B2" s="55"/>
      <c r="C2" s="55"/>
      <c r="D2" s="55"/>
      <c r="E2" s="55"/>
      <c r="F2" s="55"/>
      <c r="G2" s="55"/>
      <c r="H2" s="55"/>
      <c r="I2" s="55"/>
      <c r="J2" s="55"/>
      <c r="K2" s="55"/>
      <c r="L2" s="55"/>
      <c r="M2" s="55"/>
      <c r="N2" s="55"/>
      <c r="O2" s="55"/>
      <c r="P2" s="55"/>
      <c r="Q2" s="55"/>
      <c r="R2" s="55"/>
    </row>
    <row r="3" spans="1:18" s="14" customFormat="1" ht="19.95" customHeight="1" thickBot="1" x14ac:dyDescent="0.35">
      <c r="A3" s="246" t="s">
        <v>305</v>
      </c>
      <c r="B3" s="246"/>
      <c r="C3" s="246"/>
      <c r="D3" s="246"/>
      <c r="E3" s="246"/>
      <c r="F3" s="246"/>
      <c r="G3" s="246"/>
      <c r="H3" s="246"/>
      <c r="I3" s="246"/>
      <c r="J3" s="246"/>
      <c r="K3" s="246"/>
      <c r="L3" s="246"/>
      <c r="M3" s="246"/>
      <c r="N3" s="246"/>
      <c r="O3" s="246"/>
      <c r="P3" s="246"/>
      <c r="Q3" s="246"/>
      <c r="R3" s="246"/>
    </row>
    <row r="4" spans="1:18" s="362" customFormat="1" ht="25.05" customHeight="1" thickBot="1" x14ac:dyDescent="0.35">
      <c r="A4" s="353" t="s">
        <v>306</v>
      </c>
      <c r="B4" s="107">
        <v>2000</v>
      </c>
      <c r="C4" s="107">
        <v>2001</v>
      </c>
      <c r="D4" s="107">
        <v>2002</v>
      </c>
      <c r="E4" s="107">
        <v>2003</v>
      </c>
      <c r="F4" s="107">
        <v>2004</v>
      </c>
      <c r="G4" s="107">
        <v>2005</v>
      </c>
      <c r="H4" s="107">
        <v>2006</v>
      </c>
      <c r="I4" s="107">
        <v>2007</v>
      </c>
      <c r="J4" s="107">
        <v>2008</v>
      </c>
      <c r="K4" s="107">
        <v>2009</v>
      </c>
      <c r="L4" s="107">
        <v>2010</v>
      </c>
      <c r="M4" s="107">
        <v>2011</v>
      </c>
      <c r="N4" s="107">
        <v>2012</v>
      </c>
      <c r="O4" s="107">
        <v>2013</v>
      </c>
      <c r="P4" s="107">
        <v>2014</v>
      </c>
      <c r="Q4" s="107">
        <v>2015</v>
      </c>
      <c r="R4" s="108">
        <v>2016</v>
      </c>
    </row>
    <row r="5" spans="1:18" s="9" customFormat="1" ht="4.95" customHeight="1" x14ac:dyDescent="0.3">
      <c r="A5" s="707"/>
      <c r="B5" s="707"/>
      <c r="C5" s="707"/>
      <c r="D5" s="707"/>
      <c r="E5" s="707"/>
      <c r="F5" s="707"/>
      <c r="G5" s="707"/>
      <c r="H5" s="707"/>
      <c r="I5" s="707"/>
      <c r="J5" s="707"/>
      <c r="K5" s="707"/>
      <c r="L5" s="707"/>
      <c r="M5" s="707"/>
      <c r="N5" s="707"/>
      <c r="O5" s="707"/>
      <c r="P5" s="707"/>
      <c r="Q5" s="707"/>
      <c r="R5" s="708"/>
    </row>
    <row r="6" spans="1:18" s="9" customFormat="1" ht="15" customHeight="1" x14ac:dyDescent="0.3">
      <c r="A6" s="109" t="s">
        <v>262</v>
      </c>
      <c r="B6" s="146"/>
      <c r="C6" s="146"/>
      <c r="D6" s="146"/>
      <c r="E6" s="146"/>
      <c r="F6" s="146"/>
      <c r="G6" s="146"/>
      <c r="H6" s="146"/>
      <c r="I6" s="146"/>
      <c r="J6" s="146"/>
      <c r="K6" s="146"/>
      <c r="L6" s="146"/>
      <c r="M6" s="146"/>
      <c r="N6" s="146"/>
      <c r="O6" s="146"/>
      <c r="P6" s="146"/>
      <c r="Q6" s="147"/>
      <c r="R6" s="148"/>
    </row>
    <row r="7" spans="1:18" s="17" customFormat="1" ht="15" customHeight="1" x14ac:dyDescent="0.3">
      <c r="A7" s="22" t="s">
        <v>588</v>
      </c>
      <c r="B7" s="116"/>
      <c r="C7" s="116"/>
      <c r="D7" s="116">
        <v>1909835.8212860001</v>
      </c>
      <c r="E7" s="116">
        <v>2113839.95681484</v>
      </c>
      <c r="F7" s="116">
        <v>2246500</v>
      </c>
      <c r="G7" s="116">
        <v>2639182</v>
      </c>
      <c r="H7" s="116">
        <v>3365384</v>
      </c>
      <c r="I7" s="116">
        <v>4143477</v>
      </c>
      <c r="J7" s="116">
        <v>5619215</v>
      </c>
      <c r="K7" s="116">
        <v>6212261</v>
      </c>
      <c r="L7" s="116">
        <v>6749861</v>
      </c>
      <c r="M7" s="116">
        <v>8049229</v>
      </c>
      <c r="N7" s="116">
        <v>9061166.4321186785</v>
      </c>
      <c r="O7" s="116">
        <v>11898587.536205877</v>
      </c>
      <c r="P7" s="116">
        <v>12962334.26167907</v>
      </c>
      <c r="Q7" s="116">
        <v>14307011.329360908</v>
      </c>
      <c r="R7" s="132">
        <v>15766538.1246356</v>
      </c>
    </row>
    <row r="8" spans="1:18" s="17" customFormat="1" ht="15" customHeight="1" x14ac:dyDescent="0.3">
      <c r="A8" s="168" t="s">
        <v>261</v>
      </c>
      <c r="B8" s="146"/>
      <c r="C8" s="146"/>
      <c r="D8" s="146"/>
      <c r="E8" s="146"/>
      <c r="F8" s="146"/>
      <c r="G8" s="146"/>
      <c r="H8" s="146"/>
      <c r="I8" s="146"/>
      <c r="J8" s="146"/>
      <c r="K8" s="146"/>
      <c r="L8" s="146"/>
      <c r="M8" s="146"/>
      <c r="N8" s="146"/>
      <c r="O8" s="146"/>
      <c r="P8" s="146"/>
      <c r="Q8" s="147"/>
      <c r="R8" s="148"/>
    </row>
    <row r="9" spans="1:18" s="14" customFormat="1" ht="15" customHeight="1" x14ac:dyDescent="0.3">
      <c r="A9" s="22" t="s">
        <v>589</v>
      </c>
      <c r="B9" s="116"/>
      <c r="C9" s="116"/>
      <c r="D9" s="116"/>
      <c r="E9" s="116"/>
      <c r="F9" s="116"/>
      <c r="G9" s="116"/>
      <c r="H9" s="116"/>
      <c r="I9" s="116"/>
      <c r="J9" s="116">
        <v>526015.60715699999</v>
      </c>
      <c r="K9" s="116">
        <v>557129.35</v>
      </c>
      <c r="L9" s="116">
        <v>579744.52399999998</v>
      </c>
      <c r="M9" s="116">
        <v>591272.78883500001</v>
      </c>
      <c r="N9" s="116">
        <v>511909.05210999999</v>
      </c>
      <c r="O9" s="116">
        <v>821410.31572900002</v>
      </c>
      <c r="P9" s="116">
        <v>1039384.2517</v>
      </c>
      <c r="Q9" s="116">
        <v>1224733.7816560001</v>
      </c>
      <c r="R9" s="132">
        <v>1228079.3029149999</v>
      </c>
    </row>
    <row r="10" spans="1:18" s="14" customFormat="1" ht="15" customHeight="1" x14ac:dyDescent="0.3">
      <c r="A10" s="22" t="s">
        <v>590</v>
      </c>
      <c r="B10" s="116"/>
      <c r="C10" s="116"/>
      <c r="D10" s="116"/>
      <c r="E10" s="116"/>
      <c r="F10" s="116"/>
      <c r="G10" s="116"/>
      <c r="H10" s="116"/>
      <c r="I10" s="116"/>
      <c r="J10" s="116">
        <v>121000</v>
      </c>
      <c r="K10" s="116">
        <v>148000</v>
      </c>
      <c r="L10" s="116">
        <v>154920</v>
      </c>
      <c r="M10" s="116">
        <v>196000</v>
      </c>
      <c r="N10" s="116">
        <v>196000</v>
      </c>
      <c r="O10" s="116">
        <v>215502.584271</v>
      </c>
      <c r="P10" s="116">
        <v>219000</v>
      </c>
      <c r="Q10" s="116">
        <v>217872.522</v>
      </c>
      <c r="R10" s="132">
        <v>194279.60658399999</v>
      </c>
    </row>
    <row r="11" spans="1:18" s="14" customFormat="1" ht="15" customHeight="1" x14ac:dyDescent="0.3">
      <c r="A11" s="109" t="s">
        <v>264</v>
      </c>
      <c r="B11" s="152"/>
      <c r="C11" s="152"/>
      <c r="D11" s="152"/>
      <c r="E11" s="152"/>
      <c r="F11" s="152"/>
      <c r="G11" s="152"/>
      <c r="H11" s="152"/>
      <c r="I11" s="152"/>
      <c r="J11" s="152"/>
      <c r="K11" s="152"/>
      <c r="L11" s="152"/>
      <c r="M11" s="152"/>
      <c r="N11" s="152"/>
      <c r="O11" s="152"/>
      <c r="P11" s="152"/>
      <c r="Q11" s="152"/>
      <c r="R11" s="153"/>
    </row>
    <row r="12" spans="1:18" s="14" customFormat="1" ht="15" customHeight="1" x14ac:dyDescent="0.3">
      <c r="A12" s="22" t="s">
        <v>591</v>
      </c>
      <c r="B12" s="116"/>
      <c r="C12" s="116"/>
      <c r="D12" s="116"/>
      <c r="E12" s="116"/>
      <c r="F12" s="116"/>
      <c r="G12" s="116"/>
      <c r="H12" s="116"/>
      <c r="I12" s="116"/>
      <c r="J12" s="116"/>
      <c r="K12" s="116"/>
      <c r="L12" s="116">
        <v>50968.225259999999</v>
      </c>
      <c r="M12" s="116">
        <v>69630.718208000006</v>
      </c>
      <c r="N12" s="116">
        <v>98047.194396000006</v>
      </c>
      <c r="O12" s="116">
        <v>133971.20974199998</v>
      </c>
      <c r="P12" s="116">
        <v>61203.127992000002</v>
      </c>
      <c r="Q12" s="116">
        <v>61241.666213999997</v>
      </c>
      <c r="R12" s="132"/>
    </row>
    <row r="13" spans="1:18" s="14" customFormat="1" ht="15" customHeight="1" x14ac:dyDescent="0.3">
      <c r="A13" s="195" t="s">
        <v>164</v>
      </c>
      <c r="B13" s="117"/>
      <c r="C13" s="117"/>
      <c r="D13" s="117"/>
      <c r="E13" s="117"/>
      <c r="F13" s="117"/>
      <c r="G13" s="117"/>
      <c r="H13" s="117"/>
      <c r="I13" s="117"/>
      <c r="J13" s="117"/>
      <c r="K13" s="117"/>
      <c r="L13" s="117">
        <v>0</v>
      </c>
      <c r="M13" s="117">
        <v>0</v>
      </c>
      <c r="N13" s="117">
        <v>0</v>
      </c>
      <c r="O13" s="117">
        <v>0</v>
      </c>
      <c r="P13" s="117">
        <v>14284.546877000001</v>
      </c>
      <c r="Q13" s="118">
        <v>24000.078611000001</v>
      </c>
      <c r="R13" s="133">
        <v>4608.5782829999998</v>
      </c>
    </row>
    <row r="14" spans="1:18" s="14" customFormat="1" ht="15" customHeight="1" x14ac:dyDescent="0.3">
      <c r="A14" s="195" t="s">
        <v>168</v>
      </c>
      <c r="B14" s="117">
        <v>0</v>
      </c>
      <c r="C14" s="117">
        <v>0</v>
      </c>
      <c r="D14" s="117">
        <v>0</v>
      </c>
      <c r="E14" s="117">
        <v>0</v>
      </c>
      <c r="F14" s="117">
        <v>0</v>
      </c>
      <c r="G14" s="117">
        <v>0</v>
      </c>
      <c r="H14" s="117">
        <v>0</v>
      </c>
      <c r="I14" s="117">
        <v>0</v>
      </c>
      <c r="J14" s="117">
        <v>0</v>
      </c>
      <c r="K14" s="117">
        <v>0</v>
      </c>
      <c r="L14" s="117">
        <v>0</v>
      </c>
      <c r="M14" s="117">
        <v>0</v>
      </c>
      <c r="N14" s="117">
        <v>0</v>
      </c>
      <c r="O14" s="117">
        <v>12400.523999999999</v>
      </c>
      <c r="P14" s="117">
        <v>12400.523999999999</v>
      </c>
      <c r="Q14" s="118">
        <v>0</v>
      </c>
      <c r="R14" s="133">
        <v>0</v>
      </c>
    </row>
    <row r="15" spans="1:18" s="14" customFormat="1" ht="15" customHeight="1" x14ac:dyDescent="0.3">
      <c r="A15" s="195" t="s">
        <v>166</v>
      </c>
      <c r="B15" s="117">
        <v>0</v>
      </c>
      <c r="C15" s="117">
        <v>0</v>
      </c>
      <c r="D15" s="117">
        <v>0</v>
      </c>
      <c r="E15" s="117">
        <v>0</v>
      </c>
      <c r="F15" s="117">
        <v>0</v>
      </c>
      <c r="G15" s="117">
        <v>0</v>
      </c>
      <c r="H15" s="117">
        <v>0</v>
      </c>
      <c r="I15" s="117">
        <v>0</v>
      </c>
      <c r="J15" s="117">
        <v>0</v>
      </c>
      <c r="K15" s="117">
        <v>0</v>
      </c>
      <c r="L15" s="117">
        <v>0</v>
      </c>
      <c r="M15" s="117">
        <v>0</v>
      </c>
      <c r="N15" s="119">
        <v>0</v>
      </c>
      <c r="O15" s="119">
        <v>0</v>
      </c>
      <c r="P15" s="119">
        <v>0</v>
      </c>
      <c r="Q15" s="119">
        <v>155000</v>
      </c>
      <c r="R15" s="134">
        <v>342913.61310199997</v>
      </c>
    </row>
    <row r="16" spans="1:18" s="14" customFormat="1" ht="15" customHeight="1" x14ac:dyDescent="0.3">
      <c r="A16" s="109" t="s">
        <v>263</v>
      </c>
      <c r="B16" s="154"/>
      <c r="C16" s="154"/>
      <c r="D16" s="154"/>
      <c r="E16" s="154"/>
      <c r="F16" s="154"/>
      <c r="G16" s="154"/>
      <c r="H16" s="154"/>
      <c r="I16" s="154"/>
      <c r="J16" s="154"/>
      <c r="K16" s="154"/>
      <c r="L16" s="154"/>
      <c r="M16" s="154"/>
      <c r="N16" s="154"/>
      <c r="O16" s="154"/>
      <c r="P16" s="154"/>
      <c r="Q16" s="155"/>
      <c r="R16" s="156"/>
    </row>
    <row r="17" spans="1:19" s="14" customFormat="1" ht="15" customHeight="1" x14ac:dyDescent="0.3">
      <c r="A17" s="22" t="s">
        <v>592</v>
      </c>
      <c r="B17" s="117"/>
      <c r="C17" s="117"/>
      <c r="D17" s="117">
        <v>781937.48</v>
      </c>
      <c r="E17" s="117">
        <v>628435.57664900005</v>
      </c>
      <c r="F17" s="117">
        <v>367141.662495</v>
      </c>
      <c r="G17" s="117">
        <v>259444</v>
      </c>
      <c r="H17" s="117">
        <v>306781</v>
      </c>
      <c r="I17" s="117">
        <v>781006.29119799996</v>
      </c>
      <c r="J17" s="117">
        <v>1198190</v>
      </c>
      <c r="K17" s="117">
        <v>1421729.8820849999</v>
      </c>
      <c r="L17" s="117">
        <v>1895471.566691</v>
      </c>
      <c r="M17" s="117">
        <v>1291124.75</v>
      </c>
      <c r="N17" s="117">
        <v>1269247.5106269999</v>
      </c>
      <c r="O17" s="117">
        <v>1635019.476</v>
      </c>
      <c r="P17" s="117">
        <v>2268916.5673499997</v>
      </c>
      <c r="Q17" s="118">
        <v>2581097</v>
      </c>
      <c r="R17" s="133">
        <v>2117324.739482</v>
      </c>
    </row>
    <row r="18" spans="1:19" s="14" customFormat="1" ht="15" customHeight="1" x14ac:dyDescent="0.3">
      <c r="A18" s="22" t="s">
        <v>593</v>
      </c>
      <c r="B18" s="116">
        <v>0</v>
      </c>
      <c r="C18" s="116">
        <v>0</v>
      </c>
      <c r="D18" s="116">
        <v>0</v>
      </c>
      <c r="E18" s="116">
        <v>0</v>
      </c>
      <c r="F18" s="116">
        <v>0</v>
      </c>
      <c r="G18" s="116">
        <v>254000</v>
      </c>
      <c r="H18" s="116">
        <v>214800</v>
      </c>
      <c r="I18" s="116">
        <v>366000</v>
      </c>
      <c r="J18" s="116">
        <v>328000</v>
      </c>
      <c r="K18" s="116">
        <v>583344</v>
      </c>
      <c r="L18" s="116">
        <v>514070.6</v>
      </c>
      <c r="M18" s="116">
        <v>732841</v>
      </c>
      <c r="N18" s="116">
        <v>70580.039999999994</v>
      </c>
      <c r="O18" s="116">
        <v>33263.457949000003</v>
      </c>
      <c r="P18" s="116">
        <v>381823.86706500011</v>
      </c>
      <c r="Q18" s="116">
        <v>889478.55956900015</v>
      </c>
      <c r="R18" s="132">
        <v>720759.32</v>
      </c>
    </row>
    <row r="19" spans="1:19" s="14" customFormat="1" ht="15" customHeight="1" x14ac:dyDescent="0.3">
      <c r="A19" s="109" t="s">
        <v>265</v>
      </c>
      <c r="B19" s="154"/>
      <c r="C19" s="154"/>
      <c r="D19" s="154"/>
      <c r="E19" s="154"/>
      <c r="F19" s="154"/>
      <c r="G19" s="154"/>
      <c r="H19" s="154"/>
      <c r="I19" s="154"/>
      <c r="J19" s="154"/>
      <c r="K19" s="154"/>
      <c r="L19" s="154"/>
      <c r="M19" s="154"/>
      <c r="N19" s="154"/>
      <c r="O19" s="154"/>
      <c r="P19" s="154"/>
      <c r="Q19" s="155"/>
      <c r="R19" s="156"/>
    </row>
    <row r="20" spans="1:19" s="14" customFormat="1" ht="15" customHeight="1" x14ac:dyDescent="0.3">
      <c r="A20" s="195" t="s">
        <v>167</v>
      </c>
      <c r="B20" s="117"/>
      <c r="C20" s="117"/>
      <c r="D20" s="117"/>
      <c r="E20" s="117"/>
      <c r="F20" s="117"/>
      <c r="G20" s="117"/>
      <c r="H20" s="117"/>
      <c r="I20" s="117"/>
      <c r="J20" s="117"/>
      <c r="K20" s="117"/>
      <c r="L20" s="117">
        <v>507512.92652561999</v>
      </c>
      <c r="M20" s="117">
        <v>552343.43789399997</v>
      </c>
      <c r="N20" s="117">
        <v>846764.86219200003</v>
      </c>
      <c r="O20" s="117">
        <v>1111036.54205</v>
      </c>
      <c r="P20" s="117">
        <v>1315343.3829349999</v>
      </c>
      <c r="Q20" s="117">
        <v>996862.79043099994</v>
      </c>
      <c r="R20" s="135">
        <v>139664</v>
      </c>
    </row>
    <row r="21" spans="1:19" s="14" customFormat="1" ht="15" customHeight="1" x14ac:dyDescent="0.3">
      <c r="A21" s="124" t="s">
        <v>594</v>
      </c>
      <c r="B21" s="126">
        <v>0</v>
      </c>
      <c r="C21" s="126">
        <v>0</v>
      </c>
      <c r="D21" s="126">
        <v>0</v>
      </c>
      <c r="E21" s="126">
        <v>0</v>
      </c>
      <c r="F21" s="126">
        <v>0</v>
      </c>
      <c r="G21" s="126">
        <v>0</v>
      </c>
      <c r="H21" s="126">
        <v>0</v>
      </c>
      <c r="I21" s="126">
        <v>0</v>
      </c>
      <c r="J21" s="126">
        <v>0</v>
      </c>
      <c r="K21" s="126">
        <v>209965.08009</v>
      </c>
      <c r="L21" s="126">
        <v>204590.83421500001</v>
      </c>
      <c r="M21" s="126">
        <v>208980.832734</v>
      </c>
      <c r="N21" s="126">
        <v>89363.736724999995</v>
      </c>
      <c r="O21" s="126">
        <v>0</v>
      </c>
      <c r="P21" s="126">
        <v>0</v>
      </c>
      <c r="Q21" s="126">
        <v>0</v>
      </c>
      <c r="R21" s="136">
        <v>0</v>
      </c>
    </row>
    <row r="22" spans="1:19" s="14" customFormat="1" ht="15" customHeight="1" x14ac:dyDescent="0.3">
      <c r="A22" s="143" t="s">
        <v>307</v>
      </c>
      <c r="B22" s="125">
        <f t="shared" ref="B22:R22" si="0">SUM(B7,B9:B10,B18)</f>
        <v>0</v>
      </c>
      <c r="C22" s="125">
        <f t="shared" si="0"/>
        <v>0</v>
      </c>
      <c r="D22" s="125">
        <f t="shared" si="0"/>
        <v>1909835.8212860001</v>
      </c>
      <c r="E22" s="125">
        <f t="shared" si="0"/>
        <v>2113839.95681484</v>
      </c>
      <c r="F22" s="125">
        <f t="shared" si="0"/>
        <v>2246500</v>
      </c>
      <c r="G22" s="125">
        <f t="shared" si="0"/>
        <v>2893182</v>
      </c>
      <c r="H22" s="125">
        <f t="shared" si="0"/>
        <v>3580184</v>
      </c>
      <c r="I22" s="125">
        <f t="shared" si="0"/>
        <v>4509477</v>
      </c>
      <c r="J22" s="125">
        <f t="shared" si="0"/>
        <v>6594230.6071570003</v>
      </c>
      <c r="K22" s="125">
        <f t="shared" si="0"/>
        <v>7500734.3499999996</v>
      </c>
      <c r="L22" s="125">
        <f t="shared" si="0"/>
        <v>7998596.1239999998</v>
      </c>
      <c r="M22" s="125">
        <f t="shared" si="0"/>
        <v>9569342.7888350002</v>
      </c>
      <c r="N22" s="125">
        <f t="shared" si="0"/>
        <v>9839655.5242286772</v>
      </c>
      <c r="O22" s="125">
        <f t="shared" si="0"/>
        <v>12968763.894154876</v>
      </c>
      <c r="P22" s="125">
        <f t="shared" si="0"/>
        <v>14602542.38044407</v>
      </c>
      <c r="Q22" s="125">
        <f t="shared" si="0"/>
        <v>16639096.192585908</v>
      </c>
      <c r="R22" s="141">
        <f t="shared" si="0"/>
        <v>17909656.354134601</v>
      </c>
      <c r="S22" s="151"/>
    </row>
    <row r="23" spans="1:19" s="14" customFormat="1" ht="15" customHeight="1" x14ac:dyDescent="0.3">
      <c r="A23" s="1" t="s">
        <v>312</v>
      </c>
      <c r="B23" s="11">
        <f t="shared" ref="B23:R23" si="1">B22/B68</f>
        <v>0</v>
      </c>
      <c r="C23" s="11">
        <f t="shared" si="1"/>
        <v>0</v>
      </c>
      <c r="D23" s="11">
        <f t="shared" si="1"/>
        <v>5.4862116214586004E-2</v>
      </c>
      <c r="E23" s="11">
        <f t="shared" si="1"/>
        <v>5.4191113710487231E-2</v>
      </c>
      <c r="F23" s="11">
        <f t="shared" si="1"/>
        <v>4.7486897883103937E-2</v>
      </c>
      <c r="G23" s="11">
        <f t="shared" si="1"/>
        <v>5.0965786353916867E-2</v>
      </c>
      <c r="H23" s="11">
        <f t="shared" si="1"/>
        <v>5.5608974237480624E-2</v>
      </c>
      <c r="I23" s="11">
        <f t="shared" si="1"/>
        <v>6.1794308039936595E-2</v>
      </c>
      <c r="J23" s="11">
        <f t="shared" si="1"/>
        <v>7.8190715280163553E-2</v>
      </c>
      <c r="K23" s="11">
        <f t="shared" si="1"/>
        <v>7.9763351375525759E-2</v>
      </c>
      <c r="L23" s="11">
        <f t="shared" si="1"/>
        <v>7.716931816813577E-2</v>
      </c>
      <c r="M23" s="11">
        <f t="shared" si="1"/>
        <v>8.1895850804806519E-2</v>
      </c>
      <c r="N23" s="11">
        <f t="shared" si="1"/>
        <v>7.6594944128794154E-2</v>
      </c>
      <c r="O23" s="11">
        <f t="shared" si="1"/>
        <v>9.2653500934045424E-2</v>
      </c>
      <c r="P23" s="11">
        <f t="shared" si="1"/>
        <v>9.6138668686272286E-2</v>
      </c>
      <c r="Q23" s="11">
        <f t="shared" si="1"/>
        <v>0.10013094874284247</v>
      </c>
      <c r="R23" s="138">
        <f t="shared" si="1"/>
        <v>0.10321460327553318</v>
      </c>
    </row>
    <row r="24" spans="1:19" s="14" customFormat="1" ht="15" customHeight="1" x14ac:dyDescent="0.3">
      <c r="A24" s="1" t="s">
        <v>271</v>
      </c>
      <c r="B24" s="11">
        <f t="shared" ref="B24:R24" si="2">B22/B69</f>
        <v>0</v>
      </c>
      <c r="C24" s="11">
        <f t="shared" si="2"/>
        <v>0</v>
      </c>
      <c r="D24" s="11">
        <f t="shared" si="2"/>
        <v>2.8159688800693507E-2</v>
      </c>
      <c r="E24" s="11">
        <f t="shared" si="2"/>
        <v>2.7780211223500575E-2</v>
      </c>
      <c r="F24" s="11">
        <f t="shared" si="2"/>
        <v>2.6126180986396099E-2</v>
      </c>
      <c r="G24" s="11">
        <f t="shared" si="2"/>
        <v>2.919616807273755E-2</v>
      </c>
      <c r="H24" s="11">
        <f t="shared" si="2"/>
        <v>3.2206081507057664E-2</v>
      </c>
      <c r="I24" s="11">
        <f t="shared" si="2"/>
        <v>3.4794464190493403E-2</v>
      </c>
      <c r="J24" s="11">
        <f t="shared" si="2"/>
        <v>4.6103864523297171E-2</v>
      </c>
      <c r="K24" s="11">
        <f t="shared" si="2"/>
        <v>4.8920146853033739E-2</v>
      </c>
      <c r="L24" s="11">
        <f t="shared" si="2"/>
        <v>4.8552479850098015E-2</v>
      </c>
      <c r="M24" s="11">
        <f t="shared" si="2"/>
        <v>5.0882242709137299E-2</v>
      </c>
      <c r="N24" s="11">
        <f t="shared" si="2"/>
        <v>4.7901839250777505E-2</v>
      </c>
      <c r="O24" s="11">
        <f t="shared" si="2"/>
        <v>5.7671656878100101E-2</v>
      </c>
      <c r="P24" s="11">
        <f t="shared" si="2"/>
        <v>5.9971713969665864E-2</v>
      </c>
      <c r="Q24" s="11">
        <f t="shared" si="2"/>
        <v>6.339068055399999E-2</v>
      </c>
      <c r="R24" s="138">
        <f t="shared" si="2"/>
        <v>6.5507960995055972E-2</v>
      </c>
    </row>
    <row r="25" spans="1:19" s="14" customFormat="1" ht="15" customHeight="1" x14ac:dyDescent="0.3">
      <c r="A25" s="1" t="s">
        <v>309</v>
      </c>
      <c r="B25" s="11">
        <f t="shared" ref="B25:R25" si="3">B22/B70</f>
        <v>0</v>
      </c>
      <c r="C25" s="11">
        <f t="shared" si="3"/>
        <v>0</v>
      </c>
      <c r="D25" s="11">
        <f t="shared" si="3"/>
        <v>7.7849847804160235E-3</v>
      </c>
      <c r="E25" s="11">
        <f t="shared" si="3"/>
        <v>7.7616257203724686E-3</v>
      </c>
      <c r="F25" s="11">
        <f t="shared" si="3"/>
        <v>7.2994716696668203E-3</v>
      </c>
      <c r="G25" s="11">
        <f t="shared" si="3"/>
        <v>8.5054563200413925E-3</v>
      </c>
      <c r="H25" s="11">
        <f t="shared" si="3"/>
        <v>9.3258730183538342E-3</v>
      </c>
      <c r="I25" s="11">
        <f t="shared" si="3"/>
        <v>1.0461076107935565E-2</v>
      </c>
      <c r="J25" s="11">
        <f t="shared" si="3"/>
        <v>1.3735490873856197E-2</v>
      </c>
      <c r="K25" s="11">
        <f t="shared" si="3"/>
        <v>1.486332892100815E-2</v>
      </c>
      <c r="L25" s="11">
        <f t="shared" si="3"/>
        <v>1.4678370055273763E-2</v>
      </c>
      <c r="M25" s="11">
        <f t="shared" si="3"/>
        <v>1.5437063092778766E-2</v>
      </c>
      <c r="N25" s="11">
        <f t="shared" si="3"/>
        <v>1.4813404077183965E-2</v>
      </c>
      <c r="O25" s="11">
        <f t="shared" si="3"/>
        <v>1.825308747841986E-2</v>
      </c>
      <c r="P25" s="11">
        <f t="shared" si="3"/>
        <v>1.9288360154602405E-2</v>
      </c>
      <c r="Q25" s="11">
        <f t="shared" si="3"/>
        <v>2.0816772665224477E-2</v>
      </c>
      <c r="R25" s="138">
        <f t="shared" si="3"/>
        <v>2.0760606664311124E-2</v>
      </c>
    </row>
    <row r="26" spans="1:19" s="14" customFormat="1" ht="15" customHeight="1" x14ac:dyDescent="0.3">
      <c r="A26" s="1" t="s">
        <v>310</v>
      </c>
      <c r="B26" s="122">
        <f t="shared" ref="B26:R26" si="4">B22/B75</f>
        <v>0</v>
      </c>
      <c r="C26" s="122">
        <f t="shared" si="4"/>
        <v>0</v>
      </c>
      <c r="D26" s="122">
        <f t="shared" si="4"/>
        <v>0.16385841531863618</v>
      </c>
      <c r="E26" s="122">
        <f t="shared" si="4"/>
        <v>0.17534994049686245</v>
      </c>
      <c r="F26" s="122">
        <f t="shared" si="4"/>
        <v>0.19276987741159887</v>
      </c>
      <c r="G26" s="122">
        <f t="shared" si="4"/>
        <v>0.24244341586050816</v>
      </c>
      <c r="H26" s="122">
        <f t="shared" si="4"/>
        <v>0.30777158092158408</v>
      </c>
      <c r="I26" s="122">
        <f t="shared" si="4"/>
        <v>0.39189159594853545</v>
      </c>
      <c r="J26" s="122">
        <f t="shared" si="4"/>
        <v>0.59763755693123399</v>
      </c>
      <c r="K26" s="122">
        <f t="shared" si="4"/>
        <v>0.63596934198709598</v>
      </c>
      <c r="L26" s="122">
        <f t="shared" si="4"/>
        <v>0.63779648281215551</v>
      </c>
      <c r="M26" s="122">
        <f t="shared" si="4"/>
        <v>0.7515000239393147</v>
      </c>
      <c r="N26" s="122">
        <f t="shared" si="4"/>
        <v>0.75869252070525695</v>
      </c>
      <c r="O26" s="122">
        <f t="shared" si="4"/>
        <v>1.0076683249444818</v>
      </c>
      <c r="P26" s="122">
        <f t="shared" si="4"/>
        <v>1.1380222217390075</v>
      </c>
      <c r="Q26" s="122">
        <f t="shared" si="4"/>
        <v>1.2908477717342133</v>
      </c>
      <c r="R26" s="142">
        <f t="shared" si="4"/>
        <v>1.3952370175332771</v>
      </c>
    </row>
    <row r="27" spans="1:19" s="14" customFormat="1" ht="15" customHeight="1" x14ac:dyDescent="0.3">
      <c r="A27" s="1" t="s">
        <v>313</v>
      </c>
      <c r="B27" s="11">
        <f t="shared" ref="B27:R27" si="5">B26/B71</f>
        <v>0</v>
      </c>
      <c r="C27" s="11">
        <f t="shared" si="5"/>
        <v>0</v>
      </c>
      <c r="D27" s="11">
        <f t="shared" si="5"/>
        <v>4.4190511143105765E-2</v>
      </c>
      <c r="E27" s="11">
        <f t="shared" si="5"/>
        <v>4.4013539281340976E-2</v>
      </c>
      <c r="F27" s="11">
        <f t="shared" si="5"/>
        <v>4.4871945393761374E-2</v>
      </c>
      <c r="G27" s="11">
        <f t="shared" si="5"/>
        <v>5.2958369563239002E-2</v>
      </c>
      <c r="H27" s="11">
        <f t="shared" si="5"/>
        <v>6.2861842508493485E-2</v>
      </c>
      <c r="I27" s="11">
        <f t="shared" si="5"/>
        <v>7.5300053022161154E-2</v>
      </c>
      <c r="J27" s="11">
        <f t="shared" si="5"/>
        <v>0.1079157740937584</v>
      </c>
      <c r="K27" s="11">
        <f t="shared" si="5"/>
        <v>0.10665615851396928</v>
      </c>
      <c r="L27" s="11">
        <f t="shared" si="5"/>
        <v>0.10320331437089895</v>
      </c>
      <c r="M27" s="11">
        <f t="shared" si="5"/>
        <v>0.11692494771273879</v>
      </c>
      <c r="N27" s="11">
        <f t="shared" si="5"/>
        <v>0.11156586681743089</v>
      </c>
      <c r="O27" s="11">
        <f t="shared" si="5"/>
        <v>0.14244675218327421</v>
      </c>
      <c r="P27" s="11">
        <f t="shared" si="5"/>
        <v>0.15395322263785274</v>
      </c>
      <c r="Q27" s="11">
        <f t="shared" si="5"/>
        <v>0.16694443647787349</v>
      </c>
      <c r="R27" s="138">
        <f t="shared" si="5"/>
        <v>0.16864008740397332</v>
      </c>
    </row>
    <row r="28" spans="1:19" s="14" customFormat="1" ht="15" customHeight="1" x14ac:dyDescent="0.3">
      <c r="A28" s="1" t="s">
        <v>314</v>
      </c>
      <c r="B28" s="11">
        <f t="shared" ref="B28:R28" si="6">B26/B72</f>
        <v>0</v>
      </c>
      <c r="C28" s="11">
        <f t="shared" si="6"/>
        <v>0</v>
      </c>
      <c r="D28" s="11">
        <f t="shared" si="6"/>
        <v>3.2572081349219219E-2</v>
      </c>
      <c r="E28" s="11">
        <f t="shared" si="6"/>
        <v>3.2371977967637695E-2</v>
      </c>
      <c r="F28" s="11">
        <f t="shared" si="6"/>
        <v>3.2924650447421447E-2</v>
      </c>
      <c r="G28" s="11">
        <f t="shared" si="6"/>
        <v>3.884539223944411E-2</v>
      </c>
      <c r="H28" s="11">
        <f t="shared" si="6"/>
        <v>4.6100643030278859E-2</v>
      </c>
      <c r="I28" s="11">
        <f t="shared" si="6"/>
        <v>5.5213481106205949E-2</v>
      </c>
      <c r="J28" s="11">
        <f t="shared" si="6"/>
        <v>7.9010364425787544E-2</v>
      </c>
      <c r="K28" s="11">
        <f t="shared" si="6"/>
        <v>7.8078803233293026E-2</v>
      </c>
      <c r="L28" s="11">
        <f t="shared" si="6"/>
        <v>7.554682114234762E-2</v>
      </c>
      <c r="M28" s="11">
        <f t="shared" si="6"/>
        <v>8.5633455541631265E-2</v>
      </c>
      <c r="N28" s="11">
        <f t="shared" si="6"/>
        <v>8.1655068960872434E-2</v>
      </c>
      <c r="O28" s="11">
        <f t="shared" si="6"/>
        <v>0.10426038963017611</v>
      </c>
      <c r="P28" s="11">
        <f t="shared" si="6"/>
        <v>0.11290619858195436</v>
      </c>
      <c r="Q28" s="11">
        <f t="shared" si="6"/>
        <v>0.12261702346642379</v>
      </c>
      <c r="R28" s="138">
        <f t="shared" si="6"/>
        <v>0.12405804524182951</v>
      </c>
    </row>
    <row r="29" spans="1:19" s="14" customFormat="1" ht="15" customHeight="1" thickBot="1" x14ac:dyDescent="0.35">
      <c r="A29" s="123" t="s">
        <v>602</v>
      </c>
      <c r="B29" s="128">
        <f t="shared" ref="B29:R29" si="7">B26/B76</f>
        <v>0</v>
      </c>
      <c r="C29" s="128">
        <f t="shared" si="7"/>
        <v>0</v>
      </c>
      <c r="D29" s="128">
        <f t="shared" si="7"/>
        <v>7.1388445631246134E-2</v>
      </c>
      <c r="E29" s="128">
        <f t="shared" si="7"/>
        <v>6.5607989540107367E-2</v>
      </c>
      <c r="F29" s="128">
        <f t="shared" si="7"/>
        <v>4.738626527329623E-2</v>
      </c>
      <c r="G29" s="128">
        <f t="shared" si="7"/>
        <v>5.496206309046428E-2</v>
      </c>
      <c r="H29" s="128">
        <f t="shared" si="7"/>
        <v>7.1643486410904858E-2</v>
      </c>
      <c r="I29" s="128">
        <f t="shared" si="7"/>
        <v>8.143681595923305E-2</v>
      </c>
      <c r="J29" s="128">
        <f t="shared" si="7"/>
        <v>0.11075181497069041</v>
      </c>
      <c r="K29" s="128">
        <f t="shared" si="7"/>
        <v>0.11979163648899518</v>
      </c>
      <c r="L29" s="128">
        <f t="shared" si="7"/>
        <v>0.1171706467996287</v>
      </c>
      <c r="M29" s="128">
        <f t="shared" si="7"/>
        <v>0.12434710123330235</v>
      </c>
      <c r="N29" s="128">
        <f t="shared" si="7"/>
        <v>0.1280562991031659</v>
      </c>
      <c r="O29" s="128">
        <f t="shared" si="7"/>
        <v>0.16024546617140606</v>
      </c>
      <c r="P29" s="128">
        <f t="shared" si="7"/>
        <v>0.17488893043549519</v>
      </c>
      <c r="Q29" s="128">
        <f t="shared" si="7"/>
        <v>0.19357477861826528</v>
      </c>
      <c r="R29" s="140">
        <f t="shared" si="7"/>
        <v>0.18660222813873806</v>
      </c>
    </row>
    <row r="30" spans="1:19" s="14" customFormat="1" ht="15" customHeight="1" x14ac:dyDescent="0.3">
      <c r="A30" s="17"/>
      <c r="B30" s="17"/>
      <c r="C30" s="17"/>
      <c r="D30" s="17"/>
      <c r="E30" s="17"/>
      <c r="F30" s="17"/>
      <c r="G30" s="17"/>
      <c r="H30" s="17"/>
      <c r="I30" s="17"/>
      <c r="J30" s="17"/>
      <c r="K30" s="17"/>
      <c r="L30" s="17"/>
      <c r="M30" s="17"/>
      <c r="N30" s="17"/>
      <c r="O30" s="17"/>
      <c r="P30" s="17"/>
      <c r="Q30" s="17"/>
      <c r="R30" s="17"/>
    </row>
    <row r="31" spans="1:19" s="14" customFormat="1" ht="15" customHeight="1" x14ac:dyDescent="0.3">
      <c r="A31" s="144"/>
      <c r="B31" s="144"/>
      <c r="C31" s="144"/>
      <c r="D31" s="144"/>
      <c r="E31" s="144"/>
      <c r="F31" s="144"/>
      <c r="G31" s="144"/>
      <c r="H31" s="144"/>
      <c r="I31" s="144"/>
      <c r="J31" s="144"/>
      <c r="K31" s="144"/>
      <c r="L31" s="144"/>
      <c r="M31" s="144"/>
      <c r="N31" s="144"/>
      <c r="O31" s="144"/>
      <c r="P31" s="144"/>
      <c r="Q31" s="144"/>
      <c r="R31" s="144"/>
    </row>
    <row r="32" spans="1:19" s="14" customFormat="1" ht="16.2" thickBot="1" x14ac:dyDescent="0.35">
      <c r="A32" s="244" t="s">
        <v>315</v>
      </c>
      <c r="B32" s="244" t="s">
        <v>258</v>
      </c>
      <c r="C32" s="244" t="s">
        <v>258</v>
      </c>
      <c r="D32" s="244" t="s">
        <v>258</v>
      </c>
      <c r="E32" s="244" t="s">
        <v>258</v>
      </c>
      <c r="F32" s="244" t="s">
        <v>258</v>
      </c>
      <c r="G32" s="244" t="s">
        <v>258</v>
      </c>
      <c r="H32" s="244" t="s">
        <v>258</v>
      </c>
      <c r="I32" s="244" t="s">
        <v>258</v>
      </c>
      <c r="J32" s="244" t="s">
        <v>258</v>
      </c>
      <c r="K32" s="244" t="s">
        <v>258</v>
      </c>
      <c r="L32" s="244" t="s">
        <v>258</v>
      </c>
      <c r="M32" s="244" t="s">
        <v>258</v>
      </c>
      <c r="N32" s="244" t="s">
        <v>258</v>
      </c>
      <c r="O32" s="244" t="s">
        <v>258</v>
      </c>
      <c r="P32" s="244" t="s">
        <v>258</v>
      </c>
      <c r="Q32" s="244" t="s">
        <v>258</v>
      </c>
      <c r="R32" s="244" t="s">
        <v>258</v>
      </c>
    </row>
    <row r="33" spans="1:18" s="364" customFormat="1" ht="25.05" customHeight="1" thickBot="1" x14ac:dyDescent="0.35">
      <c r="A33" s="353" t="s">
        <v>306</v>
      </c>
      <c r="B33" s="107">
        <v>2000</v>
      </c>
      <c r="C33" s="107">
        <v>2001</v>
      </c>
      <c r="D33" s="107">
        <v>2002</v>
      </c>
      <c r="E33" s="107">
        <v>2003</v>
      </c>
      <c r="F33" s="107">
        <v>2004</v>
      </c>
      <c r="G33" s="107">
        <v>2005</v>
      </c>
      <c r="H33" s="107">
        <v>2006</v>
      </c>
      <c r="I33" s="107">
        <v>2007</v>
      </c>
      <c r="J33" s="107">
        <v>2008</v>
      </c>
      <c r="K33" s="107">
        <v>2009</v>
      </c>
      <c r="L33" s="107">
        <v>2010</v>
      </c>
      <c r="M33" s="107">
        <v>2011</v>
      </c>
      <c r="N33" s="107">
        <v>2012</v>
      </c>
      <c r="O33" s="107">
        <v>2013</v>
      </c>
      <c r="P33" s="107">
        <v>2014</v>
      </c>
      <c r="Q33" s="107">
        <v>2015</v>
      </c>
      <c r="R33" s="108">
        <v>2016</v>
      </c>
    </row>
    <row r="34" spans="1:18" s="14" customFormat="1" ht="4.95" customHeight="1" x14ac:dyDescent="0.3">
      <c r="A34" s="22"/>
      <c r="B34" s="116"/>
      <c r="C34" s="116"/>
      <c r="D34" s="116"/>
      <c r="E34" s="116"/>
      <c r="F34" s="116"/>
      <c r="G34" s="116"/>
      <c r="H34" s="116"/>
      <c r="I34" s="116"/>
      <c r="J34" s="116"/>
      <c r="K34" s="116"/>
      <c r="L34" s="116"/>
      <c r="M34" s="116"/>
      <c r="N34" s="116"/>
      <c r="O34" s="116"/>
      <c r="P34" s="116"/>
      <c r="Q34" s="116"/>
      <c r="R34" s="131"/>
    </row>
    <row r="35" spans="1:18" s="14" customFormat="1" ht="15" customHeight="1" x14ac:dyDescent="0.3">
      <c r="A35" s="109" t="s">
        <v>262</v>
      </c>
      <c r="B35" s="146"/>
      <c r="C35" s="146"/>
      <c r="D35" s="146"/>
      <c r="E35" s="146"/>
      <c r="F35" s="146"/>
      <c r="G35" s="146"/>
      <c r="H35" s="146"/>
      <c r="I35" s="146"/>
      <c r="J35" s="146"/>
      <c r="K35" s="146"/>
      <c r="L35" s="146"/>
      <c r="M35" s="146"/>
      <c r="N35" s="146"/>
      <c r="O35" s="146"/>
      <c r="P35" s="146"/>
      <c r="Q35" s="147"/>
      <c r="R35" s="148"/>
    </row>
    <row r="36" spans="1:18" s="14" customFormat="1" ht="15" customHeight="1" x14ac:dyDescent="0.3">
      <c r="A36" s="22" t="s">
        <v>595</v>
      </c>
      <c r="B36" s="116"/>
      <c r="C36" s="116"/>
      <c r="D36" s="116">
        <v>1909835.8212860001</v>
      </c>
      <c r="E36" s="116">
        <v>2113839.95681484</v>
      </c>
      <c r="F36" s="116">
        <v>2246500</v>
      </c>
      <c r="G36" s="116">
        <v>2639182</v>
      </c>
      <c r="H36" s="116">
        <v>3365384</v>
      </c>
      <c r="I36" s="116">
        <v>4143477</v>
      </c>
      <c r="J36" s="116">
        <v>5619215</v>
      </c>
      <c r="K36" s="116">
        <v>6212261</v>
      </c>
      <c r="L36" s="116">
        <v>6749861</v>
      </c>
      <c r="M36" s="116">
        <v>8049229</v>
      </c>
      <c r="N36" s="116">
        <v>9061166.4321186785</v>
      </c>
      <c r="O36" s="116">
        <v>11898587.536205877</v>
      </c>
      <c r="P36" s="116">
        <v>12962334.26167907</v>
      </c>
      <c r="Q36" s="116">
        <v>14307011.329360908</v>
      </c>
      <c r="R36" s="132">
        <v>15766538.1246356</v>
      </c>
    </row>
    <row r="37" spans="1:18" s="14" customFormat="1" ht="15" customHeight="1" x14ac:dyDescent="0.3">
      <c r="A37" s="168" t="s">
        <v>261</v>
      </c>
      <c r="B37" s="146"/>
      <c r="C37" s="146"/>
      <c r="D37" s="146"/>
      <c r="E37" s="146"/>
      <c r="F37" s="146"/>
      <c r="G37" s="146"/>
      <c r="H37" s="146"/>
      <c r="I37" s="146"/>
      <c r="J37" s="146"/>
      <c r="K37" s="146"/>
      <c r="L37" s="146"/>
      <c r="M37" s="146"/>
      <c r="N37" s="146"/>
      <c r="O37" s="146"/>
      <c r="P37" s="146"/>
      <c r="Q37" s="147"/>
      <c r="R37" s="148"/>
    </row>
    <row r="38" spans="1:18" s="14" customFormat="1" ht="15" customHeight="1" x14ac:dyDescent="0.3">
      <c r="A38" s="22" t="s">
        <v>589</v>
      </c>
      <c r="B38" s="116"/>
      <c r="C38" s="116"/>
      <c r="D38" s="116"/>
      <c r="E38" s="116"/>
      <c r="F38" s="116"/>
      <c r="G38" s="116"/>
      <c r="H38" s="116"/>
      <c r="I38" s="116"/>
      <c r="J38" s="116">
        <v>526015.60715699999</v>
      </c>
      <c r="K38" s="116">
        <v>557129.35</v>
      </c>
      <c r="L38" s="116">
        <v>579744.52399999998</v>
      </c>
      <c r="M38" s="116">
        <v>591272.78883500001</v>
      </c>
      <c r="N38" s="116">
        <v>511909.05210999999</v>
      </c>
      <c r="O38" s="116">
        <v>821410.31572900002</v>
      </c>
      <c r="P38" s="116">
        <v>1039384.2517</v>
      </c>
      <c r="Q38" s="116">
        <v>1224733.7816560001</v>
      </c>
      <c r="R38" s="132">
        <v>1228079.3029149999</v>
      </c>
    </row>
    <row r="39" spans="1:18" s="14" customFormat="1" ht="15" customHeight="1" x14ac:dyDescent="0.3">
      <c r="A39" s="22" t="s">
        <v>590</v>
      </c>
      <c r="B39" s="116"/>
      <c r="C39" s="116"/>
      <c r="D39" s="116"/>
      <c r="E39" s="116"/>
      <c r="F39" s="116"/>
      <c r="G39" s="116"/>
      <c r="H39" s="116"/>
      <c r="I39" s="116"/>
      <c r="J39" s="116">
        <v>121000</v>
      </c>
      <c r="K39" s="116">
        <v>148000</v>
      </c>
      <c r="L39" s="116">
        <v>154920</v>
      </c>
      <c r="M39" s="116">
        <v>196000</v>
      </c>
      <c r="N39" s="116">
        <v>196000</v>
      </c>
      <c r="O39" s="116">
        <v>215502.584271</v>
      </c>
      <c r="P39" s="116">
        <v>219000</v>
      </c>
      <c r="Q39" s="116">
        <v>217872.522</v>
      </c>
      <c r="R39" s="132">
        <v>194279.60658399999</v>
      </c>
    </row>
    <row r="40" spans="1:18" s="14" customFormat="1" ht="15" customHeight="1" x14ac:dyDescent="0.3">
      <c r="A40" s="109" t="s">
        <v>264</v>
      </c>
      <c r="B40" s="152"/>
      <c r="C40" s="152"/>
      <c r="D40" s="152"/>
      <c r="E40" s="152"/>
      <c r="F40" s="152"/>
      <c r="G40" s="152"/>
      <c r="H40" s="152"/>
      <c r="I40" s="152"/>
      <c r="J40" s="152"/>
      <c r="K40" s="152"/>
      <c r="L40" s="152"/>
      <c r="M40" s="152"/>
      <c r="N40" s="152"/>
      <c r="O40" s="152"/>
      <c r="P40" s="152"/>
      <c r="Q40" s="152"/>
      <c r="R40" s="153"/>
    </row>
    <row r="41" spans="1:18" s="14" customFormat="1" ht="15" customHeight="1" x14ac:dyDescent="0.3">
      <c r="A41" s="22" t="s">
        <v>591</v>
      </c>
      <c r="B41" s="116"/>
      <c r="C41" s="116"/>
      <c r="D41" s="116"/>
      <c r="E41" s="116"/>
      <c r="F41" s="116"/>
      <c r="G41" s="116"/>
      <c r="H41" s="116"/>
      <c r="I41" s="116"/>
      <c r="J41" s="116"/>
      <c r="K41" s="116"/>
      <c r="L41" s="116">
        <v>50968.225259999999</v>
      </c>
      <c r="M41" s="116">
        <v>69630.718208000006</v>
      </c>
      <c r="N41" s="116">
        <v>98047.194396000006</v>
      </c>
      <c r="O41" s="116">
        <v>133971.20974199998</v>
      </c>
      <c r="P41" s="116">
        <v>61203.127992000002</v>
      </c>
      <c r="Q41" s="116">
        <v>61241.666213999997</v>
      </c>
      <c r="R41" s="132"/>
    </row>
    <row r="42" spans="1:18" s="14" customFormat="1" ht="15" customHeight="1" x14ac:dyDescent="0.3">
      <c r="A42" s="22" t="s">
        <v>164</v>
      </c>
      <c r="B42" s="117"/>
      <c r="C42" s="117"/>
      <c r="D42" s="117"/>
      <c r="E42" s="117"/>
      <c r="F42" s="117"/>
      <c r="G42" s="117"/>
      <c r="H42" s="117"/>
      <c r="I42" s="117"/>
      <c r="J42" s="117"/>
      <c r="K42" s="117"/>
      <c r="L42" s="117">
        <v>0</v>
      </c>
      <c r="M42" s="117">
        <v>0</v>
      </c>
      <c r="N42" s="117">
        <v>0</v>
      </c>
      <c r="O42" s="117">
        <v>0</v>
      </c>
      <c r="P42" s="117">
        <v>14284.546877000001</v>
      </c>
      <c r="Q42" s="118">
        <v>24000.078611000001</v>
      </c>
      <c r="R42" s="133">
        <v>4608.5782829999998</v>
      </c>
    </row>
    <row r="43" spans="1:18" s="14" customFormat="1" ht="15" customHeight="1" x14ac:dyDescent="0.3">
      <c r="A43" s="22" t="s">
        <v>165</v>
      </c>
      <c r="B43" s="117">
        <v>0</v>
      </c>
      <c r="C43" s="117">
        <v>0</v>
      </c>
      <c r="D43" s="117">
        <v>0</v>
      </c>
      <c r="E43" s="117">
        <v>0</v>
      </c>
      <c r="F43" s="117">
        <v>0</v>
      </c>
      <c r="G43" s="117">
        <v>0</v>
      </c>
      <c r="H43" s="117">
        <v>0</v>
      </c>
      <c r="I43" s="117">
        <v>0</v>
      </c>
      <c r="J43" s="117">
        <v>0</v>
      </c>
      <c r="K43" s="117">
        <v>0</v>
      </c>
      <c r="L43" s="117">
        <v>0</v>
      </c>
      <c r="M43" s="117">
        <v>0</v>
      </c>
      <c r="N43" s="117">
        <v>0</v>
      </c>
      <c r="O43" s="117">
        <v>12400.523999999999</v>
      </c>
      <c r="P43" s="117">
        <v>12400.523999999999</v>
      </c>
      <c r="Q43" s="118">
        <v>0</v>
      </c>
      <c r="R43" s="133">
        <v>0</v>
      </c>
    </row>
    <row r="44" spans="1:18" s="14" customFormat="1" ht="15" customHeight="1" x14ac:dyDescent="0.3">
      <c r="A44" s="22" t="s">
        <v>166</v>
      </c>
      <c r="B44" s="117">
        <v>0</v>
      </c>
      <c r="C44" s="117">
        <v>0</v>
      </c>
      <c r="D44" s="117">
        <v>0</v>
      </c>
      <c r="E44" s="117">
        <v>0</v>
      </c>
      <c r="F44" s="117">
        <v>0</v>
      </c>
      <c r="G44" s="117">
        <v>0</v>
      </c>
      <c r="H44" s="117">
        <v>0</v>
      </c>
      <c r="I44" s="117">
        <v>0</v>
      </c>
      <c r="J44" s="117">
        <v>0</v>
      </c>
      <c r="K44" s="117">
        <v>0</v>
      </c>
      <c r="L44" s="117">
        <v>0</v>
      </c>
      <c r="M44" s="117">
        <v>0</v>
      </c>
      <c r="N44" s="119">
        <v>0</v>
      </c>
      <c r="O44" s="119">
        <v>0</v>
      </c>
      <c r="P44" s="119">
        <v>0</v>
      </c>
      <c r="Q44" s="119">
        <v>155000</v>
      </c>
      <c r="R44" s="134">
        <v>342913.61310199997</v>
      </c>
    </row>
    <row r="45" spans="1:18" s="14" customFormat="1" ht="15" customHeight="1" x14ac:dyDescent="0.3">
      <c r="A45" s="109" t="s">
        <v>263</v>
      </c>
      <c r="B45" s="154"/>
      <c r="C45" s="154"/>
      <c r="D45" s="154"/>
      <c r="E45" s="154"/>
      <c r="F45" s="154"/>
      <c r="G45" s="154"/>
      <c r="H45" s="154"/>
      <c r="I45" s="154"/>
      <c r="J45" s="154"/>
      <c r="K45" s="154"/>
      <c r="L45" s="154"/>
      <c r="M45" s="154"/>
      <c r="N45" s="154"/>
      <c r="O45" s="154"/>
      <c r="P45" s="154"/>
      <c r="Q45" s="155"/>
      <c r="R45" s="156"/>
    </row>
    <row r="46" spans="1:18" s="14" customFormat="1" ht="15" customHeight="1" x14ac:dyDescent="0.3">
      <c r="A46" s="22" t="s">
        <v>592</v>
      </c>
      <c r="B46" s="117"/>
      <c r="C46" s="117"/>
      <c r="D46" s="117">
        <v>781937.48</v>
      </c>
      <c r="E46" s="117">
        <v>628435.57664900005</v>
      </c>
      <c r="F46" s="117">
        <v>367141.662495</v>
      </c>
      <c r="G46" s="117">
        <v>259444</v>
      </c>
      <c r="H46" s="117">
        <v>306781</v>
      </c>
      <c r="I46" s="117">
        <v>781006.29119799996</v>
      </c>
      <c r="J46" s="117">
        <v>1198190</v>
      </c>
      <c r="K46" s="117">
        <v>1421729.8820849999</v>
      </c>
      <c r="L46" s="117">
        <v>1895471.566691</v>
      </c>
      <c r="M46" s="117">
        <v>1291124.75</v>
      </c>
      <c r="N46" s="117">
        <v>1269247.5106269999</v>
      </c>
      <c r="O46" s="117">
        <v>1635019.476</v>
      </c>
      <c r="P46" s="117">
        <v>2268916.5673499997</v>
      </c>
      <c r="Q46" s="118">
        <v>2581097</v>
      </c>
      <c r="R46" s="133">
        <v>2117324.739482</v>
      </c>
    </row>
    <row r="47" spans="1:18" s="14" customFormat="1" ht="15" customHeight="1" x14ac:dyDescent="0.3">
      <c r="A47" s="22" t="s">
        <v>593</v>
      </c>
      <c r="B47" s="116">
        <v>0</v>
      </c>
      <c r="C47" s="116">
        <v>0</v>
      </c>
      <c r="D47" s="116">
        <v>0</v>
      </c>
      <c r="E47" s="116">
        <v>0</v>
      </c>
      <c r="F47" s="116">
        <v>0</v>
      </c>
      <c r="G47" s="116">
        <v>254000</v>
      </c>
      <c r="H47" s="116">
        <v>214800</v>
      </c>
      <c r="I47" s="116">
        <v>366000</v>
      </c>
      <c r="J47" s="116">
        <v>328000</v>
      </c>
      <c r="K47" s="116">
        <v>583344</v>
      </c>
      <c r="L47" s="116">
        <v>514070.6</v>
      </c>
      <c r="M47" s="116">
        <v>732841</v>
      </c>
      <c r="N47" s="116">
        <v>70580.039999999994</v>
      </c>
      <c r="O47" s="116">
        <v>33263.457949000003</v>
      </c>
      <c r="P47" s="116">
        <v>381823.86706500011</v>
      </c>
      <c r="Q47" s="116">
        <v>889478.55956900015</v>
      </c>
      <c r="R47" s="132">
        <v>720759.32</v>
      </c>
    </row>
    <row r="48" spans="1:18" s="14" customFormat="1" ht="15" customHeight="1" x14ac:dyDescent="0.3">
      <c r="A48" s="109" t="s">
        <v>265</v>
      </c>
      <c r="B48" s="154"/>
      <c r="C48" s="154"/>
      <c r="D48" s="154"/>
      <c r="E48" s="154"/>
      <c r="F48" s="154"/>
      <c r="G48" s="154"/>
      <c r="H48" s="154"/>
      <c r="I48" s="154"/>
      <c r="J48" s="154"/>
      <c r="K48" s="154"/>
      <c r="L48" s="154"/>
      <c r="M48" s="154"/>
      <c r="N48" s="154"/>
      <c r="O48" s="154"/>
      <c r="P48" s="154"/>
      <c r="Q48" s="155"/>
      <c r="R48" s="156"/>
    </row>
    <row r="49" spans="1:19" s="14" customFormat="1" ht="15" customHeight="1" x14ac:dyDescent="0.3">
      <c r="A49" s="22" t="s">
        <v>167</v>
      </c>
      <c r="B49" s="117"/>
      <c r="C49" s="117"/>
      <c r="D49" s="117"/>
      <c r="E49" s="117"/>
      <c r="F49" s="117"/>
      <c r="G49" s="117"/>
      <c r="H49" s="117"/>
      <c r="I49" s="117"/>
      <c r="J49" s="117"/>
      <c r="K49" s="117"/>
      <c r="L49" s="117">
        <v>507512.92652561999</v>
      </c>
      <c r="M49" s="117">
        <v>552343.43789399997</v>
      </c>
      <c r="N49" s="117">
        <v>846764.86219200003</v>
      </c>
      <c r="O49" s="117">
        <v>1111036.54205</v>
      </c>
      <c r="P49" s="117">
        <v>1315343.3829349999</v>
      </c>
      <c r="Q49" s="117">
        <v>996862.79043099994</v>
      </c>
      <c r="R49" s="135">
        <v>139664</v>
      </c>
    </row>
    <row r="50" spans="1:19" s="14" customFormat="1" ht="15" customHeight="1" x14ac:dyDescent="0.3">
      <c r="A50" s="124" t="s">
        <v>594</v>
      </c>
      <c r="B50" s="126">
        <v>0</v>
      </c>
      <c r="C50" s="126">
        <v>0</v>
      </c>
      <c r="D50" s="126">
        <v>0</v>
      </c>
      <c r="E50" s="126">
        <v>0</v>
      </c>
      <c r="F50" s="126">
        <v>0</v>
      </c>
      <c r="G50" s="126">
        <v>0</v>
      </c>
      <c r="H50" s="126">
        <v>0</v>
      </c>
      <c r="I50" s="126">
        <v>0</v>
      </c>
      <c r="J50" s="126">
        <v>0</v>
      </c>
      <c r="K50" s="126">
        <v>209965.08009</v>
      </c>
      <c r="L50" s="126">
        <v>204590.83421500001</v>
      </c>
      <c r="M50" s="126">
        <v>208980.832734</v>
      </c>
      <c r="N50" s="126">
        <v>89363.736724999995</v>
      </c>
      <c r="O50" s="126">
        <v>0</v>
      </c>
      <c r="P50" s="126">
        <v>0</v>
      </c>
      <c r="Q50" s="126">
        <v>0</v>
      </c>
      <c r="R50" s="136">
        <v>0</v>
      </c>
    </row>
    <row r="51" spans="1:19" s="14" customFormat="1" ht="15" customHeight="1" x14ac:dyDescent="0.3">
      <c r="A51" s="143" t="s">
        <v>308</v>
      </c>
      <c r="B51" s="127">
        <f t="shared" ref="B51:R51" si="8">SUM(B36:B50)</f>
        <v>0</v>
      </c>
      <c r="C51" s="127">
        <f t="shared" si="8"/>
        <v>0</v>
      </c>
      <c r="D51" s="127">
        <f t="shared" si="8"/>
        <v>2691773.3012859998</v>
      </c>
      <c r="E51" s="127">
        <f t="shared" si="8"/>
        <v>2742275.5334638399</v>
      </c>
      <c r="F51" s="127">
        <f t="shared" si="8"/>
        <v>2613641.6624949998</v>
      </c>
      <c r="G51" s="127">
        <f t="shared" si="8"/>
        <v>3152626</v>
      </c>
      <c r="H51" s="127">
        <f t="shared" si="8"/>
        <v>3886965</v>
      </c>
      <c r="I51" s="127">
        <f t="shared" si="8"/>
        <v>5290483.2911980003</v>
      </c>
      <c r="J51" s="127">
        <f t="shared" si="8"/>
        <v>7792420.6071570003</v>
      </c>
      <c r="K51" s="127">
        <f t="shared" si="8"/>
        <v>9132429.3121750001</v>
      </c>
      <c r="L51" s="127">
        <f t="shared" si="8"/>
        <v>10657139.676691622</v>
      </c>
      <c r="M51" s="127">
        <f t="shared" si="8"/>
        <v>11691422.527671</v>
      </c>
      <c r="N51" s="127">
        <f t="shared" si="8"/>
        <v>12143078.828168677</v>
      </c>
      <c r="O51" s="127">
        <f t="shared" si="8"/>
        <v>15861191.645946877</v>
      </c>
      <c r="P51" s="127">
        <f t="shared" si="8"/>
        <v>18274690.529598072</v>
      </c>
      <c r="Q51" s="127">
        <f t="shared" si="8"/>
        <v>20457297.72784191</v>
      </c>
      <c r="R51" s="137">
        <f t="shared" si="8"/>
        <v>20514167.285001602</v>
      </c>
      <c r="S51" s="151"/>
    </row>
    <row r="52" spans="1:19" s="14" customFormat="1" ht="15" customHeight="1" x14ac:dyDescent="0.3">
      <c r="A52" s="1" t="s">
        <v>319</v>
      </c>
      <c r="B52" s="11">
        <f t="shared" ref="B52:R52" si="9">B51/B68</f>
        <v>0</v>
      </c>
      <c r="C52" s="11">
        <f t="shared" si="9"/>
        <v>0</v>
      </c>
      <c r="D52" s="11">
        <f t="shared" si="9"/>
        <v>7.7324122855248117E-2</v>
      </c>
      <c r="E52" s="11">
        <f t="shared" si="9"/>
        <v>7.0301899999727871E-2</v>
      </c>
      <c r="F52" s="11">
        <f t="shared" si="9"/>
        <v>5.5247600591999131E-2</v>
      </c>
      <c r="G52" s="11">
        <f t="shared" si="9"/>
        <v>5.5536106325078584E-2</v>
      </c>
      <c r="H52" s="11">
        <f t="shared" si="9"/>
        <v>6.0374030090908422E-2</v>
      </c>
      <c r="I52" s="11">
        <f t="shared" si="9"/>
        <v>7.2496600864452088E-2</v>
      </c>
      <c r="J52" s="11">
        <f t="shared" si="9"/>
        <v>9.2398185222124077E-2</v>
      </c>
      <c r="K52" s="11">
        <f t="shared" si="9"/>
        <v>9.7114913573651027E-2</v>
      </c>
      <c r="L52" s="11">
        <f t="shared" si="9"/>
        <v>0.10281856837417176</v>
      </c>
      <c r="M52" s="11">
        <f t="shared" si="9"/>
        <v>0.10005692304587872</v>
      </c>
      <c r="N52" s="11">
        <f t="shared" si="9"/>
        <v>9.4525508754335449E-2</v>
      </c>
      <c r="O52" s="11">
        <f t="shared" si="9"/>
        <v>0.11331804225730183</v>
      </c>
      <c r="P52" s="11">
        <f t="shared" si="9"/>
        <v>0.12031496792791767</v>
      </c>
      <c r="Q52" s="11">
        <f t="shared" si="9"/>
        <v>0.12310816684360183</v>
      </c>
      <c r="R52" s="138">
        <f t="shared" si="9"/>
        <v>0.11822458209035096</v>
      </c>
    </row>
    <row r="53" spans="1:19" s="14" customFormat="1" ht="15" customHeight="1" x14ac:dyDescent="0.3">
      <c r="A53" s="1" t="s">
        <v>316</v>
      </c>
      <c r="B53" s="11">
        <f t="shared" ref="B53:R53" si="10">B51/B69</f>
        <v>0</v>
      </c>
      <c r="C53" s="11">
        <f t="shared" si="10"/>
        <v>0</v>
      </c>
      <c r="D53" s="11">
        <f t="shared" si="10"/>
        <v>3.96890128677077E-2</v>
      </c>
      <c r="E53" s="11">
        <f t="shared" si="10"/>
        <v>3.6039149183012723E-2</v>
      </c>
      <c r="F53" s="11">
        <f t="shared" si="10"/>
        <v>3.0395938174017159E-2</v>
      </c>
      <c r="G53" s="11">
        <f t="shared" si="10"/>
        <v>3.1814313294663901E-2</v>
      </c>
      <c r="H53" s="11">
        <f t="shared" si="10"/>
        <v>3.4965775950364673E-2</v>
      </c>
      <c r="I53" s="11">
        <f t="shared" si="10"/>
        <v>4.082059436737176E-2</v>
      </c>
      <c r="J53" s="11">
        <f t="shared" si="10"/>
        <v>5.4481064643234413E-2</v>
      </c>
      <c r="K53" s="11">
        <f t="shared" si="10"/>
        <v>5.9562139149288887E-2</v>
      </c>
      <c r="L53" s="11">
        <f t="shared" si="10"/>
        <v>6.4690172049028188E-2</v>
      </c>
      <c r="M53" s="11">
        <f t="shared" si="10"/>
        <v>6.2165794641833957E-2</v>
      </c>
      <c r="N53" s="11">
        <f t="shared" si="10"/>
        <v>5.9115464825386023E-2</v>
      </c>
      <c r="O53" s="11">
        <f t="shared" si="10"/>
        <v>7.0534185813585296E-2</v>
      </c>
      <c r="P53" s="11">
        <f t="shared" si="10"/>
        <v>7.5052993155010336E-2</v>
      </c>
      <c r="Q53" s="11">
        <f t="shared" si="10"/>
        <v>7.7937047196200995E-2</v>
      </c>
      <c r="R53" s="138">
        <f t="shared" si="10"/>
        <v>7.5034453134088228E-2</v>
      </c>
    </row>
    <row r="54" spans="1:19" s="14" customFormat="1" ht="15" customHeight="1" x14ac:dyDescent="0.3">
      <c r="A54" s="1" t="s">
        <v>317</v>
      </c>
      <c r="B54" s="11">
        <f t="shared" ref="B54:R54" si="11">B51/B70</f>
        <v>0</v>
      </c>
      <c r="C54" s="11">
        <f t="shared" si="11"/>
        <v>0</v>
      </c>
      <c r="D54" s="11">
        <f t="shared" si="11"/>
        <v>1.0972364194494605E-2</v>
      </c>
      <c r="E54" s="11">
        <f t="shared" si="11"/>
        <v>1.0069123844622959E-2</v>
      </c>
      <c r="F54" s="11">
        <f t="shared" si="11"/>
        <v>8.4924118718197831E-3</v>
      </c>
      <c r="G54" s="11">
        <f t="shared" si="11"/>
        <v>9.2681769541034121E-3</v>
      </c>
      <c r="H54" s="11">
        <f t="shared" si="11"/>
        <v>1.0124994139068189E-2</v>
      </c>
      <c r="I54" s="11">
        <f t="shared" si="11"/>
        <v>1.227285300645368E-2</v>
      </c>
      <c r="J54" s="11">
        <f t="shared" si="11"/>
        <v>1.6231267680976574E-2</v>
      </c>
      <c r="K54" s="11">
        <f t="shared" si="11"/>
        <v>1.809666819019037E-2</v>
      </c>
      <c r="L54" s="11">
        <f t="shared" si="11"/>
        <v>1.9557111958165948E-2</v>
      </c>
      <c r="M54" s="11">
        <f t="shared" si="11"/>
        <v>1.8860357621901486E-2</v>
      </c>
      <c r="N54" s="11">
        <f t="shared" si="11"/>
        <v>1.8281161670734489E-2</v>
      </c>
      <c r="O54" s="11">
        <f t="shared" si="11"/>
        <v>2.2324079687805688E-2</v>
      </c>
      <c r="P54" s="11">
        <f t="shared" si="11"/>
        <v>2.4138865922474387E-2</v>
      </c>
      <c r="Q54" s="11">
        <f t="shared" si="11"/>
        <v>2.5593632683910551E-2</v>
      </c>
      <c r="R54" s="138">
        <f t="shared" si="11"/>
        <v>2.3779716909614401E-2</v>
      </c>
    </row>
    <row r="55" spans="1:19" s="14" customFormat="1" ht="15" customHeight="1" x14ac:dyDescent="0.3">
      <c r="A55" s="1" t="s">
        <v>318</v>
      </c>
      <c r="B55" s="121">
        <f t="shared" ref="B55:R55" si="12">B51/B75</f>
        <v>0</v>
      </c>
      <c r="C55" s="121">
        <f t="shared" si="12"/>
        <v>0</v>
      </c>
      <c r="D55" s="121">
        <f t="shared" si="12"/>
        <v>0.23094640001502365</v>
      </c>
      <c r="E55" s="121">
        <f t="shared" si="12"/>
        <v>0.22748072770061958</v>
      </c>
      <c r="F55" s="121">
        <f t="shared" si="12"/>
        <v>0.22427392961362499</v>
      </c>
      <c r="G55" s="121">
        <f t="shared" si="12"/>
        <v>0.26418435354936204</v>
      </c>
      <c r="H55" s="121">
        <f t="shared" si="12"/>
        <v>0.33414410070456296</v>
      </c>
      <c r="I55" s="121">
        <f t="shared" si="12"/>
        <v>0.45976416784621471</v>
      </c>
      <c r="J55" s="121">
        <f t="shared" si="12"/>
        <v>0.7062299594417315</v>
      </c>
      <c r="K55" s="121">
        <f t="shared" si="12"/>
        <v>0.77431685877631473</v>
      </c>
      <c r="L55" s="121">
        <f t="shared" si="12"/>
        <v>0.84978489940715352</v>
      </c>
      <c r="M55" s="121">
        <f t="shared" si="12"/>
        <v>0.91815127781612749</v>
      </c>
      <c r="N55" s="121">
        <f t="shared" si="12"/>
        <v>0.93629935139300724</v>
      </c>
      <c r="O55" s="121">
        <f t="shared" si="12"/>
        <v>1.2324089287104902</v>
      </c>
      <c r="P55" s="121">
        <f t="shared" si="12"/>
        <v>1.4242043184163353</v>
      </c>
      <c r="Q55" s="121">
        <f t="shared" si="12"/>
        <v>1.5870607923677205</v>
      </c>
      <c r="R55" s="139">
        <f t="shared" si="12"/>
        <v>1.5981392950231952</v>
      </c>
    </row>
    <row r="56" spans="1:19" s="14" customFormat="1" ht="15" customHeight="1" x14ac:dyDescent="0.3">
      <c r="A56" s="1" t="s">
        <v>335</v>
      </c>
      <c r="B56" s="11">
        <f t="shared" ref="B56:R56" si="13">B55/B71</f>
        <v>0</v>
      </c>
      <c r="C56" s="11">
        <f t="shared" si="13"/>
        <v>0</v>
      </c>
      <c r="D56" s="11">
        <f t="shared" si="13"/>
        <v>6.2283279399952436E-2</v>
      </c>
      <c r="E56" s="11">
        <f t="shared" si="13"/>
        <v>5.70985762300752E-2</v>
      </c>
      <c r="F56" s="11">
        <f t="shared" si="13"/>
        <v>5.2205290878404323E-2</v>
      </c>
      <c r="G56" s="11">
        <f t="shared" si="13"/>
        <v>5.7707372990249459E-2</v>
      </c>
      <c r="H56" s="11">
        <f t="shared" si="13"/>
        <v>6.8248386581814327E-2</v>
      </c>
      <c r="I56" s="11">
        <f t="shared" si="13"/>
        <v>8.8341435678697788E-2</v>
      </c>
      <c r="J56" s="11">
        <f t="shared" si="13"/>
        <v>0.12752436970778827</v>
      </c>
      <c r="K56" s="11">
        <f t="shared" si="13"/>
        <v>0.12985792895557705</v>
      </c>
      <c r="L56" s="11">
        <f t="shared" si="13"/>
        <v>0.13750564715326108</v>
      </c>
      <c r="M56" s="11">
        <f t="shared" si="13"/>
        <v>0.14285400762635789</v>
      </c>
      <c r="N56" s="11">
        <f t="shared" si="13"/>
        <v>0.13768298208826057</v>
      </c>
      <c r="O56" s="11">
        <f t="shared" si="13"/>
        <v>0.17421669899780751</v>
      </c>
      <c r="P56" s="11">
        <f t="shared" si="13"/>
        <v>0.19266833311909298</v>
      </c>
      <c r="Q56" s="11">
        <f t="shared" si="13"/>
        <v>0.20525345857165109</v>
      </c>
      <c r="R56" s="138">
        <f t="shared" si="13"/>
        <v>0.19316456416338451</v>
      </c>
    </row>
    <row r="57" spans="1:19" s="14" customFormat="1" ht="15" customHeight="1" x14ac:dyDescent="0.3">
      <c r="A57" s="1" t="s">
        <v>336</v>
      </c>
      <c r="B57" s="11">
        <f t="shared" ref="B57:R57" si="14">B55/B72</f>
        <v>0</v>
      </c>
      <c r="C57" s="11">
        <f t="shared" si="14"/>
        <v>0</v>
      </c>
      <c r="D57" s="11">
        <f t="shared" si="14"/>
        <v>4.5907956048340498E-2</v>
      </c>
      <c r="E57" s="11">
        <f t="shared" si="14"/>
        <v>4.1996028537679551E-2</v>
      </c>
      <c r="F57" s="11">
        <f t="shared" si="14"/>
        <v>3.8305469900941608E-2</v>
      </c>
      <c r="G57" s="11">
        <f t="shared" si="14"/>
        <v>4.2328824648525297E-2</v>
      </c>
      <c r="H57" s="11">
        <f t="shared" si="14"/>
        <v>5.005094317392287E-2</v>
      </c>
      <c r="I57" s="11">
        <f t="shared" si="14"/>
        <v>6.4776025965152736E-2</v>
      </c>
      <c r="J57" s="11">
        <f t="shared" si="14"/>
        <v>9.3366766891995745E-2</v>
      </c>
      <c r="K57" s="11">
        <f t="shared" si="14"/>
        <v>9.5063912149784296E-2</v>
      </c>
      <c r="L57" s="11">
        <f t="shared" si="14"/>
        <v>0.10065679183729195</v>
      </c>
      <c r="M57" s="11">
        <f t="shared" si="14"/>
        <v>0.10462337208881897</v>
      </c>
      <c r="N57" s="11">
        <f t="shared" si="14"/>
        <v>0.10077018821135507</v>
      </c>
      <c r="O57" s="11">
        <f t="shared" si="14"/>
        <v>0.12751361922400706</v>
      </c>
      <c r="P57" s="11">
        <f t="shared" si="14"/>
        <v>0.14129908232430782</v>
      </c>
      <c r="Q57" s="11">
        <f t="shared" si="14"/>
        <v>0.15075415915151177</v>
      </c>
      <c r="R57" s="138">
        <f t="shared" si="14"/>
        <v>0.1420991806218361</v>
      </c>
    </row>
    <row r="58" spans="1:19" s="14" customFormat="1" ht="15" customHeight="1" thickBot="1" x14ac:dyDescent="0.35">
      <c r="A58" s="123" t="s">
        <v>603</v>
      </c>
      <c r="B58" s="128">
        <f t="shared" ref="B58:R58" si="15">B55/B76</f>
        <v>0</v>
      </c>
      <c r="C58" s="128">
        <f t="shared" si="15"/>
        <v>0</v>
      </c>
      <c r="D58" s="128">
        <f t="shared" si="15"/>
        <v>0.10061677021069924</v>
      </c>
      <c r="E58" s="128">
        <f t="shared" si="15"/>
        <v>8.5112964174774305E-2</v>
      </c>
      <c r="F58" s="128">
        <f t="shared" si="15"/>
        <v>5.5130521766448705E-2</v>
      </c>
      <c r="G58" s="128">
        <f t="shared" si="15"/>
        <v>5.9890746283033015E-2</v>
      </c>
      <c r="H58" s="128">
        <f t="shared" si="15"/>
        <v>7.7782517367029957E-2</v>
      </c>
      <c r="I58" s="128">
        <f t="shared" si="15"/>
        <v>9.5541038156018776E-2</v>
      </c>
      <c r="J58" s="128">
        <f t="shared" si="15"/>
        <v>0.13087572708193879</v>
      </c>
      <c r="K58" s="128">
        <f t="shared" si="15"/>
        <v>0.14585087291159859</v>
      </c>
      <c r="L58" s="128">
        <f t="shared" si="15"/>
        <v>0.15611538945005285</v>
      </c>
      <c r="M58" s="128">
        <f t="shared" si="15"/>
        <v>0.15192208416923131</v>
      </c>
      <c r="N58" s="128">
        <f t="shared" si="15"/>
        <v>0.15803375744448986</v>
      </c>
      <c r="O58" s="128">
        <f t="shared" si="15"/>
        <v>0.19598506612371325</v>
      </c>
      <c r="P58" s="128">
        <f t="shared" si="15"/>
        <v>0.21886881047791126</v>
      </c>
      <c r="Q58" s="128">
        <f t="shared" si="15"/>
        <v>0.23799471034727554</v>
      </c>
      <c r="R58" s="140">
        <f t="shared" si="15"/>
        <v>0.21373884836759477</v>
      </c>
    </row>
    <row r="59" spans="1:19" s="14" customFormat="1" ht="15" customHeight="1" x14ac:dyDescent="0.3">
      <c r="A59" s="57" t="s">
        <v>320</v>
      </c>
      <c r="B59" s="11"/>
      <c r="C59" s="11"/>
      <c r="D59" s="11"/>
      <c r="E59" s="11"/>
      <c r="F59" s="11"/>
      <c r="G59" s="11"/>
      <c r="H59" s="11"/>
      <c r="I59" s="11"/>
      <c r="J59" s="11"/>
      <c r="K59" s="11"/>
      <c r="L59" s="11"/>
      <c r="M59" s="11"/>
      <c r="N59" s="11"/>
      <c r="O59" s="11"/>
      <c r="P59" s="11"/>
      <c r="Q59" s="11"/>
      <c r="R59" s="11"/>
    </row>
    <row r="60" spans="1:19" s="14" customFormat="1" ht="15" customHeight="1" x14ac:dyDescent="0.3">
      <c r="A60" s="57" t="s">
        <v>321</v>
      </c>
      <c r="B60" s="11"/>
      <c r="C60" s="11"/>
      <c r="D60" s="11"/>
      <c r="E60" s="11"/>
      <c r="F60" s="11"/>
      <c r="G60" s="11"/>
      <c r="H60" s="11"/>
      <c r="I60" s="11"/>
      <c r="J60" s="11"/>
      <c r="K60" s="11"/>
      <c r="L60" s="11"/>
      <c r="M60" s="11"/>
      <c r="N60" s="11"/>
      <c r="O60" s="11"/>
      <c r="P60" s="11"/>
      <c r="Q60" s="11"/>
      <c r="R60" s="11"/>
    </row>
    <row r="61" spans="1:19" s="14" customFormat="1" ht="15" customHeight="1" x14ac:dyDescent="0.3">
      <c r="A61" s="57" t="s">
        <v>322</v>
      </c>
      <c r="B61" s="17"/>
      <c r="C61" s="17"/>
      <c r="D61" s="17"/>
      <c r="E61" s="17"/>
      <c r="F61" s="17"/>
      <c r="G61" s="17"/>
      <c r="H61" s="17"/>
      <c r="I61" s="17"/>
      <c r="J61" s="17"/>
      <c r="K61" s="17"/>
      <c r="L61" s="17"/>
      <c r="M61" s="17"/>
      <c r="N61" s="17"/>
      <c r="O61" s="17"/>
      <c r="P61" s="17"/>
      <c r="Q61" s="17"/>
      <c r="R61" s="17"/>
    </row>
    <row r="62" spans="1:19" s="14" customFormat="1" ht="15" customHeight="1" x14ac:dyDescent="0.3">
      <c r="A62" s="57" t="s">
        <v>323</v>
      </c>
      <c r="B62" s="17"/>
      <c r="C62" s="17"/>
      <c r="D62" s="17"/>
      <c r="E62" s="17"/>
      <c r="F62" s="17"/>
      <c r="G62" s="17"/>
      <c r="H62" s="17"/>
      <c r="I62" s="17"/>
      <c r="J62" s="17"/>
      <c r="K62" s="17"/>
      <c r="L62" s="17"/>
      <c r="M62" s="17"/>
      <c r="N62" s="17"/>
      <c r="O62" s="17"/>
      <c r="P62" s="17"/>
      <c r="Q62" s="17"/>
      <c r="R62" s="17"/>
    </row>
    <row r="63" spans="1:19" s="14" customFormat="1" ht="15" customHeight="1" x14ac:dyDescent="0.3">
      <c r="A63" s="57" t="s">
        <v>324</v>
      </c>
      <c r="B63" s="17"/>
      <c r="C63" s="17"/>
      <c r="D63" s="17"/>
      <c r="E63" s="17"/>
      <c r="F63" s="17"/>
      <c r="G63" s="17"/>
      <c r="H63" s="17"/>
      <c r="I63" s="17"/>
      <c r="J63" s="17"/>
      <c r="K63" s="17"/>
      <c r="L63" s="17"/>
      <c r="M63" s="17"/>
      <c r="N63" s="17"/>
      <c r="O63" s="17"/>
      <c r="P63" s="17"/>
      <c r="Q63" s="17"/>
      <c r="R63" s="17"/>
    </row>
    <row r="64" spans="1:19" s="14" customFormat="1" ht="15" customHeight="1" x14ac:dyDescent="0.3">
      <c r="B64" s="17"/>
      <c r="C64" s="17"/>
      <c r="D64" s="17"/>
      <c r="E64" s="17"/>
      <c r="F64" s="17"/>
      <c r="G64" s="17"/>
      <c r="H64" s="17"/>
      <c r="I64" s="17"/>
      <c r="J64" s="17"/>
      <c r="K64" s="17"/>
      <c r="L64" s="17"/>
      <c r="M64" s="17"/>
      <c r="N64" s="17"/>
      <c r="O64" s="17"/>
      <c r="P64" s="17"/>
      <c r="Q64" s="17"/>
      <c r="R64" s="17"/>
    </row>
    <row r="65" spans="1:142" s="14" customFormat="1" ht="15" customHeight="1" thickBot="1" x14ac:dyDescent="0.35">
      <c r="B65" s="17"/>
      <c r="C65" s="17"/>
      <c r="D65" s="17"/>
      <c r="E65" s="17"/>
      <c r="F65" s="17"/>
      <c r="G65" s="17"/>
      <c r="H65" s="17"/>
      <c r="I65" s="17"/>
      <c r="J65" s="17"/>
      <c r="K65" s="17"/>
      <c r="L65" s="17"/>
      <c r="M65" s="17"/>
      <c r="N65" s="17"/>
      <c r="O65" s="17"/>
      <c r="P65" s="17"/>
      <c r="Q65" s="17"/>
      <c r="R65" s="17"/>
    </row>
    <row r="66" spans="1:142" s="362" customFormat="1" ht="25.05" customHeight="1" thickBot="1" x14ac:dyDescent="0.35">
      <c r="A66" s="353" t="s">
        <v>292</v>
      </c>
      <c r="B66" s="107">
        <v>2000</v>
      </c>
      <c r="C66" s="107">
        <v>2001</v>
      </c>
      <c r="D66" s="107">
        <v>2002</v>
      </c>
      <c r="E66" s="107">
        <v>2003</v>
      </c>
      <c r="F66" s="107">
        <v>2004</v>
      </c>
      <c r="G66" s="107">
        <v>2005</v>
      </c>
      <c r="H66" s="107">
        <v>2006</v>
      </c>
      <c r="I66" s="107">
        <v>2007</v>
      </c>
      <c r="J66" s="107">
        <v>2008</v>
      </c>
      <c r="K66" s="107">
        <v>2009</v>
      </c>
      <c r="L66" s="107">
        <v>2010</v>
      </c>
      <c r="M66" s="107">
        <v>2011</v>
      </c>
      <c r="N66" s="107">
        <v>2012</v>
      </c>
      <c r="O66" s="107">
        <v>2013</v>
      </c>
      <c r="P66" s="107">
        <v>2014</v>
      </c>
      <c r="Q66" s="107">
        <v>2015</v>
      </c>
      <c r="R66" s="108">
        <v>2016</v>
      </c>
    </row>
    <row r="67" spans="1:142" ht="4.95" customHeight="1" thickBot="1" x14ac:dyDescent="0.35">
      <c r="A67" s="5"/>
      <c r="B67" s="120"/>
      <c r="C67" s="120"/>
      <c r="D67" s="120"/>
      <c r="E67" s="120"/>
      <c r="F67" s="120"/>
      <c r="G67" s="120"/>
      <c r="H67" s="120"/>
      <c r="I67" s="120"/>
      <c r="J67" s="120"/>
      <c r="K67" s="120"/>
      <c r="L67" s="120"/>
      <c r="M67" s="120"/>
      <c r="N67" s="120"/>
      <c r="O67" s="120"/>
      <c r="P67" s="120"/>
      <c r="Q67" s="120"/>
      <c r="R67" s="157"/>
    </row>
    <row r="68" spans="1:142" ht="15" customHeight="1" x14ac:dyDescent="0.3">
      <c r="A68" s="5" t="s">
        <v>368</v>
      </c>
      <c r="B68" s="120">
        <v>21322162.939534988</v>
      </c>
      <c r="C68" s="120">
        <v>29900909.308247901</v>
      </c>
      <c r="D68" s="120">
        <v>34811559.470581241</v>
      </c>
      <c r="E68" s="120">
        <v>39007132.573578447</v>
      </c>
      <c r="F68" s="120">
        <v>47307785.93982058</v>
      </c>
      <c r="G68" s="120">
        <v>56767141.389895394</v>
      </c>
      <c r="H68" s="120">
        <v>64381406.941812366</v>
      </c>
      <c r="I68" s="120">
        <v>72975604.760969296</v>
      </c>
      <c r="J68" s="120">
        <v>84335212.736312076</v>
      </c>
      <c r="K68" s="120">
        <v>94037352</v>
      </c>
      <c r="L68" s="120">
        <v>103649952</v>
      </c>
      <c r="M68" s="120">
        <v>116847712</v>
      </c>
      <c r="N68" s="120">
        <v>128463512</v>
      </c>
      <c r="O68" s="120">
        <v>139970576</v>
      </c>
      <c r="P68" s="120">
        <v>151890416</v>
      </c>
      <c r="Q68" s="120">
        <v>166173360</v>
      </c>
      <c r="R68" s="157">
        <v>173518628.04068977</v>
      </c>
    </row>
    <row r="69" spans="1:142" ht="15" customHeight="1" x14ac:dyDescent="0.3">
      <c r="A69" s="5" t="s">
        <v>369</v>
      </c>
      <c r="B69" s="120">
        <v>54654063.535539746</v>
      </c>
      <c r="C69" s="120">
        <v>64898180.893447891</v>
      </c>
      <c r="D69" s="120">
        <v>67821623.839783534</v>
      </c>
      <c r="E69" s="120">
        <v>76091572.515713781</v>
      </c>
      <c r="F69" s="120">
        <v>85986543.581312269</v>
      </c>
      <c r="G69" s="120">
        <v>99094579.562362537</v>
      </c>
      <c r="H69" s="120">
        <v>111164843.17458601</v>
      </c>
      <c r="I69" s="120">
        <v>129603289.055162</v>
      </c>
      <c r="J69" s="120">
        <v>143029888.60781527</v>
      </c>
      <c r="K69" s="120">
        <v>153326080</v>
      </c>
      <c r="L69" s="120">
        <v>164741248</v>
      </c>
      <c r="M69" s="120">
        <v>188068416</v>
      </c>
      <c r="N69" s="120">
        <v>205412896</v>
      </c>
      <c r="O69" s="120">
        <v>224872400</v>
      </c>
      <c r="P69" s="120">
        <v>243490496</v>
      </c>
      <c r="Q69" s="120">
        <v>262484896</v>
      </c>
      <c r="R69" s="158">
        <v>273396638.85258591</v>
      </c>
    </row>
    <row r="70" spans="1:142" ht="15" customHeight="1" x14ac:dyDescent="0.3">
      <c r="A70" s="5" t="s">
        <v>389</v>
      </c>
      <c r="B70" s="120">
        <v>208531000</v>
      </c>
      <c r="C70" s="120">
        <v>225851000</v>
      </c>
      <c r="D70" s="120">
        <v>245323000</v>
      </c>
      <c r="E70" s="120">
        <v>272345000</v>
      </c>
      <c r="F70" s="120">
        <v>307762000</v>
      </c>
      <c r="G70" s="120">
        <v>340156000</v>
      </c>
      <c r="H70" s="120">
        <v>383898000</v>
      </c>
      <c r="I70" s="120">
        <v>431072000</v>
      </c>
      <c r="J70" s="120">
        <v>480087000</v>
      </c>
      <c r="K70" s="120">
        <v>504647000</v>
      </c>
      <c r="L70" s="120">
        <v>544924000</v>
      </c>
      <c r="M70" s="120">
        <v>619894000</v>
      </c>
      <c r="N70" s="120">
        <v>664240000</v>
      </c>
      <c r="O70" s="120">
        <v>710497000</v>
      </c>
      <c r="P70" s="120">
        <v>757065000</v>
      </c>
      <c r="Q70" s="120">
        <v>799312000</v>
      </c>
      <c r="R70" s="158">
        <v>862675000</v>
      </c>
    </row>
    <row r="71" spans="1:142" s="9" customFormat="1" ht="15" customHeight="1" x14ac:dyDescent="0.3">
      <c r="A71" s="5" t="s">
        <v>325</v>
      </c>
      <c r="B71" s="552">
        <v>3.1212</v>
      </c>
      <c r="C71" s="552">
        <v>3.4319999999999999</v>
      </c>
      <c r="D71" s="552">
        <v>3.7080000000000002</v>
      </c>
      <c r="E71" s="552">
        <v>3.984</v>
      </c>
      <c r="F71" s="552">
        <v>4.2960000000000003</v>
      </c>
      <c r="G71" s="552">
        <v>4.5780000000000003</v>
      </c>
      <c r="H71" s="552">
        <v>4.8959999999999999</v>
      </c>
      <c r="I71" s="552">
        <v>5.2043999999999997</v>
      </c>
      <c r="J71" s="552">
        <v>5.5380000000000003</v>
      </c>
      <c r="K71" s="552">
        <v>5.9627999999999997</v>
      </c>
      <c r="L71" s="552">
        <v>6.18</v>
      </c>
      <c r="M71" s="552">
        <v>6.4272</v>
      </c>
      <c r="N71" s="552">
        <v>6.8003999999999998</v>
      </c>
      <c r="O71" s="552">
        <v>7.0739999999999998</v>
      </c>
      <c r="P71" s="552">
        <v>7.3920000000000003</v>
      </c>
      <c r="Q71" s="552">
        <v>7.7321999999999997</v>
      </c>
      <c r="R71" s="553">
        <v>8.27346</v>
      </c>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row>
    <row r="72" spans="1:142" s="9" customFormat="1" ht="15" customHeight="1" x14ac:dyDescent="0.3">
      <c r="A72" s="5" t="s">
        <v>326</v>
      </c>
      <c r="B72" s="554">
        <v>4.2080520000000003</v>
      </c>
      <c r="C72" s="554">
        <v>4.63856</v>
      </c>
      <c r="D72" s="554">
        <v>5.03064</v>
      </c>
      <c r="E72" s="554">
        <v>5.4167199999999998</v>
      </c>
      <c r="F72" s="554">
        <v>5.8548799999999996</v>
      </c>
      <c r="G72" s="554">
        <v>6.2412400000000003</v>
      </c>
      <c r="H72" s="554">
        <v>6.6760799999999998</v>
      </c>
      <c r="I72" s="554">
        <v>7.0977519999999998</v>
      </c>
      <c r="J72" s="554">
        <v>7.5640400000000003</v>
      </c>
      <c r="K72" s="554">
        <v>8.1452240000000007</v>
      </c>
      <c r="L72" s="554">
        <v>8.4423999999999992</v>
      </c>
      <c r="M72" s="554">
        <v>8.7757760000000005</v>
      </c>
      <c r="N72" s="554">
        <v>9.2914320000000004</v>
      </c>
      <c r="O72" s="554">
        <v>9.6649200000000004</v>
      </c>
      <c r="P72" s="554">
        <v>10.079359999999999</v>
      </c>
      <c r="Q72" s="554">
        <v>10.527476</v>
      </c>
      <c r="R72" s="555">
        <v>11.246646800000001</v>
      </c>
    </row>
    <row r="73" spans="1:142" s="14" customFormat="1" ht="15" customHeight="1" x14ac:dyDescent="0.3">
      <c r="A73" s="5" t="s">
        <v>354</v>
      </c>
      <c r="B73" s="554">
        <v>3.3717387966929171</v>
      </c>
      <c r="C73" s="554">
        <v>3.5441712722188132</v>
      </c>
      <c r="D73" s="554">
        <v>3.7254220342161144</v>
      </c>
      <c r="E73" s="554">
        <v>4.3379400681920641</v>
      </c>
      <c r="F73" s="554">
        <v>6.602696642356606</v>
      </c>
      <c r="G73" s="554">
        <v>7.1594889381686633</v>
      </c>
      <c r="H73" s="554">
        <v>6.6854583915989805</v>
      </c>
      <c r="I73" s="554">
        <v>7.569100418417201</v>
      </c>
      <c r="J73" s="554">
        <v>8.3940931680212394</v>
      </c>
      <c r="K73" s="554">
        <v>8.6516554681739546</v>
      </c>
      <c r="L73" s="554">
        <v>8.8860643566188351</v>
      </c>
      <c r="M73" s="554">
        <v>9.7091191415013629</v>
      </c>
      <c r="N73" s="554">
        <v>9.7533451890316467</v>
      </c>
      <c r="O73" s="554">
        <v>10.535284080941297</v>
      </c>
      <c r="P73" s="554">
        <v>11.158465872369151</v>
      </c>
      <c r="Q73" s="554">
        <v>11.043184486339072</v>
      </c>
      <c r="R73" s="555">
        <v>12.135727593330177</v>
      </c>
    </row>
    <row r="74" spans="1:142" s="14" customFormat="1" ht="15" customHeight="1" x14ac:dyDescent="0.3">
      <c r="A74" s="5" t="s">
        <v>353</v>
      </c>
      <c r="B74" s="554">
        <v>5.7859447717751697</v>
      </c>
      <c r="C74" s="554">
        <v>6.0818409963676148</v>
      </c>
      <c r="D74" s="554">
        <v>6.3928695077656945</v>
      </c>
      <c r="E74" s="554">
        <v>7.4439579016167219</v>
      </c>
      <c r="F74" s="554">
        <v>11.330307719842041</v>
      </c>
      <c r="G74" s="554">
        <v>12.285770069439899</v>
      </c>
      <c r="H74" s="554">
        <v>12.009580333266296</v>
      </c>
      <c r="I74" s="554">
        <v>12.753930968543331</v>
      </c>
      <c r="J74" s="554">
        <v>14.024337788635751</v>
      </c>
      <c r="K74" s="554">
        <v>15.265059856312075</v>
      </c>
      <c r="L74" s="554">
        <v>15.89785418426508</v>
      </c>
      <c r="M74" s="554">
        <v>16.820690859956322</v>
      </c>
      <c r="N74" s="554">
        <v>16.960845922892609</v>
      </c>
      <c r="O74" s="554">
        <v>17.797460069584311</v>
      </c>
      <c r="P74" s="554">
        <v>18.682567411269954</v>
      </c>
      <c r="Q74" s="554">
        <v>17.884086350385441</v>
      </c>
      <c r="R74" s="555">
        <v>20.825056107307777</v>
      </c>
    </row>
    <row r="75" spans="1:142" s="9" customFormat="1" ht="15" customHeight="1" x14ac:dyDescent="0.3">
      <c r="A75" s="5" t="s">
        <v>327</v>
      </c>
      <c r="B75" s="120">
        <v>11847798.289390717</v>
      </c>
      <c r="C75" s="120">
        <v>11751206.76909833</v>
      </c>
      <c r="D75" s="120">
        <v>11655402.730291069</v>
      </c>
      <c r="E75" s="120">
        <v>12054979.607208153</v>
      </c>
      <c r="F75" s="120">
        <v>11653791.713543048</v>
      </c>
      <c r="G75" s="120">
        <v>11933431.929801783</v>
      </c>
      <c r="H75" s="120">
        <v>11632601</v>
      </c>
      <c r="I75" s="120">
        <v>11506950</v>
      </c>
      <c r="J75" s="120">
        <v>11033829</v>
      </c>
      <c r="K75" s="120">
        <v>11794176</v>
      </c>
      <c r="L75" s="120">
        <v>12540985</v>
      </c>
      <c r="M75" s="120">
        <v>12733656.000000002</v>
      </c>
      <c r="N75" s="120">
        <v>12969227</v>
      </c>
      <c r="O75" s="120">
        <v>12870072</v>
      </c>
      <c r="P75" s="120">
        <v>12831509</v>
      </c>
      <c r="Q75" s="120">
        <v>12890052.999999998</v>
      </c>
      <c r="R75" s="158">
        <v>12836282.387201963</v>
      </c>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row>
    <row r="76" spans="1:142" ht="15" customHeight="1" x14ac:dyDescent="0.3">
      <c r="A76" s="98" t="s">
        <v>297</v>
      </c>
      <c r="B76" s="556">
        <v>2.0773958931345047</v>
      </c>
      <c r="C76" s="556">
        <v>2.1836349994531359</v>
      </c>
      <c r="D76" s="556">
        <v>2.2953072289182423</v>
      </c>
      <c r="E76" s="556">
        <v>2.6726918737491236</v>
      </c>
      <c r="F76" s="556">
        <v>4.0680538189666375</v>
      </c>
      <c r="G76" s="556">
        <v>4.4111047189305967</v>
      </c>
      <c r="H76" s="556">
        <v>4.2958766573193756</v>
      </c>
      <c r="I76" s="556">
        <v>4.8122165795960745</v>
      </c>
      <c r="J76" s="556">
        <v>5.3961874763803559</v>
      </c>
      <c r="K76" s="556">
        <v>5.3089628009674961</v>
      </c>
      <c r="L76" s="556">
        <v>5.4433128111244375</v>
      </c>
      <c r="M76" s="556">
        <v>6.0435668904684503</v>
      </c>
      <c r="N76" s="556">
        <v>5.9246794263047695</v>
      </c>
      <c r="O76" s="556">
        <v>6.2882797811367253</v>
      </c>
      <c r="P76" s="556">
        <v>6.5071140803777032</v>
      </c>
      <c r="Q76" s="556">
        <v>6.6684708666504546</v>
      </c>
      <c r="R76" s="557">
        <v>7.4770651532409547</v>
      </c>
    </row>
    <row r="77" spans="1:142" ht="15" customHeight="1" x14ac:dyDescent="0.3">
      <c r="A77" s="57" t="s">
        <v>320</v>
      </c>
    </row>
    <row r="78" spans="1:142" ht="15" customHeight="1" x14ac:dyDescent="0.3">
      <c r="A78" s="57" t="s">
        <v>333</v>
      </c>
    </row>
    <row r="79" spans="1:142" ht="15" customHeight="1" x14ac:dyDescent="0.3">
      <c r="A79" s="57" t="s">
        <v>328</v>
      </c>
    </row>
    <row r="80" spans="1:142" x14ac:dyDescent="0.3">
      <c r="A80" s="57" t="s">
        <v>329</v>
      </c>
    </row>
    <row r="81" spans="1:1" x14ac:dyDescent="0.3">
      <c r="A81" s="57" t="s">
        <v>330</v>
      </c>
    </row>
    <row r="82" spans="1:1" x14ac:dyDescent="0.3">
      <c r="A82" s="57" t="s">
        <v>331</v>
      </c>
    </row>
    <row r="83" spans="1:1" x14ac:dyDescent="0.3">
      <c r="A83" s="57" t="s">
        <v>334</v>
      </c>
    </row>
    <row r="84" spans="1:1" x14ac:dyDescent="0.3">
      <c r="A84" s="57" t="s">
        <v>332</v>
      </c>
    </row>
    <row r="85" spans="1:1" x14ac:dyDescent="0.3">
      <c r="A85" s="57"/>
    </row>
    <row r="86" spans="1:1" x14ac:dyDescent="0.3">
      <c r="A86" s="57"/>
    </row>
    <row r="87" spans="1:1" x14ac:dyDescent="0.3">
      <c r="A87" s="57"/>
    </row>
    <row r="88" spans="1:1" x14ac:dyDescent="0.3">
      <c r="A88" s="57"/>
    </row>
    <row r="89" spans="1:1" x14ac:dyDescent="0.3">
      <c r="A89" s="57"/>
    </row>
    <row r="111" spans="1:1" x14ac:dyDescent="0.3">
      <c r="A111" s="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0C90-DAB6-45DB-9EEB-115FEE77BBF5}">
  <dimension ref="A1:AB66"/>
  <sheetViews>
    <sheetView zoomScale="80" zoomScaleNormal="80" workbookViewId="0">
      <pane xSplit="1" ySplit="4" topLeftCell="B5" activePane="bottomRight" state="frozen"/>
      <selection pane="topRight" activeCell="B1" sqref="B1"/>
      <selection pane="bottomLeft" activeCell="A5" sqref="A5"/>
      <selection pane="bottomRight" activeCell="A41" sqref="A41"/>
    </sheetView>
  </sheetViews>
  <sheetFormatPr defaultColWidth="11.44140625" defaultRowHeight="14.4" x14ac:dyDescent="0.3"/>
  <cols>
    <col min="1" max="1" width="69.88671875" style="17" customWidth="1"/>
    <col min="2" max="23" width="12.77734375" style="17" customWidth="1"/>
    <col min="24" max="24" width="11.44140625" style="17"/>
    <col min="25" max="25" width="4.21875" style="17" customWidth="1"/>
    <col min="26" max="16384" width="11.44140625" style="17"/>
  </cols>
  <sheetData>
    <row r="1" spans="1:28" ht="30" customHeight="1" x14ac:dyDescent="0.3">
      <c r="A1" s="55" t="s">
        <v>337</v>
      </c>
    </row>
    <row r="2" spans="1:28" ht="30" customHeight="1" x14ac:dyDescent="0.3"/>
    <row r="3" spans="1:28" ht="19.95" customHeight="1" thickBot="1" x14ac:dyDescent="0.35">
      <c r="A3" s="709" t="s">
        <v>343</v>
      </c>
      <c r="B3" s="246"/>
      <c r="C3" s="246"/>
      <c r="D3" s="246"/>
      <c r="E3" s="246"/>
      <c r="F3" s="246"/>
      <c r="G3" s="246"/>
      <c r="H3" s="246"/>
      <c r="I3" s="246"/>
      <c r="J3" s="246"/>
      <c r="K3" s="246"/>
      <c r="L3" s="246"/>
      <c r="M3" s="246"/>
      <c r="N3" s="246"/>
      <c r="O3" s="246"/>
      <c r="P3" s="246"/>
      <c r="Q3" s="246"/>
      <c r="R3" s="246"/>
      <c r="S3" s="129"/>
      <c r="T3" s="129"/>
      <c r="U3" s="129"/>
      <c r="V3" s="129"/>
      <c r="W3" s="130"/>
    </row>
    <row r="4" spans="1:28" s="229" customFormat="1" ht="25.05" customHeight="1" thickBot="1" x14ac:dyDescent="0.35">
      <c r="A4" s="353" t="s">
        <v>260</v>
      </c>
      <c r="B4" s="107">
        <v>1995</v>
      </c>
      <c r="C4" s="107">
        <v>1996</v>
      </c>
      <c r="D4" s="107">
        <v>1997</v>
      </c>
      <c r="E4" s="107">
        <v>1998</v>
      </c>
      <c r="F4" s="107">
        <v>1999</v>
      </c>
      <c r="G4" s="107">
        <v>2000</v>
      </c>
      <c r="H4" s="107">
        <v>2001</v>
      </c>
      <c r="I4" s="107">
        <v>2002</v>
      </c>
      <c r="J4" s="107">
        <v>2003</v>
      </c>
      <c r="K4" s="107">
        <v>2004</v>
      </c>
      <c r="L4" s="107">
        <v>2005</v>
      </c>
      <c r="M4" s="107">
        <v>2006</v>
      </c>
      <c r="N4" s="107">
        <v>2007</v>
      </c>
      <c r="O4" s="107">
        <v>2008</v>
      </c>
      <c r="P4" s="107">
        <v>2009</v>
      </c>
      <c r="Q4" s="107">
        <v>2010</v>
      </c>
      <c r="R4" s="107">
        <v>2011</v>
      </c>
      <c r="S4" s="107">
        <v>2012</v>
      </c>
      <c r="T4" s="107">
        <v>2013</v>
      </c>
      <c r="U4" s="107">
        <v>2014</v>
      </c>
      <c r="V4" s="107">
        <v>2015</v>
      </c>
      <c r="W4" s="108">
        <v>2016</v>
      </c>
    </row>
    <row r="5" spans="1:28" s="12" customFormat="1" ht="4.95" customHeight="1" x14ac:dyDescent="0.3">
      <c r="A5" s="710"/>
      <c r="B5" s="115"/>
      <c r="C5" s="114"/>
      <c r="D5" s="115"/>
      <c r="E5" s="115"/>
      <c r="F5" s="115"/>
      <c r="G5" s="115"/>
      <c r="H5" s="115"/>
      <c r="I5" s="115"/>
      <c r="J5" s="115"/>
      <c r="K5" s="115"/>
      <c r="L5" s="115"/>
      <c r="M5" s="115"/>
      <c r="N5" s="115"/>
      <c r="O5" s="115"/>
      <c r="P5" s="115"/>
      <c r="Q5" s="115"/>
      <c r="R5" s="115"/>
      <c r="S5" s="115"/>
      <c r="T5" s="115"/>
      <c r="U5" s="115"/>
      <c r="V5" s="115"/>
      <c r="W5" s="175"/>
    </row>
    <row r="6" spans="1:28" ht="15" customHeight="1" x14ac:dyDescent="0.3">
      <c r="A6" s="109" t="s">
        <v>262</v>
      </c>
      <c r="B6" s="166"/>
      <c r="C6" s="167"/>
      <c r="D6" s="166"/>
      <c r="E6" s="166"/>
      <c r="F6" s="166"/>
      <c r="G6" s="166"/>
      <c r="H6" s="166"/>
      <c r="I6" s="166"/>
      <c r="J6" s="166"/>
      <c r="K6" s="166"/>
      <c r="L6" s="166"/>
      <c r="M6" s="166"/>
      <c r="N6" s="166"/>
      <c r="O6" s="166"/>
      <c r="P6" s="166"/>
      <c r="Q6" s="166"/>
      <c r="R6" s="166"/>
      <c r="S6" s="166"/>
      <c r="T6" s="166"/>
      <c r="U6" s="166"/>
      <c r="V6" s="166"/>
      <c r="W6" s="176"/>
    </row>
    <row r="7" spans="1:28" ht="15" customHeight="1" x14ac:dyDescent="0.3">
      <c r="A7" s="195" t="s">
        <v>107</v>
      </c>
      <c r="B7" s="45" t="s">
        <v>345</v>
      </c>
      <c r="C7" s="45" t="s">
        <v>345</v>
      </c>
      <c r="D7" s="45">
        <v>2426.5</v>
      </c>
      <c r="E7" s="45">
        <v>2989.0419000000002</v>
      </c>
      <c r="F7" s="45">
        <v>3327.8977</v>
      </c>
      <c r="G7" s="45">
        <v>3661.9240999999997</v>
      </c>
      <c r="H7" s="45">
        <v>4201.9471430000003</v>
      </c>
      <c r="I7" s="45">
        <f>'[6]Mexico 2002-2013'!C8/1000000</f>
        <v>4191.1054999999997</v>
      </c>
      <c r="J7" s="45">
        <f>'[6]Mexico 2002-2013'!D8/1000000</f>
        <v>4485.7389869999997</v>
      </c>
      <c r="K7" s="45">
        <f>'[6]Mexico 2002-2013'!E8/1000000</f>
        <v>4926.0010000000002</v>
      </c>
      <c r="L7" s="45">
        <f>'[6]Mexico 2002-2013'!F8/1000000</f>
        <v>5088.0348000000004</v>
      </c>
      <c r="M7" s="45">
        <f>'[6]Mexico 2002-2013'!G8/1000000</f>
        <v>5716.2385999999997</v>
      </c>
      <c r="N7" s="45">
        <f>'[6]Mexico 2002-2013'!H8/1000000</f>
        <v>5790.1138000000001</v>
      </c>
      <c r="O7" s="45">
        <f>'[6]Mexico 2002-2013'!I8/1000000</f>
        <v>6370.7228999999998</v>
      </c>
      <c r="P7" s="45">
        <f>'[6]Mexico 2002-2013'!J8/1000000</f>
        <v>7624.4778500000002</v>
      </c>
      <c r="Q7" s="45">
        <f>'[6]Mexico 2002-2013'!K8/1000000</f>
        <v>7971.6859700000005</v>
      </c>
      <c r="R7" s="45">
        <f>'[6]Mexico 2002-2013'!L8/1000000</f>
        <v>8704.0614299999997</v>
      </c>
      <c r="S7" s="45">
        <f>'[6]Mexico 2002-2013'!M8/1000000</f>
        <v>9714.7957200000001</v>
      </c>
      <c r="T7" s="45">
        <f>'[6]Mexico 2002-2013'!N8/1000000</f>
        <v>9881.7673200000008</v>
      </c>
      <c r="U7" s="45">
        <f>'[6]México 2010-2015'!G6</f>
        <v>9311.7710179999995</v>
      </c>
      <c r="V7" s="45">
        <f>'[6]México 2010-2015'!H6</f>
        <v>9719.2999999999993</v>
      </c>
      <c r="W7" s="81">
        <v>10201.299999999999</v>
      </c>
    </row>
    <row r="8" spans="1:28" ht="15" customHeight="1" x14ac:dyDescent="0.3">
      <c r="A8" s="195" t="s">
        <v>108</v>
      </c>
      <c r="B8" s="95" t="s">
        <v>170</v>
      </c>
      <c r="C8" s="95" t="s">
        <v>170</v>
      </c>
      <c r="D8" s="95" t="s">
        <v>169</v>
      </c>
      <c r="E8" s="95">
        <v>60.034500000000001</v>
      </c>
      <c r="F8" s="95">
        <v>401.9058</v>
      </c>
      <c r="G8" s="45">
        <v>532.23509999999999</v>
      </c>
      <c r="H8" s="45">
        <v>505.28238099999999</v>
      </c>
      <c r="I8" s="45">
        <f>'[6]Mexico 2002-2013'!C9/1000000</f>
        <v>393.79399999999998</v>
      </c>
      <c r="J8" s="45">
        <f>'[6]Mexico 2002-2013'!D9/1000000</f>
        <v>402.35910000000001</v>
      </c>
      <c r="K8" s="45">
        <f>'[6]Mexico 2002-2013'!E9/1000000</f>
        <v>609.31863799999996</v>
      </c>
      <c r="L8" s="45">
        <f>'[6]Mexico 2002-2013'!F9/1000000</f>
        <v>1156.194062</v>
      </c>
      <c r="M8" s="45">
        <f>'[6]Mexico 2002-2013'!G9/1000000</f>
        <v>504</v>
      </c>
      <c r="N8" s="45">
        <f>'[6]Mexico 2002-2013'!H9/1000000</f>
        <v>745</v>
      </c>
      <c r="O8" s="45">
        <f>'[6]Mexico 2002-2013'!I9/1000000</f>
        <v>1115.424612</v>
      </c>
      <c r="P8" s="45">
        <f>'[6]Mexico 2002-2013'!J9/1000000</f>
        <v>1070</v>
      </c>
      <c r="Q8" s="45">
        <f>'[6]Mexico 2002-2013'!K9/1000000</f>
        <v>808</v>
      </c>
      <c r="R8" s="45">
        <f>'[6]Mexico 2002-2013'!L9/1000000</f>
        <v>910</v>
      </c>
      <c r="S8" s="45">
        <f>'[6]Mexico 2002-2013'!M9/1000000</f>
        <v>887</v>
      </c>
      <c r="T8" s="45">
        <f>'[6]Mexico 2002-2013'!N9/1000000</f>
        <v>920.54131900000004</v>
      </c>
      <c r="U8" s="45">
        <f>'[6]México 2010-2015'!G7</f>
        <v>952</v>
      </c>
      <c r="V8" s="45">
        <f>'[6]México 2010-2015'!H7</f>
        <v>1127.1417140000001</v>
      </c>
      <c r="W8" s="81">
        <v>929.92239199999995</v>
      </c>
    </row>
    <row r="9" spans="1:28" ht="15" customHeight="1" x14ac:dyDescent="0.3">
      <c r="A9" s="195" t="s">
        <v>109</v>
      </c>
      <c r="B9" s="95" t="s">
        <v>170</v>
      </c>
      <c r="C9" s="95" t="s">
        <v>170</v>
      </c>
      <c r="D9" s="95" t="s">
        <v>170</v>
      </c>
      <c r="E9" s="95" t="s">
        <v>170</v>
      </c>
      <c r="F9" s="95" t="s">
        <v>170</v>
      </c>
      <c r="G9" s="45" t="s">
        <v>170</v>
      </c>
      <c r="H9" s="45" t="s">
        <v>170</v>
      </c>
      <c r="I9" s="45">
        <f>'[6]Mexico 2002-2013'!C10/1000000</f>
        <v>191.03059999999999</v>
      </c>
      <c r="J9" s="45">
        <f>'[6]Mexico 2002-2013'!D10/1000000</f>
        <v>618.48911799999996</v>
      </c>
      <c r="K9" s="45">
        <f>'[6]Mexico 2002-2013'!E10/1000000</f>
        <v>4320.152282</v>
      </c>
      <c r="L9" s="45">
        <f>'[6]Mexico 2002-2013'!F10/1000000</f>
        <v>8570.7200909999992</v>
      </c>
      <c r="M9" s="45">
        <f>'[6]Mexico 2002-2013'!G10/1000000</f>
        <v>17272.994730999999</v>
      </c>
      <c r="N9" s="45">
        <f>'[6]Mexico 2002-2013'!H10/1000000</f>
        <v>26372.151028</v>
      </c>
      <c r="O9" s="45">
        <f>'[6]Mexico 2002-2013'!I10/1000000</f>
        <v>36250.635029999998</v>
      </c>
      <c r="P9" s="45">
        <f>'[6]Mexico 2002-2013'!J10/1000000</f>
        <v>39214.823275000002</v>
      </c>
      <c r="Q9" s="45">
        <f>'[6]Mexico 2002-2013'!K10/1000000</f>
        <v>45224.743686000002</v>
      </c>
      <c r="R9" s="45">
        <f>'[6]Mexico 2002-2013'!L10/1000000</f>
        <v>56217.751629999999</v>
      </c>
      <c r="S9" s="45">
        <f>'[6]Mexico 2002-2013'!M10/1000000</f>
        <v>64703.800259000003</v>
      </c>
      <c r="T9" s="45">
        <f>'[6]Mexico 2002-2013'!N10/1000000</f>
        <v>68307.233118999997</v>
      </c>
      <c r="U9" s="45">
        <f>'[6]México 2010-2015'!G8</f>
        <v>69225.205664320005</v>
      </c>
      <c r="V9" s="45">
        <f>'[6]México 2010-2015'!H8</f>
        <v>69145.654874719999</v>
      </c>
      <c r="W9" s="81">
        <v>70824.501409999997</v>
      </c>
      <c r="X9" s="113"/>
      <c r="Y9" s="113"/>
      <c r="Z9" s="113"/>
      <c r="AA9" s="113"/>
      <c r="AB9" s="113"/>
    </row>
    <row r="10" spans="1:28" ht="15" customHeight="1" x14ac:dyDescent="0.3">
      <c r="A10" s="197" t="s">
        <v>110</v>
      </c>
      <c r="B10" s="45"/>
      <c r="C10" s="45"/>
      <c r="D10" s="45"/>
      <c r="E10" s="45"/>
      <c r="F10" s="45"/>
      <c r="G10" s="45"/>
      <c r="H10" s="45"/>
      <c r="I10" s="45"/>
      <c r="J10" s="45"/>
      <c r="K10" s="45"/>
      <c r="L10" s="45"/>
      <c r="M10" s="45"/>
      <c r="N10" s="45"/>
      <c r="O10" s="45"/>
      <c r="P10" s="45"/>
      <c r="Q10" s="45"/>
      <c r="R10" s="45"/>
      <c r="S10" s="45"/>
      <c r="T10" s="45"/>
      <c r="U10" s="45"/>
      <c r="V10" s="45"/>
      <c r="W10" s="81"/>
      <c r="X10" s="113"/>
      <c r="Y10" s="113"/>
      <c r="Z10" s="113"/>
      <c r="AA10" s="113"/>
      <c r="AB10" s="113"/>
    </row>
    <row r="11" spans="1:28" ht="15" customHeight="1" x14ac:dyDescent="0.3">
      <c r="A11" s="197" t="s">
        <v>111</v>
      </c>
      <c r="B11" s="95" t="s">
        <v>170</v>
      </c>
      <c r="C11" s="95" t="s">
        <v>170</v>
      </c>
      <c r="D11" s="95" t="s">
        <v>170</v>
      </c>
      <c r="E11" s="95">
        <v>12900.837</v>
      </c>
      <c r="F11" s="95">
        <v>13310.169299999996</v>
      </c>
      <c r="G11" s="45">
        <v>18434.217900000003</v>
      </c>
      <c r="H11" s="45">
        <v>25336.733910440002</v>
      </c>
      <c r="I11" s="45">
        <f>'[6]Mexico 2002-2013'!C12/1000000</f>
        <v>27588.095499999999</v>
      </c>
      <c r="J11" s="45">
        <f>'[6]Mexico 2002-2013'!D12/1000000</f>
        <v>32936.345064000001</v>
      </c>
      <c r="K11" s="45">
        <f>'[6]Mexico 2002-2013'!E12/1000000</f>
        <v>34532.043679000002</v>
      </c>
      <c r="L11" s="45">
        <f>'[6]Mexico 2002-2013'!F12/1000000</f>
        <v>38042.555070000002</v>
      </c>
      <c r="M11" s="45">
        <f>'[6]Mexico 2002-2013'!G12/1000000</f>
        <v>40674.332319000001</v>
      </c>
      <c r="N11" s="45">
        <f>'[6]Mexico 2002-2013'!H12/1000000</f>
        <v>44463.493670000003</v>
      </c>
      <c r="O11" s="45">
        <f>'[6]Mexico 2002-2013'!I12/1000000</f>
        <v>47689.915656999998</v>
      </c>
      <c r="P11" s="45">
        <f>'[6]Mexico 2002-2013'!J12/1000000</f>
        <v>49741.780508000003</v>
      </c>
      <c r="Q11" s="45">
        <f>'[6]Mexico 2002-2013'!K12/1000000</f>
        <v>53096.819332999999</v>
      </c>
      <c r="R11" s="45">
        <f>'[6]Mexico 2002-2013'!L12/1000000</f>
        <v>59627.814942999998</v>
      </c>
      <c r="S11" s="45">
        <f>'[6]Mexico 2002-2013'!M12/1000000</f>
        <v>66292.474889000005</v>
      </c>
      <c r="T11" s="45">
        <f>'[6]Mexico 2002-2013'!N12/1000000</f>
        <v>68604.813708999995</v>
      </c>
      <c r="U11" s="45">
        <f>'[6]México 2010-2015'!G10</f>
        <v>74367.809227999998</v>
      </c>
      <c r="V11" s="45">
        <f>'[6]México 2010-2015'!H10</f>
        <v>77845.081242999993</v>
      </c>
      <c r="W11" s="81">
        <v>82445.977652000001</v>
      </c>
      <c r="X11" s="113"/>
      <c r="Y11" s="113"/>
      <c r="Z11" s="113"/>
      <c r="AA11" s="113"/>
      <c r="AB11" s="113"/>
    </row>
    <row r="12" spans="1:28" ht="15" customHeight="1" x14ac:dyDescent="0.3">
      <c r="A12" s="197" t="s">
        <v>112</v>
      </c>
      <c r="B12" s="95">
        <v>7177.5</v>
      </c>
      <c r="C12" s="95">
        <v>9319.4</v>
      </c>
      <c r="D12" s="95">
        <v>14122.2</v>
      </c>
      <c r="E12" s="95">
        <v>5354.2227999999996</v>
      </c>
      <c r="F12" s="95">
        <v>13160.467760000001</v>
      </c>
      <c r="G12" s="45">
        <v>14412.923690000001</v>
      </c>
      <c r="H12" s="45">
        <v>16102.228877</v>
      </c>
      <c r="I12" s="45">
        <f>'[6]Mexico 2002-2013'!C13/1000000</f>
        <v>21441.45678</v>
      </c>
      <c r="J12" s="45">
        <f>'[6]Mexico 2002-2013'!D13/1000000</f>
        <v>20777.650337999999</v>
      </c>
      <c r="K12" s="45">
        <f>'[6]Mexico 2002-2013'!E13/1000000</f>
        <v>28351.306192</v>
      </c>
      <c r="L12" s="45">
        <f>'[6]Mexico 2002-2013'!F13/1000000</f>
        <v>32207.130928660001</v>
      </c>
      <c r="M12" s="45">
        <f>'[6]Mexico 2002-2013'!G13/1000000</f>
        <v>34400.733868859999</v>
      </c>
      <c r="N12" s="45">
        <f>'[6]Mexico 2002-2013'!H13/1000000</f>
        <v>37227.946708018069</v>
      </c>
      <c r="O12" s="45">
        <f>'[6]Mexico 2002-2013'!I13/1000000</f>
        <v>46830.02188683</v>
      </c>
      <c r="P12" s="45">
        <f>'[6]Mexico 2002-2013'!J13/1000000</f>
        <v>56395.617382282348</v>
      </c>
      <c r="Q12" s="45">
        <f>'[6]Mexico 2002-2013'!K13/1000000</f>
        <v>60595.388289000002</v>
      </c>
      <c r="R12" s="45">
        <f>'[6]Mexico 2002-2013'!L13/1000000</f>
        <v>51384.329671511798</v>
      </c>
      <c r="S12" s="45">
        <f>'[6]Mexico 2002-2013'!M13/1000000</f>
        <v>55015.302795349002</v>
      </c>
      <c r="T12" s="45">
        <f>'[6]Mexico 2002-2013'!N13/1000000</f>
        <v>64977.403735</v>
      </c>
      <c r="U12" s="45">
        <f>'[6]México 2010-2015'!G11</f>
        <v>68854.761591629984</v>
      </c>
      <c r="V12" s="45">
        <f>'[6]México 2010-2015'!H11</f>
        <v>36136.562786130002</v>
      </c>
      <c r="W12" s="81">
        <v>32096.656427999998</v>
      </c>
      <c r="X12" s="113"/>
      <c r="Y12" s="113"/>
      <c r="Z12" s="113"/>
      <c r="AA12" s="113"/>
      <c r="AB12" s="113"/>
    </row>
    <row r="13" spans="1:28" ht="15" customHeight="1" x14ac:dyDescent="0.3">
      <c r="A13" s="195" t="s">
        <v>113</v>
      </c>
      <c r="B13" s="95" t="s">
        <v>170</v>
      </c>
      <c r="C13" s="95" t="s">
        <v>170</v>
      </c>
      <c r="D13" s="95" t="s">
        <v>170</v>
      </c>
      <c r="E13" s="95" t="s">
        <v>170</v>
      </c>
      <c r="F13" s="95" t="s">
        <v>170</v>
      </c>
      <c r="G13" s="45" t="s">
        <v>170</v>
      </c>
      <c r="H13" s="45" t="s">
        <v>170</v>
      </c>
      <c r="I13" s="95" t="s">
        <v>170</v>
      </c>
      <c r="J13" s="95" t="s">
        <v>170</v>
      </c>
      <c r="K13" s="95" t="s">
        <v>170</v>
      </c>
      <c r="L13" s="95" t="s">
        <v>170</v>
      </c>
      <c r="M13" s="95" t="s">
        <v>170</v>
      </c>
      <c r="N13" s="45">
        <f>'[6]Mexico 2002-2013'!H14/1000000</f>
        <v>251.64132799999999</v>
      </c>
      <c r="O13" s="45">
        <f>'[6]Mexico 2002-2013'!I14/1000000</f>
        <v>1699.7244579999999</v>
      </c>
      <c r="P13" s="45">
        <f>'[6]Mexico 2002-2013'!J14/1000000</f>
        <v>2355.7524880000001</v>
      </c>
      <c r="Q13" s="45">
        <f>'[6]Mexico 2002-2013'!K14/1000000</f>
        <v>2425.4611479999999</v>
      </c>
      <c r="R13" s="45">
        <f>'[6]Mexico 2002-2013'!L14/1000000</f>
        <v>2343.3745560000002</v>
      </c>
      <c r="S13" s="45">
        <f>'[6]Mexico 2002-2013'!M14/1000000</f>
        <v>3107.2757550000001</v>
      </c>
      <c r="T13" s="45">
        <f>'[6]Mexico 2002-2013'!N14/1000000</f>
        <v>1572.522338</v>
      </c>
      <c r="U13" s="45">
        <f>'[6]México 2010-2015'!G12</f>
        <v>1493.092529</v>
      </c>
      <c r="V13" s="45">
        <f>'[6]México 2010-2015'!H12</f>
        <v>1897.30708809</v>
      </c>
      <c r="W13" s="81">
        <v>1789.875303</v>
      </c>
    </row>
    <row r="14" spans="1:28" ht="15" customHeight="1" x14ac:dyDescent="0.3">
      <c r="A14" s="195" t="s">
        <v>114</v>
      </c>
      <c r="B14" s="95">
        <v>526.1</v>
      </c>
      <c r="C14" s="95">
        <v>1162.5999999999999</v>
      </c>
      <c r="D14" s="95">
        <v>1472.1</v>
      </c>
      <c r="E14" s="95">
        <v>1916.9899</v>
      </c>
      <c r="F14" s="95">
        <v>2523.0947000000001</v>
      </c>
      <c r="G14" s="45">
        <v>2992.6342</v>
      </c>
      <c r="H14" s="45">
        <v>3244.0073109999998</v>
      </c>
      <c r="I14" s="45">
        <f>'[6]Mexico 2002-2013'!C15/1000000</f>
        <v>3514.2132000000001</v>
      </c>
      <c r="J14" s="45">
        <f>'[6]Mexico 2002-2013'!D15/1000000</f>
        <v>5467.7508340000004</v>
      </c>
      <c r="K14" s="45">
        <f>'[6]Mexico 2002-2013'!E15/1000000</f>
        <v>5316.6728869999997</v>
      </c>
      <c r="L14" s="45">
        <f>'[6]Mexico 2002-2013'!F15/1000000</f>
        <v>6925.1847183400005</v>
      </c>
      <c r="M14" s="45">
        <f>'[6]Mexico 2002-2013'!G15/1000000</f>
        <v>8003.73920714</v>
      </c>
      <c r="N14" s="45">
        <f>'[6]Mexico 2002-2013'!H15/1000000</f>
        <v>7583.2817829819369</v>
      </c>
      <c r="O14" s="45">
        <f>'[6]Mexico 2002-2013'!I15/1000000</f>
        <v>8489.2227881700001</v>
      </c>
      <c r="P14" s="45">
        <f>'[6]Mexico 2002-2013'!J15/1000000</f>
        <v>9470.7325567176522</v>
      </c>
      <c r="Q14" s="45">
        <f>'[6]Mexico 2002-2013'!K15/1000000</f>
        <v>10312.305315</v>
      </c>
      <c r="R14" s="45">
        <f>'[6]Mexico 2002-2013'!L15/1000000</f>
        <v>11178.707204</v>
      </c>
      <c r="S14" s="45">
        <f>'[6]Mexico 2002-2013'!M15/1000000</f>
        <v>11813.206783</v>
      </c>
      <c r="T14" s="45">
        <f>'[6]Mexico 2002-2013'!N15/1000000</f>
        <v>10674.285216</v>
      </c>
      <c r="U14" s="45">
        <f>'[6]México 2010-2015'!G13</f>
        <v>11230.713180999999</v>
      </c>
      <c r="V14" s="45">
        <f>'[6]México 2010-2015'!H13</f>
        <v>11331.539855999999</v>
      </c>
      <c r="W14" s="81">
        <v>12342.372502</v>
      </c>
    </row>
    <row r="15" spans="1:28" ht="15" customHeight="1" x14ac:dyDescent="0.3">
      <c r="A15" s="109" t="s">
        <v>265</v>
      </c>
      <c r="B15" s="171"/>
      <c r="C15" s="171"/>
      <c r="D15" s="171"/>
      <c r="E15" s="171"/>
      <c r="F15" s="171"/>
      <c r="G15" s="172"/>
      <c r="H15" s="172"/>
      <c r="I15" s="172"/>
      <c r="J15" s="172"/>
      <c r="K15" s="172"/>
      <c r="L15" s="172"/>
      <c r="M15" s="172"/>
      <c r="N15" s="172"/>
      <c r="O15" s="172"/>
      <c r="P15" s="172"/>
      <c r="Q15" s="172"/>
      <c r="R15" s="172"/>
      <c r="S15" s="172"/>
      <c r="T15" s="172"/>
      <c r="U15" s="172"/>
      <c r="V15" s="172"/>
      <c r="W15" s="177"/>
    </row>
    <row r="16" spans="1:28" ht="15" customHeight="1" x14ac:dyDescent="0.3">
      <c r="A16" s="195" t="s">
        <v>115</v>
      </c>
      <c r="B16" s="95">
        <v>199.9</v>
      </c>
      <c r="C16" s="95">
        <v>799.6</v>
      </c>
      <c r="D16" s="95">
        <v>388.6</v>
      </c>
      <c r="E16" s="95">
        <v>575.91719999999998</v>
      </c>
      <c r="F16" s="95">
        <v>130.57579999999999</v>
      </c>
      <c r="G16" s="45">
        <v>16.5322</v>
      </c>
      <c r="H16" s="45">
        <v>21.680399999999999</v>
      </c>
      <c r="I16" s="45">
        <f>'[6]Mexico 2002-2013'!C17/1000000</f>
        <v>54.438200000000002</v>
      </c>
      <c r="J16" s="45">
        <f>'[6]Mexico 2002-2013'!D17/1000000</f>
        <v>1303.7021729999999</v>
      </c>
      <c r="K16" s="45">
        <f>'[6]Mexico 2002-2013'!E17/1000000</f>
        <v>1923.9030540000001</v>
      </c>
      <c r="L16" s="45">
        <f>'[6]Mexico 2002-2013'!F17/1000000</f>
        <v>1809.209668</v>
      </c>
      <c r="M16" s="45">
        <f>'[6]Mexico 2002-2013'!G17/1000000</f>
        <v>5135.5476829999998</v>
      </c>
      <c r="N16" s="45">
        <f>'[6]Mexico 2002-2013'!H17/1000000</f>
        <v>2370.6684690000002</v>
      </c>
      <c r="O16" s="45">
        <f>'[6]Mexico 2002-2013'!I17/1000000</f>
        <v>2370.6684690000002</v>
      </c>
      <c r="P16" s="45">
        <f>'[6]Mexico 2002-2013'!J17/1000000</f>
        <v>2568.8385539999999</v>
      </c>
      <c r="Q16" s="45">
        <f>'[6]Mexico 2002-2013'!K17/1000000</f>
        <v>2781.8693130000001</v>
      </c>
      <c r="R16" s="45">
        <f>'[6]Mexico 2002-2013'!L17/1000000</f>
        <v>3351.6298889999998</v>
      </c>
      <c r="S16" s="45">
        <f>'[6]Mexico 2002-2013'!M17/1000000</f>
        <v>2883.5709230000002</v>
      </c>
      <c r="T16" s="45">
        <f>'[6]Mexico 2002-2013'!N17/1000000</f>
        <v>2585.9028600000001</v>
      </c>
      <c r="U16" s="45">
        <f>'[6]México 2010-2015'!G15</f>
        <v>2976.822525</v>
      </c>
      <c r="V16" s="45">
        <f>'[6]México 2010-2015'!H15</f>
        <v>3188.6280470000002</v>
      </c>
      <c r="W16" s="81">
        <v>2870.2221810000001</v>
      </c>
    </row>
    <row r="17" spans="1:24" ht="15" customHeight="1" x14ac:dyDescent="0.3">
      <c r="A17" s="195" t="s">
        <v>116</v>
      </c>
      <c r="B17" s="95" t="s">
        <v>170</v>
      </c>
      <c r="C17" s="95" t="s">
        <v>170</v>
      </c>
      <c r="D17" s="95" t="s">
        <v>170</v>
      </c>
      <c r="E17" s="95" t="s">
        <v>170</v>
      </c>
      <c r="F17" s="95" t="s">
        <v>170</v>
      </c>
      <c r="G17" s="45" t="s">
        <v>170</v>
      </c>
      <c r="H17" s="45" t="s">
        <v>170</v>
      </c>
      <c r="I17" s="95" t="s">
        <v>170</v>
      </c>
      <c r="J17" s="45">
        <f>'[6]Mexico 2002-2013'!D18/1000000</f>
        <v>845.02999899999998</v>
      </c>
      <c r="K17" s="45">
        <f>'[6]Mexico 2002-2013'!E18/1000000</f>
        <v>1658.690265</v>
      </c>
      <c r="L17" s="45">
        <f>'[6]Mexico 2002-2013'!F18/1000000</f>
        <v>1923.8865149999999</v>
      </c>
      <c r="M17" s="45">
        <f>'[6]Mexico 2002-2013'!G18/1000000</f>
        <v>1844.261027</v>
      </c>
      <c r="N17" s="45">
        <f>'[6]Mexico 2002-2013'!H18/1000000</f>
        <v>3226.12023</v>
      </c>
      <c r="O17" s="45">
        <f>'[6]Mexico 2002-2013'!I18/1000000</f>
        <v>1887.3994110000001</v>
      </c>
      <c r="P17" s="45">
        <f>'[6]Mexico 2002-2013'!J18/1000000</f>
        <v>2503.0668409999998</v>
      </c>
      <c r="Q17" s="45">
        <f>'[6]Mexico 2002-2013'!K18/1000000</f>
        <v>4120.9400569999998</v>
      </c>
      <c r="R17" s="45">
        <f>'[6]Mexico 2002-2013'!L18/1000000</f>
        <v>3549.2450880000001</v>
      </c>
      <c r="S17" s="45">
        <f>'[6]Mexico 2002-2013'!M18/1000000</f>
        <v>3451.892738</v>
      </c>
      <c r="T17" s="45">
        <f>'[6]Mexico 2002-2013'!N18/1000000</f>
        <v>3567.2170769999998</v>
      </c>
      <c r="U17" s="45">
        <f>'[6]México 2010-2015'!G16</f>
        <v>3557.3047122399998</v>
      </c>
      <c r="V17" s="45">
        <f>'[6]México 2010-2015'!H16</f>
        <v>2862.59480377</v>
      </c>
      <c r="W17" s="81">
        <v>2475.1007612960648</v>
      </c>
    </row>
    <row r="18" spans="1:24" ht="15" customHeight="1" x14ac:dyDescent="0.3">
      <c r="A18" s="198" t="s">
        <v>117</v>
      </c>
      <c r="B18" s="95" t="s">
        <v>170</v>
      </c>
      <c r="C18" s="95" t="s">
        <v>170</v>
      </c>
      <c r="D18" s="95" t="s">
        <v>170</v>
      </c>
      <c r="E18" s="95" t="s">
        <v>170</v>
      </c>
      <c r="F18" s="95" t="s">
        <v>170</v>
      </c>
      <c r="G18" s="45" t="s">
        <v>170</v>
      </c>
      <c r="H18" s="45" t="s">
        <v>170</v>
      </c>
      <c r="I18" s="95" t="s">
        <v>170</v>
      </c>
      <c r="J18" s="95" t="s">
        <v>170</v>
      </c>
      <c r="K18" s="95" t="s">
        <v>170</v>
      </c>
      <c r="L18" s="95" t="s">
        <v>170</v>
      </c>
      <c r="M18" s="45">
        <f>'[6]Mexico 2002-2013'!G19/1000000</f>
        <v>3574.8835490000001</v>
      </c>
      <c r="N18" s="45">
        <f>'[6]Mexico 2002-2013'!H19/1000000</f>
        <v>5140.1394819999996</v>
      </c>
      <c r="O18" s="45">
        <f>'[6]Mexico 2002-2013'!I19/1000000</f>
        <v>5140.1394819999996</v>
      </c>
      <c r="P18" s="45">
        <f>'[6]Mexico 2002-2013'!J19/1000000</f>
        <v>5092.3163219999997</v>
      </c>
      <c r="Q18" s="45">
        <f>'[6]Mexico 2002-2013'!K19/1000000</f>
        <v>5937.8745390000004</v>
      </c>
      <c r="R18" s="45">
        <f>'[6]Mexico 2002-2013'!L19/1000000</f>
        <v>5315.0038519999998</v>
      </c>
      <c r="S18" s="45">
        <f>'[6]Mexico 2002-2013'!M19/1000000</f>
        <v>8380.2103220000008</v>
      </c>
      <c r="T18" s="45">
        <f>'[6]Mexico 2002-2013'!N19/1000000</f>
        <v>8006.3426220000001</v>
      </c>
      <c r="U18" s="45">
        <f>'[6]México 2010-2015'!G17</f>
        <v>11702.302269</v>
      </c>
      <c r="V18" s="45">
        <f>'[6]México 2010-2015'!H17</f>
        <v>11267.715692</v>
      </c>
      <c r="W18" s="81">
        <v>9149.7331630000008</v>
      </c>
    </row>
    <row r="19" spans="1:24" ht="15" customHeight="1" x14ac:dyDescent="0.3">
      <c r="A19" s="199" t="s">
        <v>118</v>
      </c>
      <c r="B19" s="95">
        <v>243.5</v>
      </c>
      <c r="C19" s="95">
        <v>348.9</v>
      </c>
      <c r="D19" s="95">
        <v>1000</v>
      </c>
      <c r="E19" s="95">
        <v>398.2</v>
      </c>
      <c r="F19" s="95">
        <v>343.5</v>
      </c>
      <c r="G19" s="45">
        <v>300</v>
      </c>
      <c r="H19" s="45">
        <v>400</v>
      </c>
      <c r="I19" s="45">
        <f>'[6]Mexico 2002-2013'!C20/1000000</f>
        <v>727.18230000000005</v>
      </c>
      <c r="J19" s="45">
        <f>'[6]Mexico 2002-2013'!D20/1000000</f>
        <v>829.6</v>
      </c>
      <c r="K19" s="95" t="s">
        <v>170</v>
      </c>
      <c r="L19" s="95" t="s">
        <v>170</v>
      </c>
      <c r="M19" s="95" t="s">
        <v>170</v>
      </c>
      <c r="N19" s="95" t="s">
        <v>170</v>
      </c>
      <c r="O19" s="95" t="s">
        <v>170</v>
      </c>
      <c r="P19" s="95" t="s">
        <v>170</v>
      </c>
      <c r="Q19" s="95" t="s">
        <v>170</v>
      </c>
      <c r="R19" s="95" t="s">
        <v>170</v>
      </c>
      <c r="S19" s="95" t="s">
        <v>170</v>
      </c>
      <c r="T19" s="95" t="s">
        <v>170</v>
      </c>
      <c r="U19" s="95" t="s">
        <v>170</v>
      </c>
      <c r="V19" s="95" t="s">
        <v>170</v>
      </c>
      <c r="W19" s="81" t="s">
        <v>170</v>
      </c>
    </row>
    <row r="20" spans="1:24" ht="15" customHeight="1" x14ac:dyDescent="0.3">
      <c r="A20" s="109" t="s">
        <v>264</v>
      </c>
      <c r="B20" s="171"/>
      <c r="C20" s="171"/>
      <c r="D20" s="171"/>
      <c r="E20" s="171"/>
      <c r="F20" s="171"/>
      <c r="G20" s="172"/>
      <c r="H20" s="172"/>
      <c r="I20" s="172"/>
      <c r="J20" s="172"/>
      <c r="K20" s="172"/>
      <c r="L20" s="172"/>
      <c r="M20" s="172"/>
      <c r="N20" s="172"/>
      <c r="O20" s="172"/>
      <c r="P20" s="172"/>
      <c r="Q20" s="172"/>
      <c r="R20" s="172"/>
      <c r="S20" s="172"/>
      <c r="T20" s="172"/>
      <c r="U20" s="172"/>
      <c r="V20" s="172"/>
      <c r="W20" s="177"/>
    </row>
    <row r="21" spans="1:24" ht="15" customHeight="1" x14ac:dyDescent="0.3">
      <c r="A21" s="195" t="s">
        <v>119</v>
      </c>
      <c r="B21" s="95" t="s">
        <v>170</v>
      </c>
      <c r="C21" s="95" t="s">
        <v>170</v>
      </c>
      <c r="D21" s="95" t="s">
        <v>170</v>
      </c>
      <c r="E21" s="95" t="s">
        <v>170</v>
      </c>
      <c r="F21" s="95" t="s">
        <v>170</v>
      </c>
      <c r="G21" s="95" t="s">
        <v>170</v>
      </c>
      <c r="H21" s="95" t="s">
        <v>170</v>
      </c>
      <c r="I21" s="95" t="s">
        <v>170</v>
      </c>
      <c r="J21" s="95" t="s">
        <v>170</v>
      </c>
      <c r="K21" s="95" t="s">
        <v>170</v>
      </c>
      <c r="L21" s="95" t="s">
        <v>170</v>
      </c>
      <c r="M21" s="95" t="s">
        <v>170</v>
      </c>
      <c r="N21" s="95">
        <f>'[6]Mexico 2002-2013'!H22/1000000</f>
        <v>692.36959999999999</v>
      </c>
      <c r="O21" s="95">
        <f>'[6]Mexico 2002-2013'!I22/1000000</f>
        <v>1711.0296969999999</v>
      </c>
      <c r="P21" s="95">
        <f>'[6]Mexico 2002-2013'!J22/1000000</f>
        <v>2504.2916959999998</v>
      </c>
      <c r="Q21" s="95">
        <f>'[6]Mexico 2002-2013'!K22/1000000</f>
        <v>2622.6978720000002</v>
      </c>
      <c r="R21" s="95">
        <f>'[6]Mexico 2002-2013'!L22/1000000</f>
        <v>2708.523792</v>
      </c>
      <c r="S21" s="95">
        <f>'[6]Mexico 2002-2013'!M22/1000000</f>
        <v>3324.1271849999998</v>
      </c>
      <c r="T21" s="95">
        <f>'[6]Mexico 2002-2013'!N22/1000000</f>
        <v>3389.255936</v>
      </c>
      <c r="U21" s="95">
        <f>'[6]México 2010-2015'!G19</f>
        <v>3645.0525640199999</v>
      </c>
      <c r="V21" s="95">
        <f>'[6]México 2010-2015'!H19</f>
        <v>3804.0655592199996</v>
      </c>
      <c r="W21" s="59">
        <v>3887.9789660000001</v>
      </c>
    </row>
    <row r="22" spans="1:24" ht="15" customHeight="1" x14ac:dyDescent="0.3">
      <c r="A22" s="195" t="s">
        <v>120</v>
      </c>
      <c r="B22" s="95" t="s">
        <v>169</v>
      </c>
      <c r="C22" s="95" t="s">
        <v>169</v>
      </c>
      <c r="D22" s="162" t="s">
        <v>169</v>
      </c>
      <c r="E22" s="162" t="s">
        <v>169</v>
      </c>
      <c r="F22" s="162" t="s">
        <v>169</v>
      </c>
      <c r="G22" s="162" t="s">
        <v>169</v>
      </c>
      <c r="H22" s="162" t="s">
        <v>169</v>
      </c>
      <c r="I22" s="95">
        <f>'[6]Mexico 2002-2013'!C23</f>
        <v>0</v>
      </c>
      <c r="J22" s="95">
        <f>'[6]Mexico 2002-2013'!D23</f>
        <v>0</v>
      </c>
      <c r="K22" s="95">
        <f>'[6]Mexico 2002-2013'!E23</f>
        <v>0</v>
      </c>
      <c r="L22" s="95">
        <f>'[6]Mexico 2002-2013'!F23</f>
        <v>0</v>
      </c>
      <c r="M22" s="95">
        <f>'[6]Mexico 2002-2013'!G23</f>
        <v>0</v>
      </c>
      <c r="N22" s="95">
        <f>'[6]Mexico 2002-2013'!H23</f>
        <v>0</v>
      </c>
      <c r="O22" s="95">
        <f>'[6]Mexico 2002-2013'!I23</f>
        <v>0</v>
      </c>
      <c r="P22" s="95">
        <f>'[6]Mexico 2002-2013'!J23/1000000</f>
        <v>74.603087259999995</v>
      </c>
      <c r="Q22" s="95">
        <f>'[6]Mexico 2002-2013'!K23/1000000</f>
        <v>183.78281497999998</v>
      </c>
      <c r="R22" s="95">
        <f>'[6]Mexico 2002-2013'!L23/1000000</f>
        <v>242.78790062000002</v>
      </c>
      <c r="S22" s="95">
        <f>'[6]Mexico 2002-2013'!M23/1000000</f>
        <v>213.63556850000001</v>
      </c>
      <c r="T22" s="95">
        <f>'[6]Mexico 2002-2013'!N23/1000000</f>
        <v>203.69945084</v>
      </c>
      <c r="U22" s="95">
        <f>'[6]México 2010-2015'!G20</f>
        <v>275.47578894999998</v>
      </c>
      <c r="V22" s="95">
        <f>'[6]México 2010-2015'!H20</f>
        <v>272.64959438</v>
      </c>
      <c r="W22" s="161">
        <v>309.58722599999999</v>
      </c>
    </row>
    <row r="23" spans="1:24" ht="15" customHeight="1" x14ac:dyDescent="0.3">
      <c r="A23" s="195" t="s">
        <v>121</v>
      </c>
      <c r="B23" s="95" t="s">
        <v>170</v>
      </c>
      <c r="C23" s="95" t="s">
        <v>170</v>
      </c>
      <c r="D23" s="162" t="s">
        <v>170</v>
      </c>
      <c r="E23" s="162" t="s">
        <v>170</v>
      </c>
      <c r="F23" s="162" t="s">
        <v>170</v>
      </c>
      <c r="G23" s="162" t="s">
        <v>170</v>
      </c>
      <c r="H23" s="162" t="s">
        <v>170</v>
      </c>
      <c r="I23" s="95" t="s">
        <v>170</v>
      </c>
      <c r="J23" s="95" t="s">
        <v>170</v>
      </c>
      <c r="K23" s="95" t="s">
        <v>170</v>
      </c>
      <c r="L23" s="95" t="s">
        <v>170</v>
      </c>
      <c r="M23" s="95" t="s">
        <v>170</v>
      </c>
      <c r="N23" s="95" t="s">
        <v>170</v>
      </c>
      <c r="O23" s="95" t="s">
        <v>170</v>
      </c>
      <c r="P23" s="95" t="s">
        <v>170</v>
      </c>
      <c r="Q23" s="95" t="s">
        <v>170</v>
      </c>
      <c r="R23" s="95" t="s">
        <v>170</v>
      </c>
      <c r="S23" s="95" t="s">
        <v>170</v>
      </c>
      <c r="T23" s="95">
        <f>'[6]Mexico 2002-2013'!N24/1000000</f>
        <v>396.44128599999999</v>
      </c>
      <c r="U23" s="95">
        <f>'[6]México 2010-2015'!G21</f>
        <v>1010.23161628</v>
      </c>
      <c r="V23" s="95">
        <f>'[6]México 2010-2015'!H21</f>
        <v>1045.40849596</v>
      </c>
      <c r="W23" s="161">
        <v>1080.547568</v>
      </c>
    </row>
    <row r="24" spans="1:24" ht="15" customHeight="1" x14ac:dyDescent="0.3">
      <c r="A24" s="168" t="s">
        <v>261</v>
      </c>
      <c r="B24" s="173"/>
      <c r="C24" s="173"/>
      <c r="D24" s="174"/>
      <c r="E24" s="174"/>
      <c r="F24" s="174"/>
      <c r="G24" s="174"/>
      <c r="H24" s="174"/>
      <c r="I24" s="174"/>
      <c r="J24" s="174"/>
      <c r="K24" s="174"/>
      <c r="L24" s="174"/>
      <c r="M24" s="174"/>
      <c r="N24" s="174"/>
      <c r="O24" s="174"/>
      <c r="P24" s="174"/>
      <c r="Q24" s="174"/>
      <c r="R24" s="174"/>
      <c r="S24" s="174"/>
      <c r="T24" s="174"/>
      <c r="U24" s="174"/>
      <c r="V24" s="174"/>
      <c r="W24" s="178"/>
    </row>
    <row r="25" spans="1:24" ht="15" customHeight="1" x14ac:dyDescent="0.3">
      <c r="A25" s="195" t="s">
        <v>122</v>
      </c>
      <c r="B25" s="95" t="s">
        <v>170</v>
      </c>
      <c r="C25" s="95" t="s">
        <v>170</v>
      </c>
      <c r="D25" s="95" t="s">
        <v>170</v>
      </c>
      <c r="E25" s="95" t="s">
        <v>170</v>
      </c>
      <c r="F25" s="95" t="s">
        <v>170</v>
      </c>
      <c r="G25" s="95" t="s">
        <v>170</v>
      </c>
      <c r="H25" s="95" t="s">
        <v>170</v>
      </c>
      <c r="I25" s="95" t="s">
        <v>170</v>
      </c>
      <c r="J25" s="95" t="s">
        <v>170</v>
      </c>
      <c r="K25" s="95" t="s">
        <v>170</v>
      </c>
      <c r="L25" s="95" t="s">
        <v>170</v>
      </c>
      <c r="M25" s="95" t="s">
        <v>170</v>
      </c>
      <c r="N25" s="95">
        <f>'[6]Mexico 2002-2013'!H26/1000000</f>
        <v>5988.2549529999997</v>
      </c>
      <c r="O25" s="95">
        <f>'[6]Mexico 2002-2013'!I26/1000000</f>
        <v>9536.6770649999999</v>
      </c>
      <c r="P25" s="95">
        <f>'[6]Mexico 2002-2013'!J26/1000000</f>
        <v>12406.855041999999</v>
      </c>
      <c r="Q25" s="95">
        <f>'[6]Mexico 2002-2013'!K26/1000000</f>
        <v>12922.703288000001</v>
      </c>
      <c r="R25" s="95">
        <f>'[6]Mexico 2002-2013'!L26/1000000</f>
        <v>12972.304705</v>
      </c>
      <c r="S25" s="95">
        <f>'[6]Mexico 2002-2013'!M26/1000000</f>
        <v>17692.651278000001</v>
      </c>
      <c r="T25" s="95">
        <f>'[6]Mexico 2002-2013'!N26/1000000</f>
        <v>24324.258962</v>
      </c>
      <c r="U25" s="95">
        <f>'[6]México 2010-2015'!G23</f>
        <v>36477.893052169995</v>
      </c>
      <c r="V25" s="95">
        <f>'[6]México 2010-2015'!H23</f>
        <v>39707.216350360002</v>
      </c>
      <c r="W25" s="59">
        <v>38846.259105999998</v>
      </c>
    </row>
    <row r="26" spans="1:24" ht="15" customHeight="1" x14ac:dyDescent="0.3">
      <c r="A26" s="196" t="s">
        <v>123</v>
      </c>
      <c r="B26" s="165" t="s">
        <v>170</v>
      </c>
      <c r="C26" s="165" t="s">
        <v>170</v>
      </c>
      <c r="D26" s="165" t="s">
        <v>170</v>
      </c>
      <c r="E26" s="165" t="s">
        <v>170</v>
      </c>
      <c r="F26" s="165" t="s">
        <v>170</v>
      </c>
      <c r="G26" s="169" t="s">
        <v>170</v>
      </c>
      <c r="H26" s="169">
        <v>1224.9380000000001</v>
      </c>
      <c r="I26" s="165">
        <f>'[6]Mexico 2002-2013'!C27</f>
        <v>0</v>
      </c>
      <c r="J26" s="165">
        <f>'[6]Mexico 2002-2013'!D27</f>
        <v>0</v>
      </c>
      <c r="K26" s="165">
        <f>'[6]Mexico 2002-2013'!E27</f>
        <v>0</v>
      </c>
      <c r="L26" s="165">
        <f>'[6]Mexico 2002-2013'!F27</f>
        <v>0</v>
      </c>
      <c r="M26" s="165">
        <f>'[6]Mexico 2002-2013'!G27</f>
        <v>0</v>
      </c>
      <c r="N26" s="165">
        <f>'[6]Mexico 2002-2013'!H27</f>
        <v>0</v>
      </c>
      <c r="O26" s="165">
        <f>'[6]Mexico 2002-2013'!I27</f>
        <v>0</v>
      </c>
      <c r="P26" s="165">
        <f>'[6]Mexico 2002-2013'!J27/1000000</f>
        <v>7368.6247756800003</v>
      </c>
      <c r="Q26" s="165">
        <f>'[6]Mexico 2002-2013'!K27/1000000</f>
        <v>8644.6564325499985</v>
      </c>
      <c r="R26" s="165">
        <f>'[6]Mexico 2002-2013'!L27/1000000</f>
        <v>9680.8233714300004</v>
      </c>
      <c r="S26" s="165">
        <f>'[6]Mexico 2002-2013'!M27/1000000</f>
        <v>10000.87135573</v>
      </c>
      <c r="T26" s="165">
        <f>'[6]Mexico 2002-2013'!N27/1000000</f>
        <v>10615.87667424</v>
      </c>
      <c r="U26" s="165">
        <f>'[6]México 2010-2015'!G26</f>
        <v>10126.041352249998</v>
      </c>
      <c r="V26" s="165">
        <f>'[6]México 2010-2015'!H26</f>
        <v>11255.298649380002</v>
      </c>
      <c r="W26" s="179">
        <v>11148.723790440001</v>
      </c>
    </row>
    <row r="27" spans="1:24" ht="15" customHeight="1" x14ac:dyDescent="0.3">
      <c r="A27" s="52" t="s">
        <v>307</v>
      </c>
      <c r="B27" s="183">
        <f t="shared" ref="B27:W27" si="0">SUM(B7:B26)</f>
        <v>8147</v>
      </c>
      <c r="C27" s="183">
        <f t="shared" si="0"/>
        <v>11630.5</v>
      </c>
      <c r="D27" s="183">
        <f t="shared" si="0"/>
        <v>19409.399999999998</v>
      </c>
      <c r="E27" s="183">
        <f t="shared" si="0"/>
        <v>24195.243300000002</v>
      </c>
      <c r="F27" s="183">
        <f t="shared" si="0"/>
        <v>33197.611059999996</v>
      </c>
      <c r="G27" s="183">
        <f t="shared" si="0"/>
        <v>40350.46719000001</v>
      </c>
      <c r="H27" s="183">
        <f t="shared" si="0"/>
        <v>51036.818022440006</v>
      </c>
      <c r="I27" s="183">
        <f t="shared" si="0"/>
        <v>58101.316079999997</v>
      </c>
      <c r="J27" s="183">
        <f t="shared" si="0"/>
        <v>67666.665613000005</v>
      </c>
      <c r="K27" s="183">
        <f t="shared" si="0"/>
        <v>81638.087996999995</v>
      </c>
      <c r="L27" s="183">
        <f t="shared" si="0"/>
        <v>95722.915852999999</v>
      </c>
      <c r="M27" s="183">
        <f t="shared" si="0"/>
        <v>117126.730985</v>
      </c>
      <c r="N27" s="183">
        <f t="shared" si="0"/>
        <v>139851.18105100002</v>
      </c>
      <c r="O27" s="183">
        <f t="shared" si="0"/>
        <v>169091.58145600001</v>
      </c>
      <c r="P27" s="183">
        <f t="shared" si="0"/>
        <v>198391.78037793998</v>
      </c>
      <c r="Q27" s="183">
        <f t="shared" si="0"/>
        <v>217648.92805752999</v>
      </c>
      <c r="R27" s="183">
        <f t="shared" si="0"/>
        <v>228186.35803256178</v>
      </c>
      <c r="S27" s="183">
        <f t="shared" si="0"/>
        <v>257480.81557157901</v>
      </c>
      <c r="T27" s="183">
        <f t="shared" si="0"/>
        <v>278027.56162408</v>
      </c>
      <c r="U27" s="183">
        <f t="shared" si="0"/>
        <v>305206.47709185997</v>
      </c>
      <c r="V27" s="183">
        <f t="shared" si="0"/>
        <v>280606.16475400992</v>
      </c>
      <c r="W27" s="184">
        <f t="shared" si="0"/>
        <v>280398.75844873604</v>
      </c>
      <c r="X27" s="21"/>
    </row>
    <row r="28" spans="1:24" ht="15" customHeight="1" x14ac:dyDescent="0.3">
      <c r="A28" s="53" t="s">
        <v>308</v>
      </c>
      <c r="B28" s="165">
        <f>B27</f>
        <v>8147</v>
      </c>
      <c r="C28" s="165">
        <f t="shared" ref="C28:W28" si="1">C27</f>
        <v>11630.5</v>
      </c>
      <c r="D28" s="165">
        <f t="shared" si="1"/>
        <v>19409.399999999998</v>
      </c>
      <c r="E28" s="165">
        <f t="shared" si="1"/>
        <v>24195.243300000002</v>
      </c>
      <c r="F28" s="165">
        <f t="shared" si="1"/>
        <v>33197.611059999996</v>
      </c>
      <c r="G28" s="165">
        <f t="shared" si="1"/>
        <v>40350.46719000001</v>
      </c>
      <c r="H28" s="165">
        <f t="shared" si="1"/>
        <v>51036.818022440006</v>
      </c>
      <c r="I28" s="165">
        <f t="shared" si="1"/>
        <v>58101.316079999997</v>
      </c>
      <c r="J28" s="165">
        <f t="shared" si="1"/>
        <v>67666.665613000005</v>
      </c>
      <c r="K28" s="165">
        <f t="shared" si="1"/>
        <v>81638.087996999995</v>
      </c>
      <c r="L28" s="165">
        <f t="shared" si="1"/>
        <v>95722.915852999999</v>
      </c>
      <c r="M28" s="165">
        <f t="shared" si="1"/>
        <v>117126.730985</v>
      </c>
      <c r="N28" s="165">
        <f t="shared" si="1"/>
        <v>139851.18105100002</v>
      </c>
      <c r="O28" s="165">
        <f t="shared" si="1"/>
        <v>169091.58145600001</v>
      </c>
      <c r="P28" s="165">
        <f t="shared" si="1"/>
        <v>198391.78037793998</v>
      </c>
      <c r="Q28" s="165">
        <f t="shared" si="1"/>
        <v>217648.92805752999</v>
      </c>
      <c r="R28" s="165">
        <f t="shared" si="1"/>
        <v>228186.35803256178</v>
      </c>
      <c r="S28" s="165">
        <f t="shared" si="1"/>
        <v>257480.81557157901</v>
      </c>
      <c r="T28" s="165">
        <f t="shared" si="1"/>
        <v>278027.56162408</v>
      </c>
      <c r="U28" s="165">
        <f t="shared" si="1"/>
        <v>305206.47709185997</v>
      </c>
      <c r="V28" s="165">
        <f t="shared" si="1"/>
        <v>280606.16475400992</v>
      </c>
      <c r="W28" s="180">
        <f t="shared" si="1"/>
        <v>280398.75844873604</v>
      </c>
      <c r="X28" s="21"/>
    </row>
    <row r="29" spans="1:24" ht="15" customHeight="1" x14ac:dyDescent="0.3">
      <c r="A29" s="1" t="s">
        <v>312</v>
      </c>
      <c r="B29" s="121">
        <f t="shared" ref="B29:H29" si="2">100*B27/B46</f>
        <v>1.9326301131184749</v>
      </c>
      <c r="C29" s="121">
        <f t="shared" si="2"/>
        <v>1.9975384514258212</v>
      </c>
      <c r="D29" s="121">
        <f t="shared" si="2"/>
        <v>2.5735111068993146</v>
      </c>
      <c r="E29" s="121">
        <f t="shared" si="2"/>
        <v>2.916807082682364</v>
      </c>
      <c r="F29" s="121">
        <f t="shared" si="2"/>
        <v>3.2945013144408426</v>
      </c>
      <c r="G29" s="121">
        <f t="shared" si="2"/>
        <v>3.2559964605186442</v>
      </c>
      <c r="H29" s="121">
        <f t="shared" si="2"/>
        <v>3.8909806878291402</v>
      </c>
      <c r="I29" s="162" t="s">
        <v>169</v>
      </c>
      <c r="J29" s="162" t="s">
        <v>169</v>
      </c>
      <c r="K29" s="162" t="s">
        <v>169</v>
      </c>
      <c r="L29" s="162" t="s">
        <v>169</v>
      </c>
      <c r="M29" s="162" t="s">
        <v>169</v>
      </c>
      <c r="N29" s="162" t="s">
        <v>169</v>
      </c>
      <c r="O29" s="162" t="s">
        <v>169</v>
      </c>
      <c r="P29" s="162" t="s">
        <v>169</v>
      </c>
      <c r="Q29" s="162" t="s">
        <v>169</v>
      </c>
      <c r="R29" s="162" t="s">
        <v>169</v>
      </c>
      <c r="S29" s="162" t="s">
        <v>169</v>
      </c>
      <c r="T29" s="162" t="s">
        <v>169</v>
      </c>
      <c r="U29" s="162" t="s">
        <v>169</v>
      </c>
      <c r="V29" s="162" t="s">
        <v>169</v>
      </c>
      <c r="W29" s="216">
        <f>W27/W46</f>
        <v>5.2432989816105807E-2</v>
      </c>
    </row>
    <row r="30" spans="1:24" ht="15" customHeight="1" x14ac:dyDescent="0.3">
      <c r="A30" s="1" t="s">
        <v>319</v>
      </c>
      <c r="B30" s="121">
        <f t="shared" ref="B30:H30" si="3">100*B28/B46</f>
        <v>1.9326301131184749</v>
      </c>
      <c r="C30" s="121">
        <f t="shared" si="3"/>
        <v>1.9975384514258212</v>
      </c>
      <c r="D30" s="121">
        <f t="shared" si="3"/>
        <v>2.5735111068993146</v>
      </c>
      <c r="E30" s="121">
        <f t="shared" si="3"/>
        <v>2.916807082682364</v>
      </c>
      <c r="F30" s="121">
        <f t="shared" si="3"/>
        <v>3.2945013144408426</v>
      </c>
      <c r="G30" s="121">
        <f t="shared" si="3"/>
        <v>3.2559964605186442</v>
      </c>
      <c r="H30" s="121">
        <f t="shared" si="3"/>
        <v>3.8909806878291402</v>
      </c>
      <c r="I30" s="162" t="s">
        <v>169</v>
      </c>
      <c r="J30" s="162" t="s">
        <v>169</v>
      </c>
      <c r="K30" s="162" t="s">
        <v>169</v>
      </c>
      <c r="L30" s="162" t="s">
        <v>169</v>
      </c>
      <c r="M30" s="162" t="s">
        <v>169</v>
      </c>
      <c r="N30" s="162" t="s">
        <v>169</v>
      </c>
      <c r="O30" s="162" t="s">
        <v>169</v>
      </c>
      <c r="P30" s="162" t="s">
        <v>169</v>
      </c>
      <c r="Q30" s="162" t="s">
        <v>169</v>
      </c>
      <c r="R30" s="162" t="s">
        <v>169</v>
      </c>
      <c r="S30" s="162" t="s">
        <v>169</v>
      </c>
      <c r="T30" s="162" t="s">
        <v>169</v>
      </c>
      <c r="U30" s="162" t="s">
        <v>169</v>
      </c>
      <c r="V30" s="162" t="s">
        <v>169</v>
      </c>
      <c r="W30" s="216">
        <f>W28/W46</f>
        <v>5.2432989816105807E-2</v>
      </c>
    </row>
    <row r="31" spans="1:24" ht="15" customHeight="1" x14ac:dyDescent="0.3">
      <c r="A31" s="1" t="s">
        <v>271</v>
      </c>
      <c r="B31" s="121">
        <f t="shared" ref="B31:H31" si="4">100*B27/B47</f>
        <v>5.2476954777837683</v>
      </c>
      <c r="C31" s="121">
        <f t="shared" si="4"/>
        <v>5.4831958821696301</v>
      </c>
      <c r="D31" s="121">
        <f t="shared" si="4"/>
        <v>7.0642186809047276</v>
      </c>
      <c r="E31" s="121">
        <f t="shared" si="4"/>
        <v>6.9624395486761577</v>
      </c>
      <c r="F31" s="121">
        <f t="shared" si="4"/>
        <v>7.6602488375543496</v>
      </c>
      <c r="G31" s="121">
        <f t="shared" si="4"/>
        <v>7.7710644328373082</v>
      </c>
      <c r="H31" s="121">
        <f t="shared" si="4"/>
        <v>8.7918418924379242</v>
      </c>
      <c r="I31" s="162" t="s">
        <v>169</v>
      </c>
      <c r="J31" s="162" t="s">
        <v>169</v>
      </c>
      <c r="K31" s="162" t="s">
        <v>169</v>
      </c>
      <c r="L31" s="162" t="s">
        <v>169</v>
      </c>
      <c r="M31" s="162" t="s">
        <v>169</v>
      </c>
      <c r="N31" s="162" t="s">
        <v>169</v>
      </c>
      <c r="O31" s="162" t="s">
        <v>169</v>
      </c>
      <c r="P31" s="162" t="s">
        <v>169</v>
      </c>
      <c r="Q31" s="162" t="s">
        <v>169</v>
      </c>
      <c r="R31" s="162" t="s">
        <v>169</v>
      </c>
      <c r="S31" s="162" t="s">
        <v>169</v>
      </c>
      <c r="T31" s="162" t="s">
        <v>169</v>
      </c>
      <c r="U31" s="162" t="s">
        <v>169</v>
      </c>
      <c r="V31" s="162" t="s">
        <v>169</v>
      </c>
      <c r="W31" s="216">
        <f>W27/W47</f>
        <v>0.12139957833079279</v>
      </c>
    </row>
    <row r="32" spans="1:24" ht="15" customHeight="1" x14ac:dyDescent="0.3">
      <c r="A32" s="1" t="s">
        <v>316</v>
      </c>
      <c r="B32" s="121">
        <f t="shared" ref="B32:H32" si="5">100*B28/B47</f>
        <v>5.2476954777837683</v>
      </c>
      <c r="C32" s="121">
        <f t="shared" si="5"/>
        <v>5.4831958821696301</v>
      </c>
      <c r="D32" s="121">
        <f t="shared" si="5"/>
        <v>7.0642186809047276</v>
      </c>
      <c r="E32" s="121">
        <f t="shared" si="5"/>
        <v>6.9624395486761577</v>
      </c>
      <c r="F32" s="121">
        <f t="shared" si="5"/>
        <v>7.6602488375543496</v>
      </c>
      <c r="G32" s="121">
        <f t="shared" si="5"/>
        <v>7.7710644328373082</v>
      </c>
      <c r="H32" s="121">
        <f t="shared" si="5"/>
        <v>8.7918418924379242</v>
      </c>
      <c r="I32" s="162" t="s">
        <v>169</v>
      </c>
      <c r="J32" s="162" t="s">
        <v>169</v>
      </c>
      <c r="K32" s="162" t="s">
        <v>169</v>
      </c>
      <c r="L32" s="162" t="s">
        <v>169</v>
      </c>
      <c r="M32" s="162" t="s">
        <v>169</v>
      </c>
      <c r="N32" s="162" t="s">
        <v>169</v>
      </c>
      <c r="O32" s="162" t="s">
        <v>169</v>
      </c>
      <c r="P32" s="162" t="s">
        <v>169</v>
      </c>
      <c r="Q32" s="162" t="s">
        <v>169</v>
      </c>
      <c r="R32" s="162" t="s">
        <v>169</v>
      </c>
      <c r="S32" s="162" t="s">
        <v>169</v>
      </c>
      <c r="T32" s="162" t="s">
        <v>169</v>
      </c>
      <c r="U32" s="162" t="s">
        <v>169</v>
      </c>
      <c r="V32" s="162" t="s">
        <v>169</v>
      </c>
      <c r="W32" s="216">
        <f>W28/W47</f>
        <v>0.12139957833079279</v>
      </c>
    </row>
    <row r="33" spans="1:24" ht="15" customHeight="1" x14ac:dyDescent="0.3">
      <c r="A33" s="1" t="s">
        <v>309</v>
      </c>
      <c r="B33" s="245">
        <f t="shared" ref="B33:V33" si="6">B27/B48</f>
        <v>3.662024420811321E-3</v>
      </c>
      <c r="C33" s="245">
        <f t="shared" si="6"/>
        <v>3.8729706268911916E-3</v>
      </c>
      <c r="D33" s="245">
        <f t="shared" si="6"/>
        <v>5.1411819342277142E-3</v>
      </c>
      <c r="E33" s="245">
        <f t="shared" si="6"/>
        <v>5.2709831525474546E-3</v>
      </c>
      <c r="F33" s="245">
        <f t="shared" si="6"/>
        <v>6.0339023247350668E-3</v>
      </c>
      <c r="G33" s="245">
        <f t="shared" si="6"/>
        <v>6.2790172761379203E-3</v>
      </c>
      <c r="H33" s="245">
        <f t="shared" si="6"/>
        <v>7.4879701456543003E-3</v>
      </c>
      <c r="I33" s="245">
        <f t="shared" si="6"/>
        <v>7.7908152347458872E-3</v>
      </c>
      <c r="J33" s="245">
        <f t="shared" si="6"/>
        <v>8.4532566363916695E-3</v>
      </c>
      <c r="K33" s="245">
        <f t="shared" si="6"/>
        <v>8.9316011859846851E-3</v>
      </c>
      <c r="L33" s="245">
        <f t="shared" si="6"/>
        <v>9.6674792448845723E-3</v>
      </c>
      <c r="M33" s="245">
        <f t="shared" si="6"/>
        <v>1.0745707940081247E-2</v>
      </c>
      <c r="N33" s="245">
        <f t="shared" si="6"/>
        <v>1.1625822906152593E-2</v>
      </c>
      <c r="O33" s="245">
        <f t="shared" si="6"/>
        <v>1.3710688354101322E-2</v>
      </c>
      <c r="P33" s="245">
        <f t="shared" si="6"/>
        <v>1.5529904465264035E-2</v>
      </c>
      <c r="Q33" s="245">
        <f t="shared" si="6"/>
        <v>1.5551572025891443E-2</v>
      </c>
      <c r="R33" s="245">
        <f t="shared" si="6"/>
        <v>1.461534542278709E-2</v>
      </c>
      <c r="S33" s="245">
        <f t="shared" si="6"/>
        <v>1.5903868226083258E-2</v>
      </c>
      <c r="T33" s="245">
        <f t="shared" si="6"/>
        <v>1.6516524459860508E-2</v>
      </c>
      <c r="U33" s="245">
        <f t="shared" si="6"/>
        <v>1.7686976613009091E-2</v>
      </c>
      <c r="V33" s="245">
        <f t="shared" si="6"/>
        <v>1.5479859698665322E-2</v>
      </c>
      <c r="W33" s="216">
        <f>W27/W48</f>
        <v>1.4350083101120913E-2</v>
      </c>
    </row>
    <row r="34" spans="1:24" ht="15" customHeight="1" x14ac:dyDescent="0.3">
      <c r="A34" s="1" t="s">
        <v>317</v>
      </c>
      <c r="B34" s="245">
        <f t="shared" ref="B34:V34" si="7">B28/B48</f>
        <v>3.662024420811321E-3</v>
      </c>
      <c r="C34" s="245">
        <f t="shared" si="7"/>
        <v>3.8729706268911916E-3</v>
      </c>
      <c r="D34" s="245">
        <f t="shared" si="7"/>
        <v>5.1411819342277142E-3</v>
      </c>
      <c r="E34" s="245">
        <f t="shared" si="7"/>
        <v>5.2709831525474546E-3</v>
      </c>
      <c r="F34" s="245">
        <f t="shared" si="7"/>
        <v>6.0339023247350668E-3</v>
      </c>
      <c r="G34" s="245">
        <f t="shared" si="7"/>
        <v>6.2790172761379203E-3</v>
      </c>
      <c r="H34" s="245">
        <f t="shared" si="7"/>
        <v>7.4879701456543003E-3</v>
      </c>
      <c r="I34" s="245">
        <f t="shared" si="7"/>
        <v>7.7908152347458872E-3</v>
      </c>
      <c r="J34" s="245">
        <f t="shared" si="7"/>
        <v>8.4532566363916695E-3</v>
      </c>
      <c r="K34" s="245">
        <f t="shared" si="7"/>
        <v>8.9316011859846851E-3</v>
      </c>
      <c r="L34" s="245">
        <f t="shared" si="7"/>
        <v>9.6674792448845723E-3</v>
      </c>
      <c r="M34" s="245">
        <f t="shared" si="7"/>
        <v>1.0745707940081247E-2</v>
      </c>
      <c r="N34" s="245">
        <f t="shared" si="7"/>
        <v>1.1625822906152593E-2</v>
      </c>
      <c r="O34" s="245">
        <f t="shared" si="7"/>
        <v>1.3710688354101322E-2</v>
      </c>
      <c r="P34" s="245">
        <f t="shared" si="7"/>
        <v>1.5529904465264035E-2</v>
      </c>
      <c r="Q34" s="245">
        <f t="shared" si="7"/>
        <v>1.5551572025891443E-2</v>
      </c>
      <c r="R34" s="245">
        <f t="shared" si="7"/>
        <v>1.461534542278709E-2</v>
      </c>
      <c r="S34" s="245">
        <f t="shared" si="7"/>
        <v>1.5903868226083258E-2</v>
      </c>
      <c r="T34" s="245">
        <f t="shared" si="7"/>
        <v>1.6516524459860508E-2</v>
      </c>
      <c r="U34" s="245">
        <f t="shared" si="7"/>
        <v>1.7686976613009091E-2</v>
      </c>
      <c r="V34" s="245">
        <f t="shared" si="7"/>
        <v>1.5479859698665322E-2</v>
      </c>
      <c r="W34" s="216">
        <f>W28/W48</f>
        <v>1.4350083101120913E-2</v>
      </c>
      <c r="X34" s="682"/>
    </row>
    <row r="35" spans="1:24" ht="15" customHeight="1" x14ac:dyDescent="0.3">
      <c r="A35" s="1" t="s">
        <v>310</v>
      </c>
      <c r="B35" s="95">
        <f t="shared" ref="B35:H35" si="8">B27*1000000/B49</f>
        <v>391.68212274722151</v>
      </c>
      <c r="C35" s="95">
        <f t="shared" si="8"/>
        <v>529.91919056979407</v>
      </c>
      <c r="D35" s="95">
        <f t="shared" si="8"/>
        <v>858.39996847648615</v>
      </c>
      <c r="E35" s="95">
        <f t="shared" si="8"/>
        <v>1038.6611729863239</v>
      </c>
      <c r="F35" s="95">
        <f t="shared" si="8"/>
        <v>1411.3462511904702</v>
      </c>
      <c r="G35" s="95">
        <f t="shared" si="8"/>
        <v>1698.8621750758466</v>
      </c>
      <c r="H35" s="95">
        <f t="shared" si="8"/>
        <v>2097.2613658584464</v>
      </c>
      <c r="I35" s="162" t="s">
        <v>169</v>
      </c>
      <c r="J35" s="162" t="s">
        <v>169</v>
      </c>
      <c r="K35" s="162" t="s">
        <v>169</v>
      </c>
      <c r="L35" s="162" t="s">
        <v>169</v>
      </c>
      <c r="M35" s="162" t="s">
        <v>169</v>
      </c>
      <c r="N35" s="162" t="s">
        <v>169</v>
      </c>
      <c r="O35" s="162" t="s">
        <v>169</v>
      </c>
      <c r="P35" s="162" t="s">
        <v>169</v>
      </c>
      <c r="Q35" s="95">
        <f t="shared" ref="Q35:W35" si="9">Q27*1000000/Q49</f>
        <v>7470.644771392339</v>
      </c>
      <c r="R35" s="95">
        <f t="shared" si="9"/>
        <v>7342.9970645422627</v>
      </c>
      <c r="S35" s="95">
        <f t="shared" si="9"/>
        <v>8350.2171273858439</v>
      </c>
      <c r="T35" s="95">
        <f t="shared" si="9"/>
        <v>8799.0319500130354</v>
      </c>
      <c r="U35" s="95">
        <f t="shared" si="9"/>
        <v>9751.237132940887</v>
      </c>
      <c r="V35" s="95">
        <f t="shared" si="9"/>
        <v>8620.1820125271279</v>
      </c>
      <c r="W35" s="218">
        <f t="shared" si="9"/>
        <v>8827.0827439656568</v>
      </c>
    </row>
    <row r="36" spans="1:24" ht="15" customHeight="1" x14ac:dyDescent="0.3">
      <c r="A36" s="1" t="s">
        <v>318</v>
      </c>
      <c r="B36" s="45">
        <f t="shared" ref="B36:H36" si="10">B28*1000000/B49</f>
        <v>391.68212274722151</v>
      </c>
      <c r="C36" s="45">
        <f t="shared" si="10"/>
        <v>529.91919056979407</v>
      </c>
      <c r="D36" s="45">
        <f t="shared" si="10"/>
        <v>858.39996847648615</v>
      </c>
      <c r="E36" s="45">
        <f t="shared" si="10"/>
        <v>1038.6611729863239</v>
      </c>
      <c r="F36" s="45">
        <f t="shared" si="10"/>
        <v>1411.3462511904702</v>
      </c>
      <c r="G36" s="45">
        <f t="shared" si="10"/>
        <v>1698.8621750758466</v>
      </c>
      <c r="H36" s="45">
        <f t="shared" si="10"/>
        <v>2097.2613658584464</v>
      </c>
      <c r="I36" s="162" t="s">
        <v>169</v>
      </c>
      <c r="J36" s="162" t="s">
        <v>169</v>
      </c>
      <c r="K36" s="162" t="s">
        <v>169</v>
      </c>
      <c r="L36" s="162" t="s">
        <v>169</v>
      </c>
      <c r="M36" s="162" t="s">
        <v>169</v>
      </c>
      <c r="N36" s="162" t="s">
        <v>169</v>
      </c>
      <c r="O36" s="162" t="s">
        <v>169</v>
      </c>
      <c r="P36" s="162" t="s">
        <v>169</v>
      </c>
      <c r="Q36" s="45">
        <f t="shared" ref="Q36:W36" si="11">Q28*1000000/Q49</f>
        <v>7470.644771392339</v>
      </c>
      <c r="R36" s="45">
        <f t="shared" si="11"/>
        <v>7342.9970645422627</v>
      </c>
      <c r="S36" s="45">
        <f t="shared" si="11"/>
        <v>8350.2171273858439</v>
      </c>
      <c r="T36" s="45">
        <f t="shared" si="11"/>
        <v>8799.0319500130354</v>
      </c>
      <c r="U36" s="45">
        <f t="shared" si="11"/>
        <v>9751.237132940887</v>
      </c>
      <c r="V36" s="45">
        <f t="shared" si="11"/>
        <v>8620.1820125271279</v>
      </c>
      <c r="W36" s="202">
        <f t="shared" si="11"/>
        <v>8827.0827439656568</v>
      </c>
    </row>
    <row r="37" spans="1:24" ht="15" customHeight="1" x14ac:dyDescent="0.3">
      <c r="A37" s="1" t="s">
        <v>311</v>
      </c>
      <c r="B37" s="164">
        <f t="shared" ref="B37:H37" si="12">B35/B50</f>
        <v>6.4571160301760161E-2</v>
      </c>
      <c r="C37" s="164">
        <f t="shared" si="12"/>
        <v>7.2162446808608283E-2</v>
      </c>
      <c r="D37" s="164">
        <f t="shared" si="12"/>
        <v>0.10059441194998749</v>
      </c>
      <c r="E37" s="164">
        <f t="shared" si="12"/>
        <v>0.10474676536824699</v>
      </c>
      <c r="F37" s="164">
        <f t="shared" si="12"/>
        <v>0.12769070040959116</v>
      </c>
      <c r="G37" s="164">
        <f t="shared" si="12"/>
        <v>0.13789318848561</v>
      </c>
      <c r="H37" s="164">
        <f t="shared" si="12"/>
        <v>0.15856817043655441</v>
      </c>
      <c r="I37" s="162" t="s">
        <v>169</v>
      </c>
      <c r="J37" s="162" t="s">
        <v>169</v>
      </c>
      <c r="K37" s="162" t="s">
        <v>169</v>
      </c>
      <c r="L37" s="162" t="s">
        <v>169</v>
      </c>
      <c r="M37" s="162" t="s">
        <v>169</v>
      </c>
      <c r="N37" s="162" t="s">
        <v>169</v>
      </c>
      <c r="O37" s="162" t="s">
        <v>169</v>
      </c>
      <c r="P37" s="162" t="s">
        <v>169</v>
      </c>
      <c r="Q37" s="213">
        <f t="shared" ref="Q37:V37" si="13">(Q35/Q50)*100</f>
        <v>35.620466275013655</v>
      </c>
      <c r="R37" s="213">
        <f t="shared" si="13"/>
        <v>33.630558637292076</v>
      </c>
      <c r="S37" s="213">
        <f t="shared" si="13"/>
        <v>36.703525105595027</v>
      </c>
      <c r="T37" s="213">
        <f t="shared" si="13"/>
        <v>37.22504145977576</v>
      </c>
      <c r="U37" s="213">
        <f t="shared" si="13"/>
        <v>39.702360190876476</v>
      </c>
      <c r="V37" s="213">
        <f t="shared" si="13"/>
        <v>33.690352383198672</v>
      </c>
      <c r="W37" s="217">
        <f>(W35/W50)</f>
        <v>0.33109837749308541</v>
      </c>
    </row>
    <row r="38" spans="1:24" ht="15" customHeight="1" x14ac:dyDescent="0.3">
      <c r="A38" s="1" t="s">
        <v>338</v>
      </c>
      <c r="B38" s="94">
        <f t="shared" ref="B38:H38" si="14">B36/B50</f>
        <v>6.4571160301760161E-2</v>
      </c>
      <c r="C38" s="94">
        <f t="shared" si="14"/>
        <v>7.2162446808608283E-2</v>
      </c>
      <c r="D38" s="94">
        <f t="shared" si="14"/>
        <v>0.10059441194998749</v>
      </c>
      <c r="E38" s="94">
        <f t="shared" si="14"/>
        <v>0.10474676536824699</v>
      </c>
      <c r="F38" s="94">
        <f t="shared" si="14"/>
        <v>0.12769070040959116</v>
      </c>
      <c r="G38" s="94">
        <f t="shared" si="14"/>
        <v>0.13789318848561</v>
      </c>
      <c r="H38" s="94">
        <f t="shared" si="14"/>
        <v>0.15856817043655441</v>
      </c>
      <c r="I38" s="162" t="s">
        <v>169</v>
      </c>
      <c r="J38" s="162" t="s">
        <v>169</v>
      </c>
      <c r="K38" s="162" t="s">
        <v>169</v>
      </c>
      <c r="L38" s="162" t="s">
        <v>169</v>
      </c>
      <c r="M38" s="162" t="s">
        <v>169</v>
      </c>
      <c r="N38" s="162" t="s">
        <v>169</v>
      </c>
      <c r="O38" s="162" t="s">
        <v>169</v>
      </c>
      <c r="P38" s="162" t="s">
        <v>169</v>
      </c>
      <c r="Q38" s="162" t="s">
        <v>169</v>
      </c>
      <c r="R38" s="162" t="s">
        <v>169</v>
      </c>
      <c r="S38" s="162" t="s">
        <v>169</v>
      </c>
      <c r="T38" s="162" t="s">
        <v>169</v>
      </c>
      <c r="U38" s="162" t="s">
        <v>169</v>
      </c>
      <c r="V38" s="162" t="s">
        <v>169</v>
      </c>
      <c r="W38" s="89">
        <f>W36/W50</f>
        <v>0.33109837749308541</v>
      </c>
    </row>
    <row r="39" spans="1:24" ht="15" customHeight="1" x14ac:dyDescent="0.3">
      <c r="A39" s="9" t="s">
        <v>602</v>
      </c>
      <c r="B39" s="94">
        <f t="shared" ref="B39:H39" si="15">B35/B53</f>
        <v>2.9889786296597033E-2</v>
      </c>
      <c r="C39" s="94">
        <f t="shared" si="15"/>
        <v>3.5856070971400554E-2</v>
      </c>
      <c r="D39" s="94">
        <f t="shared" si="15"/>
        <v>5.1574275170282062E-2</v>
      </c>
      <c r="E39" s="94">
        <f t="shared" si="15"/>
        <v>5.5412497656384896E-2</v>
      </c>
      <c r="F39" s="94">
        <f t="shared" si="15"/>
        <v>6.06241834876129E-2</v>
      </c>
      <c r="G39" s="94">
        <f t="shared" si="15"/>
        <v>5.8755560686356408E-2</v>
      </c>
      <c r="H39" s="94">
        <f t="shared" si="15"/>
        <v>6.8703496577423889E-2</v>
      </c>
      <c r="I39" s="162" t="s">
        <v>169</v>
      </c>
      <c r="J39" s="162" t="s">
        <v>169</v>
      </c>
      <c r="K39" s="162" t="s">
        <v>169</v>
      </c>
      <c r="L39" s="162" t="s">
        <v>169</v>
      </c>
      <c r="M39" s="162" t="s">
        <v>169</v>
      </c>
      <c r="N39" s="162" t="s">
        <v>169</v>
      </c>
      <c r="O39" s="162" t="s">
        <v>169</v>
      </c>
      <c r="P39" s="162" t="s">
        <v>169</v>
      </c>
      <c r="Q39" s="214">
        <f>(Q35/Q53)</f>
        <v>0.16102849250015441</v>
      </c>
      <c r="R39" s="214">
        <f t="shared" ref="R39:W39" si="16">(R35/R53)</f>
        <v>0.15290841722425116</v>
      </c>
      <c r="S39" s="214">
        <f t="shared" si="16"/>
        <v>0.17130804606580979</v>
      </c>
      <c r="T39" s="214">
        <f t="shared" si="16"/>
        <v>0.17953631990879032</v>
      </c>
      <c r="U39" s="214">
        <f t="shared" si="16"/>
        <v>0.19597557696312742</v>
      </c>
      <c r="V39" s="214">
        <f t="shared" si="16"/>
        <v>0.16515270962603718</v>
      </c>
      <c r="W39" s="89">
        <f t="shared" si="16"/>
        <v>0.17427485903060361</v>
      </c>
    </row>
    <row r="40" spans="1:24" ht="15" customHeight="1" thickBot="1" x14ac:dyDescent="0.35">
      <c r="A40" s="123" t="s">
        <v>603</v>
      </c>
      <c r="B40" s="170">
        <f t="shared" ref="B40:H40" si="17">B36/B53</f>
        <v>2.9889786296597033E-2</v>
      </c>
      <c r="C40" s="170">
        <f t="shared" si="17"/>
        <v>3.5856070971400554E-2</v>
      </c>
      <c r="D40" s="170">
        <f t="shared" si="17"/>
        <v>5.1574275170282062E-2</v>
      </c>
      <c r="E40" s="170">
        <f t="shared" si="17"/>
        <v>5.5412497656384896E-2</v>
      </c>
      <c r="F40" s="170">
        <f t="shared" si="17"/>
        <v>6.06241834876129E-2</v>
      </c>
      <c r="G40" s="170">
        <f t="shared" si="17"/>
        <v>5.8755560686356408E-2</v>
      </c>
      <c r="H40" s="170">
        <f t="shared" si="17"/>
        <v>6.8703496577423889E-2</v>
      </c>
      <c r="I40" s="170" t="s">
        <v>169</v>
      </c>
      <c r="J40" s="170" t="s">
        <v>169</v>
      </c>
      <c r="K40" s="170" t="s">
        <v>169</v>
      </c>
      <c r="L40" s="170" t="s">
        <v>169</v>
      </c>
      <c r="M40" s="170" t="s">
        <v>169</v>
      </c>
      <c r="N40" s="170" t="s">
        <v>169</v>
      </c>
      <c r="O40" s="170" t="s">
        <v>169</v>
      </c>
      <c r="P40" s="170" t="s">
        <v>169</v>
      </c>
      <c r="Q40" s="215">
        <f t="shared" ref="Q40:W40" si="18">Q36/Q53</f>
        <v>0.16102849250015441</v>
      </c>
      <c r="R40" s="215">
        <f t="shared" si="18"/>
        <v>0.15290841722425116</v>
      </c>
      <c r="S40" s="215">
        <f t="shared" si="18"/>
        <v>0.17130804606580979</v>
      </c>
      <c r="T40" s="215">
        <f t="shared" si="18"/>
        <v>0.17953631990879032</v>
      </c>
      <c r="U40" s="215">
        <f t="shared" si="18"/>
        <v>0.19597557696312742</v>
      </c>
      <c r="V40" s="215">
        <f t="shared" si="18"/>
        <v>0.16515270962603718</v>
      </c>
      <c r="W40" s="91">
        <f t="shared" si="18"/>
        <v>0.17427485903060361</v>
      </c>
    </row>
    <row r="41" spans="1:24" ht="15" customHeight="1" x14ac:dyDescent="0.3">
      <c r="A41" s="163" t="s">
        <v>344</v>
      </c>
      <c r="B41" s="88"/>
      <c r="C41" s="88"/>
      <c r="D41" s="88"/>
      <c r="E41" s="88"/>
      <c r="F41" s="88"/>
      <c r="G41" s="88"/>
      <c r="H41" s="88"/>
      <c r="I41" s="88"/>
      <c r="J41" s="88"/>
      <c r="K41" s="88"/>
      <c r="L41" s="88"/>
      <c r="M41" s="88"/>
      <c r="N41" s="88"/>
      <c r="O41" s="88"/>
      <c r="P41" s="88"/>
      <c r="Q41" s="88"/>
      <c r="R41" s="88"/>
      <c r="S41" s="88"/>
      <c r="T41" s="88"/>
      <c r="U41" s="88"/>
      <c r="V41" s="88"/>
      <c r="W41" s="88"/>
    </row>
    <row r="42" spans="1:24" ht="15" customHeight="1" x14ac:dyDescent="0.3">
      <c r="A42" s="163"/>
    </row>
    <row r="43" spans="1:24" ht="15" customHeight="1" thickBot="1" x14ac:dyDescent="0.35">
      <c r="B43" s="113"/>
    </row>
    <row r="44" spans="1:24" s="22" customFormat="1" ht="25.05" customHeight="1" thickBot="1" x14ac:dyDescent="0.35">
      <c r="A44" s="353" t="s">
        <v>292</v>
      </c>
      <c r="B44" s="107">
        <v>1995</v>
      </c>
      <c r="C44" s="107">
        <v>1996</v>
      </c>
      <c r="D44" s="107">
        <v>1997</v>
      </c>
      <c r="E44" s="107">
        <v>1998</v>
      </c>
      <c r="F44" s="107">
        <v>1999</v>
      </c>
      <c r="G44" s="107">
        <v>2000</v>
      </c>
      <c r="H44" s="107">
        <v>2001</v>
      </c>
      <c r="I44" s="107">
        <v>2002</v>
      </c>
      <c r="J44" s="107">
        <v>2003</v>
      </c>
      <c r="K44" s="107">
        <v>2004</v>
      </c>
      <c r="L44" s="107">
        <v>2005</v>
      </c>
      <c r="M44" s="107">
        <v>2006</v>
      </c>
      <c r="N44" s="107">
        <v>2007</v>
      </c>
      <c r="O44" s="107">
        <v>2008</v>
      </c>
      <c r="P44" s="107">
        <v>2009</v>
      </c>
      <c r="Q44" s="107">
        <v>2010</v>
      </c>
      <c r="R44" s="107">
        <v>2011</v>
      </c>
      <c r="S44" s="365">
        <v>2012</v>
      </c>
      <c r="T44" s="107">
        <v>2013</v>
      </c>
      <c r="U44" s="107">
        <v>2014</v>
      </c>
      <c r="V44" s="107">
        <v>2015</v>
      </c>
      <c r="W44" s="108">
        <v>2016</v>
      </c>
    </row>
    <row r="45" spans="1:24" ht="4.95" customHeight="1" thickBot="1" x14ac:dyDescent="0.35">
      <c r="A45" s="22"/>
      <c r="B45" s="159"/>
      <c r="C45" s="159"/>
      <c r="D45" s="159"/>
      <c r="E45" s="159"/>
      <c r="F45" s="159"/>
      <c r="G45" s="159"/>
      <c r="H45" s="159"/>
      <c r="I45" s="159"/>
      <c r="J45" s="159"/>
      <c r="K45" s="159"/>
      <c r="L45" s="159"/>
      <c r="M45" s="159"/>
      <c r="N45" s="159"/>
      <c r="O45" s="159"/>
      <c r="P45" s="159"/>
      <c r="Q45" s="159"/>
      <c r="R45" s="159"/>
      <c r="S45" s="159"/>
      <c r="T45" s="159"/>
      <c r="U45" s="159"/>
      <c r="V45" s="159"/>
      <c r="W45" s="181"/>
    </row>
    <row r="46" spans="1:24" ht="15" customHeight="1" x14ac:dyDescent="0.3">
      <c r="A46" s="22" t="s">
        <v>346</v>
      </c>
      <c r="B46" s="159">
        <v>421549.88400000002</v>
      </c>
      <c r="C46" s="159">
        <v>582241.60800000001</v>
      </c>
      <c r="D46" s="159">
        <v>754199.19299999997</v>
      </c>
      <c r="E46" s="159">
        <v>829511.26399999997</v>
      </c>
      <c r="F46" s="159">
        <v>1007667.258</v>
      </c>
      <c r="G46" s="159">
        <v>1239266.31</v>
      </c>
      <c r="H46" s="159">
        <v>1311669.7849999999</v>
      </c>
      <c r="I46" s="159"/>
      <c r="J46" s="159"/>
      <c r="K46" s="159"/>
      <c r="L46" s="159"/>
      <c r="M46" s="159"/>
      <c r="N46" s="159"/>
      <c r="O46" s="159"/>
      <c r="P46" s="159"/>
      <c r="Q46" s="159"/>
      <c r="R46" s="159"/>
      <c r="S46" s="159"/>
      <c r="T46" s="159"/>
      <c r="U46" s="159"/>
      <c r="V46" s="159"/>
      <c r="W46" s="181">
        <v>5347754.5230999999</v>
      </c>
    </row>
    <row r="47" spans="1:24" ht="15" customHeight="1" x14ac:dyDescent="0.3">
      <c r="A47" s="22" t="s">
        <v>347</v>
      </c>
      <c r="B47" s="159">
        <v>155249.1</v>
      </c>
      <c r="C47" s="159">
        <v>212111.7</v>
      </c>
      <c r="D47" s="159">
        <v>274756.5</v>
      </c>
      <c r="E47" s="159">
        <v>347511</v>
      </c>
      <c r="F47" s="159">
        <v>433375.1</v>
      </c>
      <c r="G47" s="159">
        <v>519239.9</v>
      </c>
      <c r="H47" s="159">
        <v>580502</v>
      </c>
      <c r="I47" s="159"/>
      <c r="J47" s="159"/>
      <c r="K47" s="159"/>
      <c r="L47" s="159"/>
      <c r="M47" s="159"/>
      <c r="N47" s="159"/>
      <c r="O47" s="159"/>
      <c r="P47" s="159"/>
      <c r="Q47" s="159"/>
      <c r="R47" s="159"/>
      <c r="S47" s="159"/>
      <c r="T47" s="159"/>
      <c r="U47" s="159"/>
      <c r="V47" s="159"/>
      <c r="W47" s="182">
        <v>2309717.7297</v>
      </c>
    </row>
    <row r="48" spans="1:24" ht="15" customHeight="1" x14ac:dyDescent="0.3">
      <c r="A48" s="22" t="s">
        <v>390</v>
      </c>
      <c r="B48" s="21">
        <v>2224725.7428706698</v>
      </c>
      <c r="C48" s="21">
        <v>3002992.0493705696</v>
      </c>
      <c r="D48" s="21">
        <v>3775279.7407889422</v>
      </c>
      <c r="E48" s="21">
        <v>4590271.4161221506</v>
      </c>
      <c r="F48" s="21">
        <v>5501847.6059699254</v>
      </c>
      <c r="G48" s="45">
        <v>6426239.237044855</v>
      </c>
      <c r="H48" s="45">
        <v>6815841.5471327174</v>
      </c>
      <c r="I48" s="45">
        <f>'[6]Mexico 2002-2013'!C32/1000000</f>
        <v>7457668.335</v>
      </c>
      <c r="J48" s="45">
        <f>'[6]Mexico 2002-2013'!D32/1000000</f>
        <v>8004804.3640000001</v>
      </c>
      <c r="K48" s="45">
        <f>'[6]Mexico 2002-2013'!E32/1000000</f>
        <v>9140364.2300000004</v>
      </c>
      <c r="L48" s="45">
        <f>'[6]Mexico 2002-2013'!F32/1000000</f>
        <v>9901538.284</v>
      </c>
      <c r="M48" s="45">
        <f>'[6]Mexico 2002-2013'!G32/1000000</f>
        <v>10899861.753</v>
      </c>
      <c r="N48" s="45">
        <f>'[6]Mexico 2002-2013'!H32/1000000</f>
        <v>12029357.593</v>
      </c>
      <c r="O48" s="45">
        <f>'[6]Mexico 2002-2013'!I32/1000000</f>
        <v>12332829.475</v>
      </c>
      <c r="P48" s="45">
        <f>'[6]Mexico 2002-2013'!J32/1000000</f>
        <v>12774822.976</v>
      </c>
      <c r="Q48" s="45">
        <f>'[6]Mexico 2002-2013'!K32/1000000</f>
        <v>13995300.777000001</v>
      </c>
      <c r="R48" s="45">
        <f>'[6]Mexico 2002-2013'!L32/1000000</f>
        <v>15612792.68</v>
      </c>
      <c r="S48" s="45">
        <f>'[6]Mexico 2002-2013'!M32/1000000</f>
        <v>16189823.25</v>
      </c>
      <c r="T48" s="45">
        <f>'[6]Mexico 2002-2013'!N32/1000000</f>
        <v>16833296.999000002</v>
      </c>
      <c r="U48" s="45">
        <f>'[6]México 2010-2015'!G32</f>
        <v>17256000.489500001</v>
      </c>
      <c r="V48" s="45">
        <f>'[6]México 2010-2015'!H32</f>
        <v>18127177.520750001</v>
      </c>
      <c r="W48" s="81">
        <v>19539870.011403177</v>
      </c>
    </row>
    <row r="49" spans="1:23" ht="15" customHeight="1" x14ac:dyDescent="0.3">
      <c r="A49" s="22" t="s">
        <v>348</v>
      </c>
      <c r="B49" s="95">
        <v>20800030.24610291</v>
      </c>
      <c r="C49" s="95">
        <v>21947685.999999996</v>
      </c>
      <c r="D49" s="95">
        <v>22611137.829429768</v>
      </c>
      <c r="E49" s="95">
        <v>23294645</v>
      </c>
      <c r="F49" s="95">
        <v>23521946.532962993</v>
      </c>
      <c r="G49" s="95">
        <v>23751465.999999993</v>
      </c>
      <c r="H49" s="95">
        <v>24334982.207403474</v>
      </c>
      <c r="I49" s="95"/>
      <c r="J49" s="95"/>
      <c r="K49" s="95"/>
      <c r="L49" s="95"/>
      <c r="M49" s="95"/>
      <c r="N49" s="95"/>
      <c r="O49" s="95"/>
      <c r="P49" s="95"/>
      <c r="Q49" s="95">
        <f>'[6]México 2010-2015'!C40</f>
        <v>29133888</v>
      </c>
      <c r="R49" s="95">
        <f>'[6]México 2010-2015'!D40</f>
        <v>31075371</v>
      </c>
      <c r="S49" s="95">
        <f>'[6]México 2010-2015'!E40</f>
        <v>30835224</v>
      </c>
      <c r="T49" s="95">
        <f>'[6]México 2010-2015'!F40</f>
        <v>31597517</v>
      </c>
      <c r="U49" s="95">
        <f>'[6]México 2010-2015'!G40</f>
        <v>31299257</v>
      </c>
      <c r="V49" s="95">
        <f>'[6]México 2010-2015'!H40</f>
        <v>32552232</v>
      </c>
      <c r="W49" s="59">
        <v>31765733.54774785</v>
      </c>
    </row>
    <row r="50" spans="1:23" ht="15" customHeight="1" x14ac:dyDescent="0.3">
      <c r="A50" s="22" t="s">
        <v>349</v>
      </c>
      <c r="B50" s="95">
        <v>6065.8987838653502</v>
      </c>
      <c r="C50" s="95">
        <v>7343.4204909274195</v>
      </c>
      <c r="D50" s="95">
        <v>8533.276867339875</v>
      </c>
      <c r="E50" s="95">
        <v>9915.9259890729227</v>
      </c>
      <c r="F50" s="95">
        <v>11052.85072964061</v>
      </c>
      <c r="G50" s="95">
        <v>12320.131209766994</v>
      </c>
      <c r="H50" s="95">
        <v>13226.244334436546</v>
      </c>
      <c r="I50" s="95"/>
      <c r="J50" s="95"/>
      <c r="K50" s="95"/>
      <c r="L50" s="95"/>
      <c r="M50" s="95"/>
      <c r="N50" s="95"/>
      <c r="O50" s="95"/>
      <c r="P50" s="95"/>
      <c r="Q50" s="95">
        <f>'[6]México 2010-2015'!C44</f>
        <v>20972.9</v>
      </c>
      <c r="R50" s="95">
        <f>'[6]México 2010-2015'!D44</f>
        <v>21834.3</v>
      </c>
      <c r="S50" s="95">
        <f>'[6]México 2010-2015'!E44</f>
        <v>22750.45</v>
      </c>
      <c r="T50" s="95">
        <f>'[6]México 2010-2015'!F44</f>
        <v>23637.4</v>
      </c>
      <c r="U50" s="95">
        <f>'[6]México 2010-2015'!G44</f>
        <v>24560.850000000002</v>
      </c>
      <c r="V50" s="95">
        <f>'[6]México 2010-2015'!H44</f>
        <v>25586.499999999996</v>
      </c>
      <c r="W50" s="59">
        <v>26660</v>
      </c>
    </row>
    <row r="51" spans="1:23" ht="15" customHeight="1" x14ac:dyDescent="0.3">
      <c r="A51" s="22" t="s">
        <v>350</v>
      </c>
      <c r="B51" s="95">
        <v>16629.588310447049</v>
      </c>
      <c r="C51" s="95">
        <v>18807.873861448283</v>
      </c>
      <c r="D51" s="95">
        <v>21637.503635321111</v>
      </c>
      <c r="E51" s="95">
        <v>24892.848974715664</v>
      </c>
      <c r="F51" s="95">
        <v>30853.626579493422</v>
      </c>
      <c r="G51" s="95">
        <v>38241.75666167181</v>
      </c>
      <c r="H51" s="95">
        <v>40924.004547935227</v>
      </c>
      <c r="I51" s="95"/>
      <c r="J51" s="95"/>
      <c r="K51" s="95"/>
      <c r="L51" s="95"/>
      <c r="M51" s="95"/>
      <c r="N51" s="95"/>
      <c r="O51" s="95"/>
      <c r="P51" s="95"/>
      <c r="Q51" s="95">
        <f>'[6]México 2010-2015'!C45</f>
        <v>57751.86</v>
      </c>
      <c r="R51" s="95">
        <f>'[6]México 2010-2015'!D45</f>
        <v>59377.72</v>
      </c>
      <c r="S51" s="95">
        <f>'[6]México 2010-2015'!E45</f>
        <v>60479.14</v>
      </c>
      <c r="T51" s="95">
        <f>'[6]México 2010-2015'!F45</f>
        <v>61896.59</v>
      </c>
      <c r="U51" s="95">
        <f>'[6]México 2010-2015'!G45</f>
        <v>62267.49</v>
      </c>
      <c r="V51" s="95">
        <f>'[6]México 2010-2015'!H45</f>
        <v>65339.51</v>
      </c>
      <c r="W51" s="59">
        <v>80413.59028128293</v>
      </c>
    </row>
    <row r="52" spans="1:23" ht="15" customHeight="1" x14ac:dyDescent="0.3">
      <c r="A52" s="22" t="s">
        <v>351</v>
      </c>
      <c r="B52" s="45">
        <v>22522.443573405322</v>
      </c>
      <c r="C52" s="45">
        <v>25829.635081737302</v>
      </c>
      <c r="D52" s="45">
        <v>30779.277697962665</v>
      </c>
      <c r="E52" s="45">
        <v>36677.403014420837</v>
      </c>
      <c r="F52" s="45">
        <v>44925.053170896426</v>
      </c>
      <c r="G52" s="45">
        <v>55027.352989368708</v>
      </c>
      <c r="H52" s="45">
        <v>58747.926407567335</v>
      </c>
      <c r="I52" s="45"/>
      <c r="J52" s="45"/>
      <c r="K52" s="45"/>
      <c r="L52" s="45"/>
      <c r="M52" s="45"/>
      <c r="N52" s="45"/>
      <c r="O52" s="45"/>
      <c r="P52" s="45"/>
      <c r="Q52" s="45">
        <f>'[6]México 2010-2015'!C46</f>
        <v>76809.279999999999</v>
      </c>
      <c r="R52" s="45">
        <f>'[6]México 2010-2015'!D46</f>
        <v>78767.45</v>
      </c>
      <c r="S52" s="45">
        <f>'[6]México 2010-2015'!E46</f>
        <v>80599.67</v>
      </c>
      <c r="T52" s="45">
        <f>'[6]México 2010-2015'!F46</f>
        <v>83284.070000000007</v>
      </c>
      <c r="U52" s="45">
        <f>'[6]México 2010-2015'!G46</f>
        <v>82411.820000000007</v>
      </c>
      <c r="V52" s="45">
        <f>'[6]México 2010-2015'!H46</f>
        <v>87159.52</v>
      </c>
      <c r="W52" s="81">
        <v>134922.51504536823</v>
      </c>
    </row>
    <row r="53" spans="1:23" ht="15" customHeight="1" x14ac:dyDescent="0.3">
      <c r="A53" s="124" t="s">
        <v>352</v>
      </c>
      <c r="B53" s="169">
        <v>13104.212885985562</v>
      </c>
      <c r="C53" s="169">
        <v>14779.064638522919</v>
      </c>
      <c r="D53" s="169">
        <v>16643.95603510314</v>
      </c>
      <c r="E53" s="165">
        <v>18744.168137431796</v>
      </c>
      <c r="F53" s="169">
        <v>23280.251708113232</v>
      </c>
      <c r="G53" s="169">
        <v>28914.066264205328</v>
      </c>
      <c r="H53" s="169">
        <v>30526.268244513347</v>
      </c>
      <c r="I53" s="169"/>
      <c r="J53" s="169"/>
      <c r="K53" s="169"/>
      <c r="L53" s="169"/>
      <c r="M53" s="169"/>
      <c r="N53" s="169"/>
      <c r="O53" s="169"/>
      <c r="P53" s="169"/>
      <c r="Q53" s="169">
        <f>'[6]México 2010-2015'!C47</f>
        <v>46393.31</v>
      </c>
      <c r="R53" s="169">
        <f>'[6]México 2010-2015'!D47</f>
        <v>48022.19</v>
      </c>
      <c r="S53" s="169">
        <f>'[6]México 2010-2015'!E47</f>
        <v>48743.87</v>
      </c>
      <c r="T53" s="169">
        <f>'[6]México 2010-2015'!F47</f>
        <v>49009.760000000002</v>
      </c>
      <c r="U53" s="169">
        <f>'[6]México 2010-2015'!G47</f>
        <v>49757.41</v>
      </c>
      <c r="V53" s="169">
        <f>'[6]México 2010-2015'!H47</f>
        <v>52195.22</v>
      </c>
      <c r="W53" s="179">
        <v>50650.350791077522</v>
      </c>
    </row>
    <row r="54" spans="1:23" x14ac:dyDescent="0.3">
      <c r="A54" s="163" t="s">
        <v>339</v>
      </c>
    </row>
    <row r="55" spans="1:23" x14ac:dyDescent="0.3">
      <c r="A55" s="163" t="s">
        <v>340</v>
      </c>
    </row>
    <row r="56" spans="1:23" x14ac:dyDescent="0.3">
      <c r="A56" s="163" t="s">
        <v>341</v>
      </c>
    </row>
    <row r="57" spans="1:23" x14ac:dyDescent="0.3">
      <c r="A57" s="163" t="s">
        <v>342</v>
      </c>
    </row>
    <row r="58" spans="1:23" x14ac:dyDescent="0.3">
      <c r="A58" s="163"/>
    </row>
    <row r="59" spans="1:23" x14ac:dyDescent="0.3">
      <c r="A59" s="163"/>
    </row>
    <row r="60" spans="1:23" x14ac:dyDescent="0.3">
      <c r="A60" s="163"/>
    </row>
    <row r="61" spans="1:23" x14ac:dyDescent="0.3">
      <c r="A61" s="163"/>
    </row>
    <row r="62" spans="1:23" x14ac:dyDescent="0.3">
      <c r="A62" s="163"/>
    </row>
    <row r="63" spans="1:23" x14ac:dyDescent="0.3">
      <c r="A63" s="163"/>
    </row>
    <row r="64" spans="1:23" x14ac:dyDescent="0.3">
      <c r="A64" s="163"/>
    </row>
    <row r="65" spans="1:1" x14ac:dyDescent="0.3">
      <c r="A65" s="163"/>
    </row>
    <row r="66" spans="1:1" x14ac:dyDescent="0.3">
      <c r="A66" s="16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61"/>
  <sheetViews>
    <sheetView showGridLines="0" zoomScale="80" zoomScaleNormal="80" zoomScalePageLayoutView="89" workbookViewId="0">
      <pane xSplit="1" ySplit="4" topLeftCell="B5" activePane="bottomRight" state="frozen"/>
      <selection pane="topRight" activeCell="B1" sqref="B1"/>
      <selection pane="bottomLeft" activeCell="A5" sqref="A5"/>
      <selection pane="bottomRight" activeCell="A47" sqref="A47"/>
    </sheetView>
  </sheetViews>
  <sheetFormatPr defaultColWidth="11.44140625" defaultRowHeight="14.4" x14ac:dyDescent="0.3"/>
  <cols>
    <col min="1" max="1" width="66.33203125" style="14" customWidth="1"/>
    <col min="2" max="2" width="12.77734375" style="14" customWidth="1"/>
    <col min="3" max="12" width="12.77734375" style="186" customWidth="1"/>
    <col min="13" max="19" width="12.77734375" style="14" customWidth="1"/>
    <col min="20" max="20" width="6.44140625" style="14" bestFit="1" customWidth="1"/>
    <col min="21" max="16384" width="11.44140625" style="14"/>
  </cols>
  <sheetData>
    <row r="1" spans="1:20" ht="30" customHeight="1" x14ac:dyDescent="0.3">
      <c r="A1" s="55" t="s">
        <v>355</v>
      </c>
      <c r="B1" s="66"/>
      <c r="C1" s="66"/>
      <c r="D1" s="66"/>
      <c r="E1" s="66"/>
      <c r="F1" s="66"/>
      <c r="G1" s="66"/>
      <c r="H1" s="66"/>
      <c r="I1" s="66"/>
      <c r="J1" s="66"/>
      <c r="K1" s="66"/>
      <c r="L1" s="66"/>
      <c r="M1" s="66"/>
      <c r="N1" s="66"/>
      <c r="O1" s="66"/>
      <c r="P1" s="66"/>
      <c r="Q1" s="66"/>
      <c r="R1" s="66"/>
      <c r="S1" s="185"/>
    </row>
    <row r="2" spans="1:20" ht="30" customHeight="1" x14ac:dyDescent="0.3">
      <c r="A2" s="66" t="s">
        <v>17</v>
      </c>
      <c r="B2" s="66"/>
      <c r="C2" s="66"/>
      <c r="D2" s="66"/>
      <c r="E2" s="66"/>
      <c r="F2" s="66"/>
      <c r="G2" s="66"/>
      <c r="H2" s="66"/>
      <c r="I2" s="66"/>
      <c r="J2" s="66"/>
      <c r="K2" s="66"/>
      <c r="L2" s="66"/>
      <c r="M2" s="66"/>
      <c r="N2" s="66"/>
      <c r="O2" s="66"/>
      <c r="P2" s="66"/>
      <c r="Q2" s="66"/>
      <c r="R2" s="66"/>
      <c r="S2" s="185"/>
    </row>
    <row r="3" spans="1:20" ht="19.95" customHeight="1" thickBot="1" x14ac:dyDescent="0.35">
      <c r="A3" s="246" t="s">
        <v>356</v>
      </c>
      <c r="B3" s="349"/>
      <c r="C3" s="349"/>
      <c r="D3" s="349"/>
      <c r="E3" s="349"/>
      <c r="F3" s="349"/>
      <c r="G3" s="349"/>
      <c r="H3" s="349"/>
      <c r="I3" s="349"/>
      <c r="J3" s="349"/>
      <c r="K3" s="349"/>
      <c r="L3" s="349"/>
      <c r="M3" s="349"/>
      <c r="N3" s="349"/>
      <c r="O3" s="349"/>
      <c r="P3" s="349"/>
      <c r="Q3" s="349"/>
      <c r="R3" s="349"/>
      <c r="S3" s="160"/>
    </row>
    <row r="4" spans="1:20" s="364" customFormat="1" ht="25.05" customHeight="1" thickBot="1" x14ac:dyDescent="0.35">
      <c r="A4" s="353" t="s">
        <v>260</v>
      </c>
      <c r="B4" s="107">
        <v>1999</v>
      </c>
      <c r="C4" s="107">
        <v>2000</v>
      </c>
      <c r="D4" s="107">
        <v>2001</v>
      </c>
      <c r="E4" s="107">
        <v>2002</v>
      </c>
      <c r="F4" s="107">
        <v>2003</v>
      </c>
      <c r="G4" s="107">
        <v>2004</v>
      </c>
      <c r="H4" s="107">
        <v>2005</v>
      </c>
      <c r="I4" s="107">
        <v>2006</v>
      </c>
      <c r="J4" s="107">
        <v>2007</v>
      </c>
      <c r="K4" s="107">
        <v>2008</v>
      </c>
      <c r="L4" s="107">
        <v>2009</v>
      </c>
      <c r="M4" s="107">
        <v>2010</v>
      </c>
      <c r="N4" s="107">
        <v>2011</v>
      </c>
      <c r="O4" s="107">
        <v>2012</v>
      </c>
      <c r="P4" s="107">
        <v>2013</v>
      </c>
      <c r="Q4" s="107">
        <v>2014</v>
      </c>
      <c r="R4" s="107">
        <v>2015</v>
      </c>
      <c r="S4" s="354">
        <v>2016</v>
      </c>
    </row>
    <row r="5" spans="1:20" ht="4.95" customHeight="1" x14ac:dyDescent="0.3">
      <c r="A5" s="22"/>
      <c r="B5" s="200"/>
      <c r="C5" s="200"/>
      <c r="D5" s="200"/>
      <c r="E5" s="200"/>
      <c r="F5" s="200"/>
      <c r="G5" s="200"/>
      <c r="H5" s="200"/>
      <c r="I5" s="200"/>
      <c r="J5" s="200"/>
      <c r="K5" s="200"/>
      <c r="L5" s="200"/>
      <c r="M5" s="201"/>
      <c r="N5" s="201"/>
      <c r="O5" s="201"/>
      <c r="P5" s="201"/>
      <c r="Q5" s="201"/>
      <c r="R5" s="201"/>
      <c r="S5" s="202"/>
      <c r="T5" s="113"/>
    </row>
    <row r="6" spans="1:20" ht="15" customHeight="1" x14ac:dyDescent="0.3">
      <c r="A6" s="109" t="s">
        <v>262</v>
      </c>
      <c r="B6" s="224"/>
      <c r="C6" s="224"/>
      <c r="D6" s="224"/>
      <c r="E6" s="224"/>
      <c r="F6" s="224"/>
      <c r="G6" s="224"/>
      <c r="H6" s="224"/>
      <c r="I6" s="224"/>
      <c r="J6" s="224"/>
      <c r="K6" s="224"/>
      <c r="L6" s="224"/>
      <c r="M6" s="225"/>
      <c r="N6" s="225"/>
      <c r="O6" s="225"/>
      <c r="P6" s="225"/>
      <c r="Q6" s="225"/>
      <c r="R6" s="225"/>
      <c r="S6" s="226"/>
      <c r="T6" s="113"/>
    </row>
    <row r="7" spans="1:20" ht="15" customHeight="1" x14ac:dyDescent="0.3">
      <c r="A7" s="22" t="s">
        <v>189</v>
      </c>
      <c r="B7" s="200">
        <v>86.797442000000004</v>
      </c>
      <c r="C7" s="200">
        <v>85.688582999999994</v>
      </c>
      <c r="D7" s="200">
        <v>117.13743700000001</v>
      </c>
      <c r="E7" s="200">
        <v>178.48602500000001</v>
      </c>
      <c r="F7" s="200">
        <v>234.884682</v>
      </c>
      <c r="G7" s="200">
        <v>546.99965099999997</v>
      </c>
      <c r="H7" s="200">
        <v>530.72632099999998</v>
      </c>
      <c r="I7" s="200">
        <v>574.514408</v>
      </c>
      <c r="J7" s="200">
        <v>593.03180999999995</v>
      </c>
      <c r="K7" s="200">
        <v>739.26650900000004</v>
      </c>
      <c r="L7" s="200">
        <v>578.407646</v>
      </c>
      <c r="M7" s="201">
        <v>583.43384600000002</v>
      </c>
      <c r="N7" s="201">
        <v>614.19500000000005</v>
      </c>
      <c r="O7" s="201">
        <v>637.44190700000001</v>
      </c>
      <c r="P7" s="201">
        <v>980.48781799999995</v>
      </c>
      <c r="Q7" s="201">
        <v>1285.955434</v>
      </c>
      <c r="R7" s="201">
        <v>1587.985473</v>
      </c>
      <c r="S7" s="202">
        <v>1387.7883380000001</v>
      </c>
      <c r="T7" s="113"/>
    </row>
    <row r="8" spans="1:20" ht="15" customHeight="1" x14ac:dyDescent="0.3">
      <c r="A8" s="19" t="s">
        <v>99</v>
      </c>
      <c r="B8" s="19"/>
      <c r="C8" s="19"/>
      <c r="D8" s="19"/>
      <c r="E8" s="19"/>
      <c r="F8" s="19"/>
      <c r="G8" s="19"/>
      <c r="H8" s="19"/>
      <c r="I8" s="19"/>
      <c r="J8" s="19"/>
      <c r="K8" s="19"/>
      <c r="L8" s="19"/>
      <c r="M8" s="203"/>
      <c r="N8" s="203"/>
      <c r="O8" s="203">
        <v>20.190000000000001</v>
      </c>
      <c r="P8" s="203">
        <v>179.69</v>
      </c>
      <c r="Q8" s="203">
        <v>151.71</v>
      </c>
      <c r="R8" s="203">
        <v>189.55</v>
      </c>
      <c r="S8" s="81">
        <v>192.86623599999999</v>
      </c>
      <c r="T8" s="113"/>
    </row>
    <row r="9" spans="1:20" ht="15" customHeight="1" x14ac:dyDescent="0.3">
      <c r="A9" s="168" t="s">
        <v>261</v>
      </c>
      <c r="B9" s="227"/>
      <c r="C9" s="227"/>
      <c r="D9" s="227"/>
      <c r="E9" s="227"/>
      <c r="F9" s="227"/>
      <c r="G9" s="227"/>
      <c r="H9" s="227"/>
      <c r="I9" s="227"/>
      <c r="J9" s="227"/>
      <c r="K9" s="227"/>
      <c r="L9" s="227"/>
      <c r="M9" s="228"/>
      <c r="N9" s="228"/>
      <c r="O9" s="228"/>
      <c r="P9" s="228"/>
      <c r="Q9" s="228"/>
      <c r="R9" s="228"/>
      <c r="S9" s="177"/>
      <c r="T9" s="113"/>
    </row>
    <row r="10" spans="1:20" ht="15" customHeight="1" x14ac:dyDescent="0.3">
      <c r="A10" s="19" t="s">
        <v>190</v>
      </c>
      <c r="B10" s="19"/>
      <c r="C10" s="19"/>
      <c r="D10" s="19"/>
      <c r="E10" s="19"/>
      <c r="F10" s="19"/>
      <c r="G10" s="19"/>
      <c r="H10" s="19"/>
      <c r="I10" s="19"/>
      <c r="J10" s="19"/>
      <c r="K10" s="19"/>
      <c r="L10" s="19"/>
      <c r="M10" s="203">
        <v>0.62</v>
      </c>
      <c r="N10" s="203">
        <v>12.94</v>
      </c>
      <c r="O10" s="203">
        <v>229.66</v>
      </c>
      <c r="P10" s="203">
        <v>451.44</v>
      </c>
      <c r="Q10" s="203">
        <v>669.08</v>
      </c>
      <c r="R10" s="203">
        <v>762.2</v>
      </c>
      <c r="S10" s="81">
        <v>800.61888299999998</v>
      </c>
      <c r="T10" s="113"/>
    </row>
    <row r="11" spans="1:20" ht="15" customHeight="1" x14ac:dyDescent="0.3">
      <c r="A11" s="109" t="s">
        <v>264</v>
      </c>
      <c r="B11" s="227"/>
      <c r="C11" s="227"/>
      <c r="D11" s="227"/>
      <c r="E11" s="227"/>
      <c r="F11" s="227"/>
      <c r="G11" s="227"/>
      <c r="H11" s="227"/>
      <c r="I11" s="227"/>
      <c r="J11" s="227"/>
      <c r="K11" s="227"/>
      <c r="L11" s="227"/>
      <c r="M11" s="228"/>
      <c r="N11" s="228"/>
      <c r="O11" s="228"/>
      <c r="P11" s="228"/>
      <c r="Q11" s="228"/>
      <c r="R11" s="228"/>
      <c r="S11" s="177"/>
      <c r="T11" s="113"/>
    </row>
    <row r="12" spans="1:20" ht="15" customHeight="1" x14ac:dyDescent="0.3">
      <c r="A12" s="19" t="s">
        <v>191</v>
      </c>
      <c r="B12" s="19"/>
      <c r="C12" s="19"/>
      <c r="D12" s="19"/>
      <c r="E12" s="19">
        <v>113.144702</v>
      </c>
      <c r="F12" s="19">
        <v>132.45325600000001</v>
      </c>
      <c r="G12" s="19">
        <v>138.15829500000001</v>
      </c>
      <c r="H12" s="19">
        <v>131.468368</v>
      </c>
      <c r="I12" s="19">
        <v>166.17928499999999</v>
      </c>
      <c r="J12" s="19">
        <v>190.90146300000001</v>
      </c>
      <c r="K12" s="19">
        <v>184.01769899999999</v>
      </c>
      <c r="L12" s="19">
        <v>102.239856</v>
      </c>
      <c r="M12" s="203">
        <v>148.401048</v>
      </c>
      <c r="N12" s="203">
        <v>73.452673000000004</v>
      </c>
      <c r="O12" s="203">
        <v>147.92710600000001</v>
      </c>
      <c r="P12" s="203">
        <v>155.73595499999999</v>
      </c>
      <c r="Q12" s="203">
        <v>358.43691999999999</v>
      </c>
      <c r="R12" s="203">
        <v>360.47560899999996</v>
      </c>
      <c r="S12" s="81">
        <v>380.48817400000001</v>
      </c>
      <c r="T12" s="113"/>
    </row>
    <row r="13" spans="1:20" ht="15" customHeight="1" x14ac:dyDescent="0.3">
      <c r="A13" s="20" t="s">
        <v>192</v>
      </c>
      <c r="B13" s="20">
        <v>5.9724969999999997</v>
      </c>
      <c r="C13" s="20">
        <v>16.241344999999999</v>
      </c>
      <c r="D13" s="20">
        <v>8.1587139999999998</v>
      </c>
      <c r="E13" s="20">
        <v>10.413028000000001</v>
      </c>
      <c r="F13" s="20">
        <v>9.3407719999999994</v>
      </c>
      <c r="G13" s="20">
        <v>9.9779269999999993</v>
      </c>
      <c r="H13" s="20">
        <v>10.618233</v>
      </c>
      <c r="I13" s="20">
        <v>4.0409369999999996</v>
      </c>
      <c r="J13" s="20">
        <v>13.646311000000001</v>
      </c>
      <c r="K13" s="20">
        <v>19.223545000000001</v>
      </c>
      <c r="L13" s="20">
        <v>49.039600999999998</v>
      </c>
      <c r="M13" s="207">
        <v>60.148659000000002</v>
      </c>
      <c r="N13" s="207">
        <v>42.795211000000002</v>
      </c>
      <c r="O13" s="207">
        <v>56.923594999999999</v>
      </c>
      <c r="P13" s="207">
        <v>44.021732</v>
      </c>
      <c r="Q13" s="207">
        <v>54.459048000000003</v>
      </c>
      <c r="R13" s="207">
        <v>56.690491000000002</v>
      </c>
      <c r="S13" s="179">
        <v>41.946466999999998</v>
      </c>
      <c r="T13" s="113"/>
    </row>
    <row r="14" spans="1:20" ht="15" customHeight="1" x14ac:dyDescent="0.3">
      <c r="A14" s="143" t="s">
        <v>307</v>
      </c>
      <c r="B14" s="210">
        <f t="shared" ref="B14:S14" si="0">SUM(B7:B10)</f>
        <v>86.797442000000004</v>
      </c>
      <c r="C14" s="210">
        <f t="shared" si="0"/>
        <v>85.688582999999994</v>
      </c>
      <c r="D14" s="210">
        <f t="shared" si="0"/>
        <v>117.13743700000001</v>
      </c>
      <c r="E14" s="210">
        <f t="shared" si="0"/>
        <v>178.48602500000001</v>
      </c>
      <c r="F14" s="210">
        <f t="shared" si="0"/>
        <v>234.884682</v>
      </c>
      <c r="G14" s="210">
        <f t="shared" si="0"/>
        <v>546.99965099999997</v>
      </c>
      <c r="H14" s="210">
        <f t="shared" si="0"/>
        <v>530.72632099999998</v>
      </c>
      <c r="I14" s="210">
        <f t="shared" si="0"/>
        <v>574.514408</v>
      </c>
      <c r="J14" s="210">
        <f t="shared" si="0"/>
        <v>593.03180999999995</v>
      </c>
      <c r="K14" s="210">
        <f t="shared" si="0"/>
        <v>739.26650900000004</v>
      </c>
      <c r="L14" s="210">
        <f t="shared" si="0"/>
        <v>578.407646</v>
      </c>
      <c r="M14" s="210">
        <f t="shared" si="0"/>
        <v>584.05384600000002</v>
      </c>
      <c r="N14" s="210">
        <f t="shared" si="0"/>
        <v>627.1350000000001</v>
      </c>
      <c r="O14" s="210">
        <f t="shared" si="0"/>
        <v>887.29190700000004</v>
      </c>
      <c r="P14" s="210">
        <f t="shared" si="0"/>
        <v>1611.6178179999999</v>
      </c>
      <c r="Q14" s="210">
        <f t="shared" si="0"/>
        <v>2106.7454339999999</v>
      </c>
      <c r="R14" s="210">
        <f t="shared" si="0"/>
        <v>2539.7354729999997</v>
      </c>
      <c r="S14" s="211">
        <f t="shared" si="0"/>
        <v>2381.2734570000002</v>
      </c>
      <c r="T14" s="21"/>
    </row>
    <row r="15" spans="1:20" ht="15" customHeight="1" x14ac:dyDescent="0.3">
      <c r="A15" s="19" t="s">
        <v>312</v>
      </c>
      <c r="B15" s="88">
        <f t="shared" ref="B15:S15" si="1">B14/B51</f>
        <v>3.1848262623026102E-3</v>
      </c>
      <c r="C15" s="88">
        <f t="shared" si="1"/>
        <v>2.9923638271868859E-3</v>
      </c>
      <c r="D15" s="88">
        <f t="shared" si="1"/>
        <v>3.392134823651844E-3</v>
      </c>
      <c r="E15" s="88">
        <f t="shared" si="1"/>
        <v>5.0555810513127544E-3</v>
      </c>
      <c r="F15" s="88">
        <f t="shared" si="1"/>
        <v>5.6647231766294047E-3</v>
      </c>
      <c r="G15" s="88">
        <f t="shared" si="1"/>
        <v>1.2940687066238389E-2</v>
      </c>
      <c r="H15" s="88">
        <f t="shared" si="1"/>
        <v>1.1768021354900298E-2</v>
      </c>
      <c r="I15" s="88">
        <f t="shared" si="1"/>
        <v>1.1604250418251633E-2</v>
      </c>
      <c r="J15" s="88">
        <f t="shared" si="1"/>
        <v>1.0225069003684287E-2</v>
      </c>
      <c r="K15" s="88">
        <f t="shared" si="1"/>
        <v>1.0342489834183425E-2</v>
      </c>
      <c r="L15" s="88">
        <f t="shared" si="1"/>
        <v>7.2755938556798034E-3</v>
      </c>
      <c r="M15" s="88">
        <f t="shared" si="1"/>
        <v>6.6220007709837979E-3</v>
      </c>
      <c r="N15" s="88">
        <f t="shared" si="1"/>
        <v>6.6978703861927556E-3</v>
      </c>
      <c r="O15" s="88">
        <f t="shared" si="1"/>
        <v>8.6080493902616489E-3</v>
      </c>
      <c r="P15" s="88">
        <f t="shared" si="1"/>
        <v>1.3929883037296338E-2</v>
      </c>
      <c r="Q15" s="88">
        <f t="shared" si="1"/>
        <v>1.6346692897989585E-2</v>
      </c>
      <c r="R15" s="88">
        <f t="shared" si="1"/>
        <v>1.8761019353933206E-2</v>
      </c>
      <c r="S15" s="89">
        <f t="shared" si="1"/>
        <v>1.7384031261880949E-2</v>
      </c>
      <c r="T15" s="17"/>
    </row>
    <row r="16" spans="1:20" ht="15" customHeight="1" x14ac:dyDescent="0.3">
      <c r="A16" s="19" t="s">
        <v>271</v>
      </c>
      <c r="B16" s="88">
        <f t="shared" ref="B16:S16" si="2">B14/B52</f>
        <v>5.7589093103049827E-3</v>
      </c>
      <c r="C16" s="88">
        <f t="shared" si="2"/>
        <v>5.4158812239151009E-3</v>
      </c>
      <c r="D16" s="88">
        <f t="shared" si="2"/>
        <v>6.6963161681525326E-3</v>
      </c>
      <c r="E16" s="88">
        <f t="shared" si="2"/>
        <v>9.4229775117234196E-3</v>
      </c>
      <c r="F16" s="88">
        <f t="shared" si="2"/>
        <v>1.0650979351891831E-2</v>
      </c>
      <c r="G16" s="88">
        <f t="shared" si="2"/>
        <v>2.4961404473807871E-2</v>
      </c>
      <c r="H16" s="88">
        <f t="shared" si="2"/>
        <v>2.2394882600790051E-2</v>
      </c>
      <c r="I16" s="88">
        <f t="shared" si="2"/>
        <v>2.2726560430467519E-2</v>
      </c>
      <c r="J16" s="88">
        <f t="shared" si="2"/>
        <v>1.9809866955089135E-2</v>
      </c>
      <c r="K16" s="88">
        <f t="shared" si="2"/>
        <v>2.1840766780706379E-2</v>
      </c>
      <c r="L16" s="88">
        <f t="shared" si="2"/>
        <v>1.5804271670591015E-2</v>
      </c>
      <c r="M16" s="88">
        <f t="shared" si="2"/>
        <v>1.4995348943490206E-2</v>
      </c>
      <c r="N16" s="88">
        <f t="shared" si="2"/>
        <v>1.2559026734755185E-2</v>
      </c>
      <c r="O16" s="88">
        <f t="shared" si="2"/>
        <v>1.8923645858215321E-2</v>
      </c>
      <c r="P16" s="88">
        <f t="shared" si="2"/>
        <v>2.9956278332311008E-2</v>
      </c>
      <c r="Q16" s="88">
        <f t="shared" si="2"/>
        <v>3.4595793385444037E-2</v>
      </c>
      <c r="R16" s="88">
        <f t="shared" si="2"/>
        <v>3.9492691116328971E-2</v>
      </c>
      <c r="S16" s="89">
        <f t="shared" si="2"/>
        <v>3.6423927949773935E-2</v>
      </c>
      <c r="T16" s="17"/>
    </row>
    <row r="17" spans="1:20" ht="15" customHeight="1" x14ac:dyDescent="0.3">
      <c r="A17" s="19" t="s">
        <v>309</v>
      </c>
      <c r="B17" s="88">
        <f t="shared" ref="B17:S17" si="3">B14/B53</f>
        <v>5.109970151714069E-4</v>
      </c>
      <c r="C17" s="88">
        <f t="shared" si="3"/>
        <v>4.7450816794400387E-4</v>
      </c>
      <c r="D17" s="88">
        <f t="shared" si="3"/>
        <v>6.4175402543185391E-4</v>
      </c>
      <c r="E17" s="88">
        <f t="shared" si="3"/>
        <v>9.262810665780966E-4</v>
      </c>
      <c r="F17" s="88">
        <f t="shared" si="3"/>
        <v>1.1494965767335334E-3</v>
      </c>
      <c r="G17" s="88">
        <f t="shared" si="3"/>
        <v>2.3998054313729791E-3</v>
      </c>
      <c r="H17" s="88">
        <f t="shared" si="3"/>
        <v>2.1165640580819863E-3</v>
      </c>
      <c r="I17" s="88">
        <f t="shared" si="3"/>
        <v>1.9792346049036934E-3</v>
      </c>
      <c r="J17" s="88">
        <f t="shared" si="3"/>
        <v>1.8550040507611988E-3</v>
      </c>
      <c r="K17" s="88">
        <f t="shared" si="3"/>
        <v>2.0959078161369251E-3</v>
      </c>
      <c r="L17" s="88">
        <f t="shared" si="3"/>
        <v>1.5892808654102428E-3</v>
      </c>
      <c r="M17" s="88">
        <f t="shared" si="3"/>
        <v>1.4013346145725365E-3</v>
      </c>
      <c r="N17" s="88">
        <f t="shared" si="3"/>
        <v>1.3257294698857838E-3</v>
      </c>
      <c r="O17" s="88">
        <f t="shared" si="3"/>
        <v>1.746187315869333E-3</v>
      </c>
      <c r="P17" s="88">
        <f t="shared" si="3"/>
        <v>2.9643309691540823E-3</v>
      </c>
      <c r="Q17" s="88">
        <f t="shared" si="3"/>
        <v>3.6909937874487543E-3</v>
      </c>
      <c r="R17" s="88">
        <f t="shared" si="3"/>
        <v>4.215139691665269E-3</v>
      </c>
      <c r="S17" s="89">
        <f t="shared" si="3"/>
        <v>3.6707295904672096E-3</v>
      </c>
      <c r="T17" s="17"/>
    </row>
    <row r="18" spans="1:20" ht="15" customHeight="1" x14ac:dyDescent="0.3">
      <c r="A18" s="19" t="s">
        <v>310</v>
      </c>
      <c r="B18" s="686">
        <f t="shared" ref="B18:S18" si="4">+B14/B54</f>
        <v>9.7147888963405963E-6</v>
      </c>
      <c r="C18" s="686">
        <f t="shared" si="4"/>
        <v>9.1858222116832638E-6</v>
      </c>
      <c r="D18" s="686">
        <f t="shared" si="4"/>
        <v>1.2770153359662768E-5</v>
      </c>
      <c r="E18" s="686">
        <f t="shared" si="4"/>
        <v>1.8663809712528686E-5</v>
      </c>
      <c r="F18" s="686">
        <f t="shared" si="4"/>
        <v>2.3642546676692001E-5</v>
      </c>
      <c r="G18" s="686">
        <f t="shared" si="4"/>
        <v>5.1554831661585947E-5</v>
      </c>
      <c r="H18" s="686">
        <f t="shared" si="4"/>
        <v>5.1092953854193118E-5</v>
      </c>
      <c r="I18" s="686">
        <f t="shared" si="4"/>
        <v>5.1903281090460133E-5</v>
      </c>
      <c r="J18" s="686">
        <f t="shared" si="4"/>
        <v>5.3663671163766854E-5</v>
      </c>
      <c r="K18" s="686">
        <f t="shared" si="4"/>
        <v>6.5328811010378411E-5</v>
      </c>
      <c r="L18" s="686">
        <f t="shared" si="4"/>
        <v>4.9990159916269314E-5</v>
      </c>
      <c r="M18" s="686">
        <f t="shared" si="4"/>
        <v>4.9052195374686851E-5</v>
      </c>
      <c r="N18" s="686">
        <f t="shared" si="4"/>
        <v>5.4033690120166779E-5</v>
      </c>
      <c r="O18" s="686">
        <f t="shared" si="4"/>
        <v>7.60894345001887E-5</v>
      </c>
      <c r="P18" s="686">
        <f t="shared" si="4"/>
        <v>1.3769390699236547E-4</v>
      </c>
      <c r="Q18" s="686">
        <f t="shared" si="4"/>
        <v>1.808218814562907E-4</v>
      </c>
      <c r="R18" s="686">
        <f t="shared" si="4"/>
        <v>2.192306423997379E-4</v>
      </c>
      <c r="S18" s="687">
        <f t="shared" si="4"/>
        <v>2.0224192403725335E-4</v>
      </c>
      <c r="T18" s="18"/>
    </row>
    <row r="19" spans="1:20" ht="15" customHeight="1" x14ac:dyDescent="0.3">
      <c r="A19" s="19" t="s">
        <v>311</v>
      </c>
      <c r="B19" s="88">
        <f t="shared" ref="B19:S19" si="5">B18/B55</f>
        <v>2.3465673662658448E-3</v>
      </c>
      <c r="C19" s="88">
        <f t="shared" si="5"/>
        <v>1.8670370348949723E-3</v>
      </c>
      <c r="D19" s="88">
        <f t="shared" si="5"/>
        <v>2.5955596259477172E-3</v>
      </c>
      <c r="E19" s="88">
        <f t="shared" si="5"/>
        <v>3.793457258644042E-3</v>
      </c>
      <c r="F19" s="88">
        <f t="shared" si="5"/>
        <v>4.5950512846519498E-3</v>
      </c>
      <c r="G19" s="88">
        <f t="shared" si="5"/>
        <v>9.3396434169539765E-3</v>
      </c>
      <c r="H19" s="88">
        <f t="shared" si="5"/>
        <v>9.255969901121942E-3</v>
      </c>
      <c r="I19" s="88">
        <f t="shared" si="5"/>
        <v>8.6505468484100213E-3</v>
      </c>
      <c r="J19" s="88">
        <f t="shared" si="5"/>
        <v>8.8165080394424587E-3</v>
      </c>
      <c r="K19" s="88">
        <f t="shared" si="5"/>
        <v>9.8983046985421843E-3</v>
      </c>
      <c r="L19" s="88">
        <f t="shared" si="5"/>
        <v>7.5742666539801995E-3</v>
      </c>
      <c r="M19" s="88">
        <f t="shared" si="5"/>
        <v>7.4321508143464924E-3</v>
      </c>
      <c r="N19" s="88">
        <f t="shared" si="5"/>
        <v>7.2171300560935209E-3</v>
      </c>
      <c r="O19" s="88">
        <f t="shared" si="5"/>
        <v>8.8198158071900942E-3</v>
      </c>
      <c r="P19" s="88">
        <f t="shared" si="5"/>
        <v>1.529932299915172E-2</v>
      </c>
      <c r="Q19" s="88">
        <f t="shared" si="5"/>
        <v>2.0091320161810079E-2</v>
      </c>
      <c r="R19" s="88">
        <f t="shared" si="5"/>
        <v>2.4358960266637544E-2</v>
      </c>
      <c r="S19" s="89">
        <f t="shared" si="5"/>
        <v>1.9827639611495425E-2</v>
      </c>
      <c r="T19" s="18"/>
    </row>
    <row r="20" spans="1:20" ht="15" customHeight="1" thickBot="1" x14ac:dyDescent="0.35">
      <c r="A20" s="123" t="s">
        <v>602</v>
      </c>
      <c r="B20" s="90">
        <f t="shared" ref="B20:S20" si="6">B18/B58</f>
        <v>2.2543432059599733E-3</v>
      </c>
      <c r="C20" s="90">
        <f t="shared" si="6"/>
        <v>2.4901999217292331E-3</v>
      </c>
      <c r="D20" s="90">
        <f t="shared" si="6"/>
        <v>3.1962500722823696E-3</v>
      </c>
      <c r="E20" s="90">
        <f t="shared" si="6"/>
        <v>4.3340168070779743E-3</v>
      </c>
      <c r="F20" s="90">
        <f t="shared" si="6"/>
        <v>5.5053961100698396E-3</v>
      </c>
      <c r="G20" s="90">
        <f t="shared" si="6"/>
        <v>1.236658338860408E-2</v>
      </c>
      <c r="H20" s="90">
        <f t="shared" si="6"/>
        <v>1.1813734598319907E-2</v>
      </c>
      <c r="I20" s="90">
        <f t="shared" si="6"/>
        <v>1.2110970522484688E-2</v>
      </c>
      <c r="J20" s="90">
        <f t="shared" si="6"/>
        <v>1.0486251759649498E-2</v>
      </c>
      <c r="K20" s="90">
        <f t="shared" si="6"/>
        <v>1.1377135368422484E-2</v>
      </c>
      <c r="L20" s="90">
        <f t="shared" si="6"/>
        <v>8.3072710386233196E-3</v>
      </c>
      <c r="M20" s="90">
        <f t="shared" si="6"/>
        <v>7.4892190288128749E-3</v>
      </c>
      <c r="N20" s="90">
        <f t="shared" si="6"/>
        <v>7.5519557818455622E-3</v>
      </c>
      <c r="O20" s="90">
        <f t="shared" si="6"/>
        <v>9.7651173992884376E-3</v>
      </c>
      <c r="P20" s="90">
        <f t="shared" si="6"/>
        <v>1.7036476663326756E-2</v>
      </c>
      <c r="Q20" s="90">
        <f t="shared" si="6"/>
        <v>2.2038927247088499E-2</v>
      </c>
      <c r="R20" s="90">
        <f t="shared" si="6"/>
        <v>2.4531844760423482E-2</v>
      </c>
      <c r="S20" s="91">
        <f t="shared" si="6"/>
        <v>2.162234449482978E-2</v>
      </c>
      <c r="T20" s="17"/>
    </row>
    <row r="21" spans="1:20" ht="15" customHeight="1" x14ac:dyDescent="0.3">
      <c r="A21" s="21"/>
      <c r="B21" s="205"/>
      <c r="C21" s="21"/>
      <c r="D21" s="21"/>
      <c r="E21" s="21"/>
      <c r="F21" s="21"/>
      <c r="G21" s="21"/>
      <c r="H21" s="21"/>
      <c r="I21" s="21"/>
      <c r="J21" s="21"/>
      <c r="K21" s="21"/>
      <c r="L21" s="21"/>
      <c r="M21" s="21"/>
      <c r="N21" s="21"/>
      <c r="O21" s="21"/>
      <c r="P21" s="21"/>
      <c r="Q21" s="21"/>
      <c r="R21" s="21"/>
      <c r="S21" s="21"/>
      <c r="T21" s="190"/>
    </row>
    <row r="22" spans="1:20" ht="15" customHeight="1" x14ac:dyDescent="0.3">
      <c r="A22" s="212"/>
      <c r="B22" s="212"/>
      <c r="C22" s="212"/>
      <c r="D22" s="212"/>
      <c r="E22" s="212"/>
      <c r="F22" s="212"/>
      <c r="G22" s="212"/>
      <c r="H22" s="212"/>
      <c r="I22" s="212"/>
      <c r="J22" s="212"/>
      <c r="K22" s="212"/>
      <c r="L22" s="212"/>
      <c r="M22" s="212"/>
      <c r="N22" s="212"/>
      <c r="O22" s="212"/>
      <c r="P22" s="212"/>
      <c r="Q22" s="212"/>
      <c r="R22" s="212"/>
      <c r="S22" s="208"/>
      <c r="T22" s="17"/>
    </row>
    <row r="23" spans="1:20" ht="16.2" thickBot="1" x14ac:dyDescent="0.35">
      <c r="A23" s="246" t="s">
        <v>357</v>
      </c>
      <c r="B23" s="349"/>
      <c r="C23" s="349"/>
      <c r="D23" s="349"/>
      <c r="E23" s="349"/>
      <c r="F23" s="349"/>
      <c r="G23" s="349"/>
      <c r="H23" s="349"/>
      <c r="I23" s="349"/>
      <c r="J23" s="349"/>
      <c r="K23" s="349"/>
      <c r="L23" s="349"/>
      <c r="M23" s="349"/>
      <c r="N23" s="349"/>
      <c r="O23" s="349"/>
      <c r="P23" s="349"/>
      <c r="Q23" s="349"/>
      <c r="R23" s="349"/>
      <c r="S23" s="209"/>
      <c r="T23" s="17"/>
    </row>
    <row r="24" spans="1:20" s="364" customFormat="1" ht="25.05" customHeight="1" thickBot="1" x14ac:dyDescent="0.35">
      <c r="A24" s="353" t="s">
        <v>260</v>
      </c>
      <c r="B24" s="107">
        <v>1999</v>
      </c>
      <c r="C24" s="107">
        <v>2000</v>
      </c>
      <c r="D24" s="107">
        <v>2001</v>
      </c>
      <c r="E24" s="107">
        <v>2002</v>
      </c>
      <c r="F24" s="107">
        <v>2003</v>
      </c>
      <c r="G24" s="107">
        <v>2004</v>
      </c>
      <c r="H24" s="107">
        <v>2005</v>
      </c>
      <c r="I24" s="107">
        <v>2006</v>
      </c>
      <c r="J24" s="107">
        <v>2007</v>
      </c>
      <c r="K24" s="107">
        <v>2008</v>
      </c>
      <c r="L24" s="107">
        <v>2009</v>
      </c>
      <c r="M24" s="107">
        <v>2010</v>
      </c>
      <c r="N24" s="107">
        <v>2011</v>
      </c>
      <c r="O24" s="107">
        <v>2012</v>
      </c>
      <c r="P24" s="107">
        <v>2013</v>
      </c>
      <c r="Q24" s="107">
        <v>2014</v>
      </c>
      <c r="R24" s="107">
        <v>2015</v>
      </c>
      <c r="S24" s="354">
        <v>2016</v>
      </c>
      <c r="T24" s="22"/>
    </row>
    <row r="25" spans="1:20" ht="4.95" customHeight="1" x14ac:dyDescent="0.3">
      <c r="A25" s="19"/>
      <c r="B25" s="19"/>
      <c r="C25" s="19"/>
      <c r="D25" s="19"/>
      <c r="E25" s="19"/>
      <c r="F25" s="19"/>
      <c r="G25" s="19"/>
      <c r="H25" s="19"/>
      <c r="I25" s="19"/>
      <c r="J25" s="19"/>
      <c r="K25" s="19"/>
      <c r="L25" s="19"/>
      <c r="M25" s="203"/>
      <c r="N25" s="203"/>
      <c r="O25" s="203"/>
      <c r="P25" s="203"/>
      <c r="Q25" s="203"/>
      <c r="R25" s="203"/>
      <c r="S25" s="81"/>
      <c r="T25" s="113"/>
    </row>
    <row r="26" spans="1:20" ht="15" customHeight="1" x14ac:dyDescent="0.3">
      <c r="A26" s="109" t="s">
        <v>262</v>
      </c>
      <c r="B26" s="227"/>
      <c r="C26" s="227"/>
      <c r="D26" s="227"/>
      <c r="E26" s="227"/>
      <c r="F26" s="227"/>
      <c r="G26" s="227"/>
      <c r="H26" s="227"/>
      <c r="I26" s="227"/>
      <c r="J26" s="227"/>
      <c r="K26" s="227"/>
      <c r="L26" s="227"/>
      <c r="M26" s="228"/>
      <c r="N26" s="228"/>
      <c r="O26" s="228"/>
      <c r="P26" s="228"/>
      <c r="Q26" s="228"/>
      <c r="R26" s="228"/>
      <c r="S26" s="177"/>
      <c r="T26" s="113"/>
    </row>
    <row r="27" spans="1:20" ht="15" customHeight="1" x14ac:dyDescent="0.3">
      <c r="A27" s="19" t="s">
        <v>189</v>
      </c>
      <c r="B27" s="19">
        <v>86.797442000000004</v>
      </c>
      <c r="C27" s="19">
        <v>85.688582999999994</v>
      </c>
      <c r="D27" s="19">
        <v>117.13743700000001</v>
      </c>
      <c r="E27" s="19">
        <v>178.48602500000001</v>
      </c>
      <c r="F27" s="19">
        <v>234.884682</v>
      </c>
      <c r="G27" s="19">
        <v>546.99965099999997</v>
      </c>
      <c r="H27" s="19">
        <v>530.72632099999998</v>
      </c>
      <c r="I27" s="19">
        <v>574.514408</v>
      </c>
      <c r="J27" s="19">
        <v>593.03180999999995</v>
      </c>
      <c r="K27" s="19">
        <v>739.26650900000004</v>
      </c>
      <c r="L27" s="19">
        <v>578.407646</v>
      </c>
      <c r="M27" s="203">
        <v>583.43384600000002</v>
      </c>
      <c r="N27" s="203">
        <v>614.19500000000005</v>
      </c>
      <c r="O27" s="203">
        <v>637.44190700000001</v>
      </c>
      <c r="P27" s="203">
        <v>980.48781799999995</v>
      </c>
      <c r="Q27" s="203">
        <v>1285.955434</v>
      </c>
      <c r="R27" s="203">
        <v>1587.985473</v>
      </c>
      <c r="S27" s="81">
        <v>1387.7883380000001</v>
      </c>
      <c r="T27" s="113"/>
    </row>
    <row r="28" spans="1:20" ht="15" customHeight="1" x14ac:dyDescent="0.3">
      <c r="A28" s="19" t="s">
        <v>99</v>
      </c>
      <c r="B28" s="19"/>
      <c r="C28" s="19"/>
      <c r="D28" s="19"/>
      <c r="E28" s="19"/>
      <c r="F28" s="19"/>
      <c r="G28" s="19"/>
      <c r="H28" s="19"/>
      <c r="I28" s="19"/>
      <c r="J28" s="19"/>
      <c r="K28" s="19"/>
      <c r="L28" s="19"/>
      <c r="M28" s="203"/>
      <c r="N28" s="203"/>
      <c r="O28" s="203">
        <v>20.190000000000001</v>
      </c>
      <c r="P28" s="203">
        <v>179.69</v>
      </c>
      <c r="Q28" s="203">
        <v>151.71</v>
      </c>
      <c r="R28" s="203">
        <v>189.55</v>
      </c>
      <c r="S28" s="81">
        <v>192.86623599999999</v>
      </c>
      <c r="T28" s="113"/>
    </row>
    <row r="29" spans="1:20" ht="15" customHeight="1" x14ac:dyDescent="0.3">
      <c r="A29" s="168" t="s">
        <v>261</v>
      </c>
      <c r="B29" s="227"/>
      <c r="C29" s="227"/>
      <c r="D29" s="227"/>
      <c r="E29" s="227"/>
      <c r="F29" s="227"/>
      <c r="G29" s="227"/>
      <c r="H29" s="227"/>
      <c r="I29" s="227"/>
      <c r="J29" s="227"/>
      <c r="K29" s="227"/>
      <c r="L29" s="227"/>
      <c r="M29" s="228"/>
      <c r="N29" s="228"/>
      <c r="O29" s="228"/>
      <c r="P29" s="228"/>
      <c r="Q29" s="228"/>
      <c r="R29" s="228"/>
      <c r="S29" s="177"/>
      <c r="T29" s="113"/>
    </row>
    <row r="30" spans="1:20" ht="15" customHeight="1" x14ac:dyDescent="0.3">
      <c r="A30" s="19" t="s">
        <v>190</v>
      </c>
      <c r="B30" s="19"/>
      <c r="C30" s="19"/>
      <c r="D30" s="19"/>
      <c r="E30" s="19"/>
      <c r="F30" s="19"/>
      <c r="G30" s="19"/>
      <c r="H30" s="19"/>
      <c r="I30" s="19"/>
      <c r="J30" s="19"/>
      <c r="K30" s="19"/>
      <c r="L30" s="19"/>
      <c r="M30" s="203">
        <v>0.62</v>
      </c>
      <c r="N30" s="203">
        <v>12.94</v>
      </c>
      <c r="O30" s="203">
        <v>229.66</v>
      </c>
      <c r="P30" s="203">
        <v>451.44</v>
      </c>
      <c r="Q30" s="203">
        <v>669.08</v>
      </c>
      <c r="R30" s="203">
        <v>762.2</v>
      </c>
      <c r="S30" s="81">
        <v>800.61888299999998</v>
      </c>
      <c r="T30" s="113"/>
    </row>
    <row r="31" spans="1:20" ht="15" customHeight="1" x14ac:dyDescent="0.3">
      <c r="A31" s="109" t="s">
        <v>264</v>
      </c>
      <c r="B31" s="227"/>
      <c r="C31" s="227"/>
      <c r="D31" s="227"/>
      <c r="E31" s="227"/>
      <c r="F31" s="227"/>
      <c r="G31" s="227"/>
      <c r="H31" s="227"/>
      <c r="I31" s="227"/>
      <c r="J31" s="227"/>
      <c r="K31" s="227"/>
      <c r="L31" s="227"/>
      <c r="M31" s="228"/>
      <c r="N31" s="228"/>
      <c r="O31" s="228"/>
      <c r="P31" s="228"/>
      <c r="Q31" s="228"/>
      <c r="R31" s="228"/>
      <c r="S31" s="177"/>
      <c r="T31" s="113"/>
    </row>
    <row r="32" spans="1:20" ht="15" customHeight="1" x14ac:dyDescent="0.3">
      <c r="A32" s="19" t="s">
        <v>191</v>
      </c>
      <c r="B32" s="19"/>
      <c r="C32" s="19"/>
      <c r="D32" s="19"/>
      <c r="E32" s="19">
        <v>113.144702</v>
      </c>
      <c r="F32" s="19">
        <v>132.45325600000001</v>
      </c>
      <c r="G32" s="19">
        <v>138.15829500000001</v>
      </c>
      <c r="H32" s="19">
        <v>131.468368</v>
      </c>
      <c r="I32" s="19">
        <v>166.17928499999999</v>
      </c>
      <c r="J32" s="19">
        <v>190.90146300000001</v>
      </c>
      <c r="K32" s="19">
        <v>184.01769899999999</v>
      </c>
      <c r="L32" s="19">
        <v>102.239856</v>
      </c>
      <c r="M32" s="203">
        <v>148.401048</v>
      </c>
      <c r="N32" s="203">
        <v>73.452673000000004</v>
      </c>
      <c r="O32" s="203">
        <v>147.92710600000001</v>
      </c>
      <c r="P32" s="203">
        <v>155.73595499999999</v>
      </c>
      <c r="Q32" s="203">
        <v>358.43691999999999</v>
      </c>
      <c r="R32" s="203">
        <v>360.47560899999996</v>
      </c>
      <c r="S32" s="81">
        <v>380.48817400000001</v>
      </c>
      <c r="T32" s="113"/>
    </row>
    <row r="33" spans="1:20" ht="15" customHeight="1" x14ac:dyDescent="0.3">
      <c r="A33" s="20" t="s">
        <v>192</v>
      </c>
      <c r="B33" s="20">
        <v>5.9724969999999997</v>
      </c>
      <c r="C33" s="20">
        <v>16.241344999999999</v>
      </c>
      <c r="D33" s="20">
        <v>8.1587139999999998</v>
      </c>
      <c r="E33" s="20">
        <v>10.413028000000001</v>
      </c>
      <c r="F33" s="20">
        <v>9.3407719999999994</v>
      </c>
      <c r="G33" s="20">
        <v>9.9779269999999993</v>
      </c>
      <c r="H33" s="20">
        <v>10.618233</v>
      </c>
      <c r="I33" s="20">
        <v>4.0409369999999996</v>
      </c>
      <c r="J33" s="20">
        <v>13.646311000000001</v>
      </c>
      <c r="K33" s="20">
        <v>19.223545000000001</v>
      </c>
      <c r="L33" s="20">
        <v>49.039600999999998</v>
      </c>
      <c r="M33" s="207">
        <v>60.148659000000002</v>
      </c>
      <c r="N33" s="207">
        <v>42.795211000000002</v>
      </c>
      <c r="O33" s="207">
        <v>56.923594999999999</v>
      </c>
      <c r="P33" s="207">
        <v>44.021732</v>
      </c>
      <c r="Q33" s="207">
        <v>54.459048000000003</v>
      </c>
      <c r="R33" s="207">
        <v>56.690491000000002</v>
      </c>
      <c r="S33" s="179">
        <v>41.946466999999998</v>
      </c>
      <c r="T33" s="113"/>
    </row>
    <row r="34" spans="1:20" ht="15" customHeight="1" x14ac:dyDescent="0.3">
      <c r="A34" s="143" t="s">
        <v>308</v>
      </c>
      <c r="B34" s="210">
        <f t="shared" ref="B34:S34" si="7">SUM(B32:B33)+SUM(B27:B30)</f>
        <v>92.769939000000008</v>
      </c>
      <c r="C34" s="210">
        <f t="shared" si="7"/>
        <v>101.92992799999999</v>
      </c>
      <c r="D34" s="210">
        <f t="shared" si="7"/>
        <v>125.29615100000001</v>
      </c>
      <c r="E34" s="210">
        <f t="shared" si="7"/>
        <v>302.04375500000003</v>
      </c>
      <c r="F34" s="210">
        <f t="shared" si="7"/>
        <v>376.67871000000002</v>
      </c>
      <c r="G34" s="210">
        <f t="shared" si="7"/>
        <v>695.13587299999995</v>
      </c>
      <c r="H34" s="210">
        <f t="shared" si="7"/>
        <v>672.81292199999996</v>
      </c>
      <c r="I34" s="210">
        <f t="shared" si="7"/>
        <v>744.73462999999992</v>
      </c>
      <c r="J34" s="210">
        <f t="shared" si="7"/>
        <v>797.57958399999995</v>
      </c>
      <c r="K34" s="210">
        <f t="shared" si="7"/>
        <v>942.50775300000009</v>
      </c>
      <c r="L34" s="210">
        <f t="shared" si="7"/>
        <v>729.68710299999998</v>
      </c>
      <c r="M34" s="210">
        <f t="shared" si="7"/>
        <v>792.60355300000003</v>
      </c>
      <c r="N34" s="210">
        <f t="shared" si="7"/>
        <v>743.3828840000001</v>
      </c>
      <c r="O34" s="210">
        <f t="shared" si="7"/>
        <v>1092.1426080000001</v>
      </c>
      <c r="P34" s="210">
        <f t="shared" si="7"/>
        <v>1811.375505</v>
      </c>
      <c r="Q34" s="210">
        <f t="shared" si="7"/>
        <v>2519.6414019999997</v>
      </c>
      <c r="R34" s="210">
        <f t="shared" si="7"/>
        <v>2956.9015729999996</v>
      </c>
      <c r="S34" s="211">
        <f t="shared" si="7"/>
        <v>2803.7080980000001</v>
      </c>
      <c r="T34" s="21"/>
    </row>
    <row r="35" spans="1:20" ht="15" customHeight="1" x14ac:dyDescent="0.3">
      <c r="A35" s="19" t="s">
        <v>319</v>
      </c>
      <c r="B35" s="88">
        <f t="shared" ref="B35:S35" si="8">B34/B51</f>
        <v>3.4039728737560167E-3</v>
      </c>
      <c r="C35" s="88">
        <f t="shared" si="8"/>
        <v>3.5595340566544754E-3</v>
      </c>
      <c r="D35" s="88">
        <f t="shared" si="8"/>
        <v>3.6283996642050469E-3</v>
      </c>
      <c r="E35" s="88">
        <f t="shared" si="8"/>
        <v>8.5553291045915338E-3</v>
      </c>
      <c r="F35" s="88">
        <f t="shared" si="8"/>
        <v>9.0843753645879141E-3</v>
      </c>
      <c r="G35" s="88">
        <f t="shared" si="8"/>
        <v>1.6445231335274528E-2</v>
      </c>
      <c r="H35" s="88">
        <f t="shared" si="8"/>
        <v>1.4918568234999728E-2</v>
      </c>
      <c r="I35" s="88">
        <f t="shared" si="8"/>
        <v>1.5042420209701641E-2</v>
      </c>
      <c r="J35" s="88">
        <f t="shared" si="8"/>
        <v>1.3751886736615038E-2</v>
      </c>
      <c r="K35" s="88">
        <f t="shared" si="8"/>
        <v>1.3185876453712803E-2</v>
      </c>
      <c r="L35" s="88">
        <f t="shared" si="8"/>
        <v>9.1784869025669756E-3</v>
      </c>
      <c r="M35" s="88">
        <f t="shared" si="8"/>
        <v>8.9865367294413769E-3</v>
      </c>
      <c r="N35" s="88">
        <f t="shared" si="8"/>
        <v>7.9394105006835285E-3</v>
      </c>
      <c r="O35" s="88">
        <f t="shared" si="8"/>
        <v>1.0595405454175035E-2</v>
      </c>
      <c r="P35" s="88">
        <f t="shared" si="8"/>
        <v>1.5656471800855699E-2</v>
      </c>
      <c r="Q35" s="88">
        <f t="shared" si="8"/>
        <v>1.9550441902870131E-2</v>
      </c>
      <c r="R35" s="88">
        <f t="shared" si="8"/>
        <v>2.1842624252989884E-2</v>
      </c>
      <c r="S35" s="89">
        <f t="shared" si="8"/>
        <v>2.0467934533745059E-2</v>
      </c>
      <c r="T35" s="17"/>
    </row>
    <row r="36" spans="1:20" ht="15" customHeight="1" x14ac:dyDescent="0.3">
      <c r="A36" s="19" t="s">
        <v>316</v>
      </c>
      <c r="B36" s="88">
        <f t="shared" ref="B36:S36" si="9">B34/B52</f>
        <v>6.155177538798037E-3</v>
      </c>
      <c r="C36" s="88">
        <f t="shared" si="9"/>
        <v>6.4424029886247288E-3</v>
      </c>
      <c r="D36" s="88">
        <f t="shared" si="9"/>
        <v>7.1627198207229095E-3</v>
      </c>
      <c r="E36" s="88">
        <f t="shared" si="9"/>
        <v>1.594607483090902E-2</v>
      </c>
      <c r="F36" s="88">
        <f t="shared" si="9"/>
        <v>1.7080710109939189E-2</v>
      </c>
      <c r="G36" s="88">
        <f t="shared" si="9"/>
        <v>3.1721350568478773E-2</v>
      </c>
      <c r="H36" s="88">
        <f t="shared" si="9"/>
        <v>2.8390463793267401E-2</v>
      </c>
      <c r="I36" s="88">
        <f t="shared" si="9"/>
        <v>2.9460108115089891E-2</v>
      </c>
      <c r="J36" s="88">
        <f t="shared" si="9"/>
        <v>2.6642660947876203E-2</v>
      </c>
      <c r="K36" s="88">
        <f t="shared" si="9"/>
        <v>2.7845292288603614E-2</v>
      </c>
      <c r="L36" s="88">
        <f t="shared" si="9"/>
        <v>1.993779523851337E-2</v>
      </c>
      <c r="M36" s="88">
        <f t="shared" si="9"/>
        <v>2.0349779275462786E-2</v>
      </c>
      <c r="N36" s="88">
        <f t="shared" si="9"/>
        <v>1.4887010794032244E-2</v>
      </c>
      <c r="O36" s="88">
        <f t="shared" si="9"/>
        <v>2.3292582494454872E-2</v>
      </c>
      <c r="P36" s="88">
        <f t="shared" si="9"/>
        <v>3.3669315507723188E-2</v>
      </c>
      <c r="Q36" s="88">
        <f t="shared" si="9"/>
        <v>4.1376139680767206E-2</v>
      </c>
      <c r="R36" s="88">
        <f t="shared" si="9"/>
        <v>4.5979591861170281E-2</v>
      </c>
      <c r="S36" s="89">
        <f t="shared" si="9"/>
        <v>4.2885482746028741E-2</v>
      </c>
      <c r="T36" s="17"/>
    </row>
    <row r="37" spans="1:20" ht="15" customHeight="1" x14ac:dyDescent="0.3">
      <c r="A37" s="19" t="s">
        <v>317</v>
      </c>
      <c r="B37" s="88">
        <f t="shared" ref="B37:S37" si="10">B34/B53</f>
        <v>5.4615851382617349E-4</v>
      </c>
      <c r="C37" s="88">
        <f t="shared" si="10"/>
        <v>5.6444606388162842E-4</v>
      </c>
      <c r="D37" s="88">
        <f t="shared" si="10"/>
        <v>6.8645269466982974E-4</v>
      </c>
      <c r="E37" s="88">
        <f t="shared" si="10"/>
        <v>1.5675031786642865E-3</v>
      </c>
      <c r="F37" s="88">
        <f t="shared" si="10"/>
        <v>1.8434190087942958E-3</v>
      </c>
      <c r="G37" s="88">
        <f t="shared" si="10"/>
        <v>3.0497109833943887E-3</v>
      </c>
      <c r="H37" s="88">
        <f t="shared" si="10"/>
        <v>2.6832127825036191E-3</v>
      </c>
      <c r="I37" s="88">
        <f t="shared" si="10"/>
        <v>2.5656528898856585E-3</v>
      </c>
      <c r="J37" s="88">
        <f t="shared" si="10"/>
        <v>2.4948296772215844E-3</v>
      </c>
      <c r="K37" s="88">
        <f t="shared" si="10"/>
        <v>2.6721207335017394E-3</v>
      </c>
      <c r="L37" s="88">
        <f t="shared" si="10"/>
        <v>2.0049488601237004E-3</v>
      </c>
      <c r="M37" s="88">
        <f t="shared" si="10"/>
        <v>1.9017130048178434E-3</v>
      </c>
      <c r="N37" s="88">
        <f t="shared" si="10"/>
        <v>1.5714712091136438E-3</v>
      </c>
      <c r="O37" s="88">
        <f t="shared" si="10"/>
        <v>2.1493327665503582E-3</v>
      </c>
      <c r="P37" s="88">
        <f t="shared" si="10"/>
        <v>3.3317554858645869E-3</v>
      </c>
      <c r="Q37" s="88">
        <f t="shared" si="10"/>
        <v>4.414382777952976E-3</v>
      </c>
      <c r="R37" s="88">
        <f t="shared" si="10"/>
        <v>4.9075005319263697E-3</v>
      </c>
      <c r="S37" s="89">
        <f t="shared" si="10"/>
        <v>4.3219119786968418E-3</v>
      </c>
      <c r="T37" s="681"/>
    </row>
    <row r="38" spans="1:20" ht="15" customHeight="1" x14ac:dyDescent="0.3">
      <c r="A38" s="19" t="s">
        <v>318</v>
      </c>
      <c r="B38" s="688">
        <f t="shared" ref="B38:S38" si="11">+B34/B54</f>
        <v>1.038325960471732E-5</v>
      </c>
      <c r="C38" s="688">
        <f t="shared" si="11"/>
        <v>1.0926895554541679E-5</v>
      </c>
      <c r="D38" s="688">
        <f t="shared" si="11"/>
        <v>1.365960451777226E-5</v>
      </c>
      <c r="E38" s="688">
        <f t="shared" si="11"/>
        <v>3.1583913464248164E-5</v>
      </c>
      <c r="F38" s="688">
        <f t="shared" si="11"/>
        <v>3.7914962812650045E-5</v>
      </c>
      <c r="G38" s="688">
        <f t="shared" si="11"/>
        <v>6.5516701608360969E-5</v>
      </c>
      <c r="H38" s="688">
        <f t="shared" si="11"/>
        <v>6.4771612441378868E-5</v>
      </c>
      <c r="I38" s="688">
        <f t="shared" si="11"/>
        <v>6.7281464660308082E-5</v>
      </c>
      <c r="J38" s="688">
        <f t="shared" si="11"/>
        <v>7.2173276038447188E-5</v>
      </c>
      <c r="K38" s="688">
        <f t="shared" si="11"/>
        <v>8.3289192898569983E-5</v>
      </c>
      <c r="L38" s="688">
        <f t="shared" si="11"/>
        <v>6.306482153212975E-5</v>
      </c>
      <c r="M38" s="688">
        <f t="shared" si="11"/>
        <v>6.6567397171847346E-5</v>
      </c>
      <c r="N38" s="688">
        <f t="shared" si="11"/>
        <v>6.4049559336812472E-5</v>
      </c>
      <c r="O38" s="688">
        <f t="shared" si="11"/>
        <v>9.3656341031273803E-5</v>
      </c>
      <c r="P38" s="688">
        <f t="shared" si="11"/>
        <v>1.5476086670674862E-4</v>
      </c>
      <c r="Q38" s="688">
        <f t="shared" si="11"/>
        <v>2.1626072687850242E-4</v>
      </c>
      <c r="R38" s="688">
        <f t="shared" si="11"/>
        <v>2.55240531249447E-4</v>
      </c>
      <c r="S38" s="689">
        <f t="shared" si="11"/>
        <v>2.381193636167709E-4</v>
      </c>
      <c r="T38" s="17"/>
    </row>
    <row r="39" spans="1:20" ht="15" customHeight="1" x14ac:dyDescent="0.3">
      <c r="A39" s="19" t="s">
        <v>338</v>
      </c>
      <c r="B39" s="88">
        <f t="shared" ref="B39:S39" si="12">B38/B55</f>
        <v>2.5080337209462127E-3</v>
      </c>
      <c r="C39" s="88">
        <f t="shared" si="12"/>
        <v>2.2209137305979022E-3</v>
      </c>
      <c r="D39" s="88">
        <f t="shared" si="12"/>
        <v>2.7763423816610285E-3</v>
      </c>
      <c r="E39" s="88">
        <f t="shared" si="12"/>
        <v>6.419494606554505E-3</v>
      </c>
      <c r="F39" s="88">
        <f t="shared" si="12"/>
        <v>7.3689692130989599E-3</v>
      </c>
      <c r="G39" s="88">
        <f t="shared" si="12"/>
        <v>1.1868967682674088E-2</v>
      </c>
      <c r="H39" s="88">
        <f t="shared" si="12"/>
        <v>1.1733987761119362E-2</v>
      </c>
      <c r="I39" s="88">
        <f t="shared" si="12"/>
        <v>1.121357744338468E-2</v>
      </c>
      <c r="J39" s="88">
        <f t="shared" si="12"/>
        <v>1.185748672475288E-2</v>
      </c>
      <c r="K39" s="88">
        <f t="shared" si="12"/>
        <v>1.2619574681601513E-2</v>
      </c>
      <c r="L39" s="88">
        <f t="shared" si="12"/>
        <v>9.5552759897166283E-3</v>
      </c>
      <c r="M39" s="88">
        <f t="shared" si="12"/>
        <v>1.0085969268461718E-2</v>
      </c>
      <c r="N39" s="88">
        <f t="shared" si="12"/>
        <v>8.5549219152206198E-3</v>
      </c>
      <c r="O39" s="88">
        <f t="shared" si="12"/>
        <v>1.0856062770044196E-2</v>
      </c>
      <c r="P39" s="88">
        <f t="shared" si="12"/>
        <v>1.7195651856305404E-2</v>
      </c>
      <c r="Q39" s="88">
        <f t="shared" si="12"/>
        <v>2.4028969653166938E-2</v>
      </c>
      <c r="R39" s="88">
        <f t="shared" si="12"/>
        <v>2.8360059027716336E-2</v>
      </c>
      <c r="S39" s="89">
        <f t="shared" si="12"/>
        <v>2.3345035648703029E-2</v>
      </c>
      <c r="T39" s="17"/>
    </row>
    <row r="40" spans="1:20" ht="15" customHeight="1" thickBot="1" x14ac:dyDescent="0.35">
      <c r="A40" s="123" t="s">
        <v>603</v>
      </c>
      <c r="B40" s="90">
        <f t="shared" ref="B40:S40" si="13">B38/B58</f>
        <v>2.4094636533409726E-3</v>
      </c>
      <c r="C40" s="90">
        <f t="shared" si="13"/>
        <v>2.96219040904745E-3</v>
      </c>
      <c r="D40" s="90">
        <f t="shared" si="13"/>
        <v>3.4188713868688516E-3</v>
      </c>
      <c r="E40" s="90">
        <f t="shared" si="13"/>
        <v>7.3342588622439314E-3</v>
      </c>
      <c r="F40" s="90">
        <f t="shared" si="13"/>
        <v>8.8288665191888736E-3</v>
      </c>
      <c r="G40" s="90">
        <f t="shared" si="13"/>
        <v>1.5715651233321526E-2</v>
      </c>
      <c r="H40" s="90">
        <f t="shared" si="13"/>
        <v>1.497651987535043E-2</v>
      </c>
      <c r="I40" s="90">
        <f t="shared" si="13"/>
        <v>1.5699274074608655E-2</v>
      </c>
      <c r="J40" s="90">
        <f t="shared" si="13"/>
        <v>1.4103156314971561E-2</v>
      </c>
      <c r="K40" s="90">
        <f t="shared" si="13"/>
        <v>1.4504969670780398E-2</v>
      </c>
      <c r="L40" s="90">
        <f t="shared" si="13"/>
        <v>1.0479993789723955E-2</v>
      </c>
      <c r="M40" s="90">
        <f t="shared" si="13"/>
        <v>1.0163414986624871E-2</v>
      </c>
      <c r="N40" s="90">
        <f t="shared" si="13"/>
        <v>8.9518120802519856E-3</v>
      </c>
      <c r="O40" s="90">
        <f t="shared" si="13"/>
        <v>1.2019607864951543E-2</v>
      </c>
      <c r="P40" s="90">
        <f t="shared" si="13"/>
        <v>1.9148123193221126E-2</v>
      </c>
      <c r="Q40" s="90">
        <f t="shared" si="13"/>
        <v>2.6358283564425211E-2</v>
      </c>
      <c r="R40" s="90">
        <f t="shared" si="13"/>
        <v>2.8561340789953999E-2</v>
      </c>
      <c r="S40" s="91">
        <f t="shared" si="13"/>
        <v>2.5458118713620706E-2</v>
      </c>
      <c r="T40" s="17"/>
    </row>
    <row r="41" spans="1:20" ht="15" customHeight="1" x14ac:dyDescent="0.3">
      <c r="A41" s="57" t="s">
        <v>359</v>
      </c>
      <c r="C41" s="14"/>
      <c r="D41" s="14"/>
      <c r="E41" s="14"/>
      <c r="F41" s="14"/>
      <c r="G41" s="14"/>
      <c r="H41" s="14"/>
      <c r="I41" s="14"/>
      <c r="J41" s="14"/>
      <c r="K41" s="14"/>
      <c r="L41" s="14"/>
      <c r="M41" s="88"/>
      <c r="N41" s="88"/>
      <c r="O41" s="88"/>
      <c r="P41" s="88"/>
      <c r="Q41" s="88"/>
      <c r="R41" s="88"/>
      <c r="S41" s="88"/>
      <c r="T41" s="17"/>
    </row>
    <row r="42" spans="1:20" ht="15" customHeight="1" x14ac:dyDescent="0.3">
      <c r="A42" s="57" t="s">
        <v>371</v>
      </c>
      <c r="B42" s="10"/>
      <c r="C42" s="23"/>
      <c r="D42" s="23"/>
      <c r="E42" s="23"/>
      <c r="F42" s="23"/>
      <c r="G42" s="23"/>
      <c r="H42" s="23"/>
      <c r="I42" s="23"/>
      <c r="J42" s="23"/>
      <c r="K42" s="23"/>
      <c r="L42" s="23"/>
      <c r="M42" s="17"/>
      <c r="N42" s="17"/>
      <c r="O42" s="17"/>
      <c r="P42" s="17"/>
      <c r="Q42" s="17"/>
      <c r="R42" s="17"/>
      <c r="S42" s="17"/>
      <c r="T42" s="17"/>
    </row>
    <row r="43" spans="1:20" ht="15" customHeight="1" x14ac:dyDescent="0.3">
      <c r="A43" s="57" t="s">
        <v>358</v>
      </c>
      <c r="B43" s="16"/>
      <c r="C43" s="58"/>
      <c r="D43" s="58"/>
      <c r="E43" s="58"/>
      <c r="F43" s="58"/>
      <c r="G43" s="58"/>
      <c r="H43" s="58"/>
      <c r="I43" s="58"/>
      <c r="J43" s="58"/>
      <c r="K43" s="58"/>
      <c r="L43" s="58"/>
      <c r="M43" s="17"/>
      <c r="N43" s="17"/>
      <c r="O43" s="17"/>
      <c r="P43" s="17"/>
      <c r="Q43" s="17"/>
      <c r="R43" s="17"/>
      <c r="S43" s="17"/>
      <c r="T43" s="17"/>
    </row>
    <row r="44" spans="1:20" ht="15" customHeight="1" x14ac:dyDescent="0.3">
      <c r="A44" s="57" t="s">
        <v>361</v>
      </c>
      <c r="B44" s="16"/>
      <c r="C44" s="58"/>
      <c r="D44" s="58"/>
      <c r="E44" s="58"/>
      <c r="F44" s="58"/>
      <c r="G44" s="58"/>
      <c r="H44" s="58"/>
      <c r="I44" s="58"/>
      <c r="J44" s="58"/>
      <c r="K44" s="58"/>
      <c r="L44" s="58"/>
      <c r="M44" s="17"/>
      <c r="N44" s="17"/>
      <c r="O44" s="17"/>
      <c r="P44" s="17"/>
      <c r="Q44" s="17"/>
      <c r="S44" s="17"/>
    </row>
    <row r="45" spans="1:20" ht="15" customHeight="1" x14ac:dyDescent="0.3">
      <c r="A45" s="57" t="s">
        <v>360</v>
      </c>
      <c r="B45" s="16"/>
      <c r="C45" s="58"/>
      <c r="D45" s="58"/>
      <c r="E45" s="58"/>
      <c r="F45" s="58"/>
      <c r="G45" s="58"/>
      <c r="H45" s="58"/>
      <c r="I45" s="58"/>
      <c r="J45" s="58"/>
      <c r="K45" s="58"/>
      <c r="L45" s="58"/>
      <c r="M45" s="186"/>
      <c r="N45" s="186"/>
      <c r="O45" s="186"/>
      <c r="P45" s="186"/>
      <c r="Q45" s="186"/>
      <c r="R45" s="186"/>
      <c r="S45" s="186"/>
      <c r="T45" s="186"/>
    </row>
    <row r="46" spans="1:20" ht="15" customHeight="1" x14ac:dyDescent="0.3">
      <c r="A46" s="57" t="s">
        <v>362</v>
      </c>
      <c r="B46" s="145"/>
      <c r="C46" s="145"/>
      <c r="D46" s="145"/>
      <c r="E46" s="145"/>
      <c r="F46" s="145"/>
      <c r="G46" s="145"/>
      <c r="H46" s="145"/>
      <c r="I46" s="145"/>
      <c r="J46" s="145"/>
      <c r="K46" s="145"/>
      <c r="L46" s="145"/>
      <c r="M46" s="187"/>
      <c r="N46" s="187"/>
      <c r="O46" s="187"/>
      <c r="P46" s="187"/>
      <c r="Q46" s="187"/>
      <c r="R46" s="187"/>
      <c r="S46" s="187"/>
    </row>
    <row r="47" spans="1:20" ht="15" customHeight="1" x14ac:dyDescent="0.3">
      <c r="A47" s="16"/>
      <c r="M47" s="187"/>
    </row>
    <row r="48" spans="1:20" ht="15" thickBot="1" x14ac:dyDescent="0.35"/>
    <row r="49" spans="1:20" ht="25.05" customHeight="1" thickBot="1" x14ac:dyDescent="0.35">
      <c r="A49" s="353" t="s">
        <v>292</v>
      </c>
      <c r="B49" s="188" t="s">
        <v>171</v>
      </c>
      <c r="C49" s="188" t="s">
        <v>172</v>
      </c>
      <c r="D49" s="188" t="s">
        <v>173</v>
      </c>
      <c r="E49" s="188" t="s">
        <v>174</v>
      </c>
      <c r="F49" s="188" t="s">
        <v>175</v>
      </c>
      <c r="G49" s="188" t="s">
        <v>176</v>
      </c>
      <c r="H49" s="188" t="s">
        <v>177</v>
      </c>
      <c r="I49" s="188" t="s">
        <v>178</v>
      </c>
      <c r="J49" s="188" t="s">
        <v>179</v>
      </c>
      <c r="K49" s="188" t="s">
        <v>180</v>
      </c>
      <c r="L49" s="188" t="s">
        <v>181</v>
      </c>
      <c r="M49" s="188" t="s">
        <v>182</v>
      </c>
      <c r="N49" s="188" t="s">
        <v>183</v>
      </c>
      <c r="O49" s="188" t="s">
        <v>184</v>
      </c>
      <c r="P49" s="188" t="s">
        <v>185</v>
      </c>
      <c r="Q49" s="188" t="s">
        <v>186</v>
      </c>
      <c r="R49" s="188" t="s">
        <v>187</v>
      </c>
      <c r="S49" s="194" t="s">
        <v>188</v>
      </c>
    </row>
    <row r="50" spans="1:20" ht="4.95" customHeight="1" x14ac:dyDescent="0.3">
      <c r="A50" s="22"/>
      <c r="B50" s="19"/>
      <c r="C50" s="19"/>
      <c r="D50" s="19"/>
      <c r="E50" s="19"/>
      <c r="F50" s="19"/>
      <c r="G50" s="19"/>
      <c r="H50" s="19"/>
      <c r="I50" s="19"/>
      <c r="J50" s="19"/>
      <c r="K50" s="19"/>
      <c r="L50" s="19"/>
      <c r="M50" s="45"/>
      <c r="N50" s="45"/>
      <c r="O50" s="45"/>
      <c r="P50" s="45"/>
      <c r="Q50" s="45"/>
      <c r="R50" s="45"/>
      <c r="S50" s="81"/>
      <c r="T50" s="17"/>
    </row>
    <row r="51" spans="1:20" ht="15" customHeight="1" x14ac:dyDescent="0.3">
      <c r="A51" s="22" t="s">
        <v>363</v>
      </c>
      <c r="B51" s="19">
        <v>27253.430753000001</v>
      </c>
      <c r="C51" s="19">
        <v>28635.750178999999</v>
      </c>
      <c r="D51" s="19">
        <v>34532.069947000004</v>
      </c>
      <c r="E51" s="19">
        <v>35304.749975999999</v>
      </c>
      <c r="F51" s="19">
        <v>41464.459017000001</v>
      </c>
      <c r="G51" s="19">
        <v>42269.753390999998</v>
      </c>
      <c r="H51" s="19">
        <v>45099.027694999997</v>
      </c>
      <c r="I51" s="19">
        <v>49508.963293000001</v>
      </c>
      <c r="J51" s="19">
        <v>57997.829626999999</v>
      </c>
      <c r="K51" s="19">
        <v>71478.582125999994</v>
      </c>
      <c r="L51" s="19">
        <v>79499.716102000006</v>
      </c>
      <c r="M51" s="45">
        <v>88199</v>
      </c>
      <c r="N51" s="45">
        <v>93632</v>
      </c>
      <c r="O51" s="45">
        <v>103077</v>
      </c>
      <c r="P51" s="45">
        <v>115695</v>
      </c>
      <c r="Q51" s="45">
        <v>128879</v>
      </c>
      <c r="R51" s="45">
        <v>135373</v>
      </c>
      <c r="S51" s="81">
        <v>136980.509361</v>
      </c>
      <c r="T51" s="17"/>
    </row>
    <row r="52" spans="1:20" ht="15" customHeight="1" x14ac:dyDescent="0.3">
      <c r="A52" s="22" t="s">
        <v>364</v>
      </c>
      <c r="B52" s="19">
        <v>15071.854291</v>
      </c>
      <c r="C52" s="19">
        <v>15821.724934</v>
      </c>
      <c r="D52" s="19">
        <v>17492.817552</v>
      </c>
      <c r="E52" s="19">
        <v>18941.573910999999</v>
      </c>
      <c r="F52" s="19">
        <v>22052.871781999998</v>
      </c>
      <c r="G52" s="19">
        <v>21913.817051999999</v>
      </c>
      <c r="H52" s="19">
        <v>23698.553391000001</v>
      </c>
      <c r="I52" s="19">
        <v>25279.426235999999</v>
      </c>
      <c r="J52" s="19">
        <v>29936.183385</v>
      </c>
      <c r="K52" s="19">
        <v>33848.010759999997</v>
      </c>
      <c r="L52" s="19">
        <v>36598.184216000001</v>
      </c>
      <c r="M52" s="45">
        <v>38949</v>
      </c>
      <c r="N52" s="45">
        <v>49935</v>
      </c>
      <c r="O52" s="45">
        <v>46888</v>
      </c>
      <c r="P52" s="45">
        <v>53799</v>
      </c>
      <c r="Q52" s="45">
        <v>60896</v>
      </c>
      <c r="R52" s="45">
        <v>64309</v>
      </c>
      <c r="S52" s="81">
        <v>65376.624407000003</v>
      </c>
      <c r="T52" s="17"/>
    </row>
    <row r="53" spans="1:20" ht="15" customHeight="1" x14ac:dyDescent="0.3">
      <c r="A53" s="22" t="s">
        <v>596</v>
      </c>
      <c r="B53" s="19">
        <v>169859</v>
      </c>
      <c r="C53" s="19">
        <v>180584</v>
      </c>
      <c r="D53" s="19">
        <v>182527</v>
      </c>
      <c r="E53" s="19">
        <v>192691</v>
      </c>
      <c r="F53" s="19">
        <v>204337</v>
      </c>
      <c r="G53" s="19">
        <v>227935</v>
      </c>
      <c r="H53" s="19">
        <v>250749</v>
      </c>
      <c r="I53" s="19">
        <v>290271</v>
      </c>
      <c r="J53" s="19">
        <v>319693</v>
      </c>
      <c r="K53" s="19">
        <v>352719</v>
      </c>
      <c r="L53" s="19">
        <v>363943</v>
      </c>
      <c r="M53" s="45">
        <v>416784</v>
      </c>
      <c r="N53" s="45">
        <v>473049</v>
      </c>
      <c r="O53" s="45">
        <v>508131</v>
      </c>
      <c r="P53" s="45">
        <v>543670</v>
      </c>
      <c r="Q53" s="45">
        <v>570780</v>
      </c>
      <c r="R53" s="45">
        <v>602527</v>
      </c>
      <c r="S53" s="81">
        <v>648719.38896945887</v>
      </c>
      <c r="T53" s="17"/>
    </row>
    <row r="54" spans="1:20" ht="15" customHeight="1" x14ac:dyDescent="0.3">
      <c r="A54" s="22" t="s">
        <v>383</v>
      </c>
      <c r="B54" s="206">
        <v>8934568</v>
      </c>
      <c r="C54" s="206">
        <v>9328352</v>
      </c>
      <c r="D54" s="206">
        <v>9172751</v>
      </c>
      <c r="E54" s="206">
        <v>9563215</v>
      </c>
      <c r="F54" s="206">
        <v>9934830</v>
      </c>
      <c r="G54" s="206">
        <v>10610056</v>
      </c>
      <c r="H54" s="206">
        <v>10387466</v>
      </c>
      <c r="I54" s="206">
        <v>11068942</v>
      </c>
      <c r="J54" s="206">
        <v>11050899</v>
      </c>
      <c r="K54" s="206">
        <v>11316087</v>
      </c>
      <c r="L54" s="206">
        <v>11570430</v>
      </c>
      <c r="M54" s="203">
        <v>11906783</v>
      </c>
      <c r="N54" s="203">
        <v>11606370</v>
      </c>
      <c r="O54" s="203">
        <v>11661171</v>
      </c>
      <c r="P54" s="203">
        <v>11704351</v>
      </c>
      <c r="Q54" s="203">
        <v>11650943</v>
      </c>
      <c r="R54" s="203">
        <v>11584765</v>
      </c>
      <c r="S54" s="204">
        <f>+R54*((R54/B54)^(1/($R$4-$B$4)))</f>
        <v>11774380.946659531</v>
      </c>
      <c r="T54" s="18"/>
    </row>
    <row r="55" spans="1:20" ht="15" customHeight="1" x14ac:dyDescent="0.3">
      <c r="A55" s="22" t="s">
        <v>367</v>
      </c>
      <c r="B55" s="219">
        <v>4.1399999999999996E-3</v>
      </c>
      <c r="C55" s="219">
        <v>4.9199999999999999E-3</v>
      </c>
      <c r="D55" s="219">
        <v>4.9199999999999999E-3</v>
      </c>
      <c r="E55" s="219">
        <v>4.9199999999999999E-3</v>
      </c>
      <c r="F55" s="219">
        <v>5.1452193266397451E-3</v>
      </c>
      <c r="G55" s="219">
        <v>5.5199999999999997E-3</v>
      </c>
      <c r="H55" s="219">
        <v>5.5199999999999997E-3</v>
      </c>
      <c r="I55" s="219">
        <v>6.0000000000000001E-3</v>
      </c>
      <c r="J55" s="219">
        <v>6.0867262779879978E-3</v>
      </c>
      <c r="K55" s="219">
        <v>6.6E-3</v>
      </c>
      <c r="L55" s="219">
        <v>6.6E-3</v>
      </c>
      <c r="M55" s="189">
        <v>6.6E-3</v>
      </c>
      <c r="N55" s="189">
        <v>7.4868666215243554E-3</v>
      </c>
      <c r="O55" s="189">
        <v>8.6271001757382542E-3</v>
      </c>
      <c r="P55" s="189">
        <v>8.9999999999999993E-3</v>
      </c>
      <c r="Q55" s="189">
        <v>8.9999999999999993E-3</v>
      </c>
      <c r="R55" s="189">
        <v>8.9999999999999993E-3</v>
      </c>
      <c r="S55" s="192">
        <v>1.0200000000000001E-2</v>
      </c>
      <c r="T55" s="17"/>
    </row>
    <row r="56" spans="1:20" ht="15" customHeight="1" x14ac:dyDescent="0.3">
      <c r="A56" s="22" t="s">
        <v>365</v>
      </c>
      <c r="B56" s="219">
        <v>5.4755062243555608E-3</v>
      </c>
      <c r="C56" s="219">
        <v>4.9634929913065246E-3</v>
      </c>
      <c r="D56" s="219">
        <v>5.2411743487997048E-3</v>
      </c>
      <c r="E56" s="219">
        <v>5.845143209214386E-3</v>
      </c>
      <c r="F56" s="219">
        <v>5.9992619288828618E-3</v>
      </c>
      <c r="G56" s="219">
        <v>5.6130703428359033E-3</v>
      </c>
      <c r="H56" s="219">
        <v>5.6270798771024593E-3</v>
      </c>
      <c r="I56" s="219">
        <v>5.8685252410231757E-3</v>
      </c>
      <c r="J56" s="219">
        <v>6.9881906274660427E-3</v>
      </c>
      <c r="K56" s="219">
        <v>7.601978520127976E-3</v>
      </c>
      <c r="L56" s="219">
        <v>8.1541163140424651E-3</v>
      </c>
      <c r="M56" s="189">
        <v>8.4928626904699871E-3</v>
      </c>
      <c r="N56" s="189">
        <v>9.1355756167221195E-3</v>
      </c>
      <c r="O56" s="189">
        <v>1.0103303280104788E-2</v>
      </c>
      <c r="P56" s="189">
        <v>1.0568575755522952E-2</v>
      </c>
      <c r="Q56" s="189">
        <v>1.0952861919257831E-2</v>
      </c>
      <c r="R56" s="189">
        <v>1.1760868366498143E-2</v>
      </c>
      <c r="S56" s="192">
        <f>+R56*((R56/B56)^(1/($R$4-$B$4)))</f>
        <v>1.2336453715419679E-2</v>
      </c>
      <c r="T56" s="17"/>
    </row>
    <row r="57" spans="1:20" ht="15" customHeight="1" x14ac:dyDescent="0.3">
      <c r="A57" s="22" t="s">
        <v>353</v>
      </c>
      <c r="B57" s="219">
        <v>1.3103115473156995E-2</v>
      </c>
      <c r="C57" s="219">
        <v>1.2710084992625595E-2</v>
      </c>
      <c r="D57" s="219">
        <v>1.3047215623581916E-2</v>
      </c>
      <c r="E57" s="219">
        <v>1.5119402983752389E-2</v>
      </c>
      <c r="F57" s="219">
        <v>1.6602726420451165E-2</v>
      </c>
      <c r="G57" s="219">
        <v>1.5786898897578998E-2</v>
      </c>
      <c r="H57" s="219">
        <v>1.5230441040044047E-2</v>
      </c>
      <c r="I57" s="219">
        <v>1.6353086921105198E-2</v>
      </c>
      <c r="J57" s="219">
        <v>1.6808767449715795E-2</v>
      </c>
      <c r="K57" s="219">
        <v>1.7177496836246062E-2</v>
      </c>
      <c r="L57" s="219">
        <v>1.8062348296206562E-2</v>
      </c>
      <c r="M57" s="191">
        <v>1.7818167657692136E-2</v>
      </c>
      <c r="N57" s="191">
        <v>1.7847984572942958E-2</v>
      </c>
      <c r="O57" s="191">
        <v>1.9131252380202104E-2</v>
      </c>
      <c r="P57" s="191">
        <v>2.0014163424318221E-2</v>
      </c>
      <c r="Q57" s="191">
        <v>2.1048176009026639E-2</v>
      </c>
      <c r="R57" s="191">
        <v>2.2356615679096581E-2</v>
      </c>
      <c r="S57" s="193">
        <f t="shared" ref="S57:S58" si="14">+R57*((R57/B57)^(1/($R$4-$B$4)))</f>
        <v>2.3115752160201997E-2</v>
      </c>
      <c r="T57" s="17"/>
    </row>
    <row r="58" spans="1:20" ht="15" customHeight="1" x14ac:dyDescent="0.3">
      <c r="A58" s="124" t="s">
        <v>366</v>
      </c>
      <c r="B58" s="220">
        <v>4.3093655263568087E-3</v>
      </c>
      <c r="C58" s="220">
        <v>3.6887890532517915E-3</v>
      </c>
      <c r="D58" s="220">
        <v>3.9953548911596552E-3</v>
      </c>
      <c r="E58" s="220">
        <v>4.3063537921792143E-3</v>
      </c>
      <c r="F58" s="220">
        <v>4.2944315366241796E-3</v>
      </c>
      <c r="G58" s="220">
        <v>4.1688823858248673E-3</v>
      </c>
      <c r="H58" s="220">
        <v>4.3248774067989743E-3</v>
      </c>
      <c r="I58" s="220">
        <v>4.2856417653811324E-3</v>
      </c>
      <c r="J58" s="220">
        <v>5.1175264902814576E-3</v>
      </c>
      <c r="K58" s="220">
        <v>5.7421142400836782E-3</v>
      </c>
      <c r="L58" s="220">
        <v>6.0176392083330513E-3</v>
      </c>
      <c r="M58" s="221">
        <v>6.5497076779262222E-3</v>
      </c>
      <c r="N58" s="221">
        <v>7.1549267078682387E-3</v>
      </c>
      <c r="O58" s="221">
        <v>7.7919631059154672E-3</v>
      </c>
      <c r="P58" s="222">
        <v>8.0822995102484783E-3</v>
      </c>
      <c r="Q58" s="221">
        <v>8.2046589395669695E-3</v>
      </c>
      <c r="R58" s="221">
        <v>8.9365738508755104E-3</v>
      </c>
      <c r="S58" s="223">
        <f t="shared" si="14"/>
        <v>9.3533762763613523E-3</v>
      </c>
      <c r="T58" s="18"/>
    </row>
    <row r="59" spans="1:20" ht="15" customHeight="1" x14ac:dyDescent="0.3"/>
    <row r="60" spans="1:20" ht="15" customHeight="1" x14ac:dyDescent="0.3">
      <c r="A60" s="57"/>
    </row>
    <row r="61" spans="1:20" ht="15" customHeight="1" x14ac:dyDescent="0.3">
      <c r="A61" s="57"/>
    </row>
  </sheetData>
  <printOptions horizontalCentered="1" verticalCentered="1"/>
  <pageMargins left="0.31496062992125984" right="0.31496062992125984" top="0.35433070866141736" bottom="0.35433070866141736" header="0.31496062992125984" footer="0.31496062992125984"/>
  <pageSetup scale="38" orientation="landscape" r:id="rId1"/>
  <ignoredErrors>
    <ignoredError sqref="B49:S49"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516"/>
  <sheetViews>
    <sheetView showGridLines="0" zoomScale="80" zoomScaleNormal="80" workbookViewId="0">
      <pane xSplit="1" ySplit="4" topLeftCell="B5" activePane="bottomRight" state="frozen"/>
      <selection pane="topRight" activeCell="B1" sqref="B1"/>
      <selection pane="bottomLeft" activeCell="A5" sqref="A5"/>
      <selection pane="bottomRight" activeCell="A53" sqref="A53"/>
    </sheetView>
  </sheetViews>
  <sheetFormatPr defaultColWidth="11.44140625" defaultRowHeight="14.4" x14ac:dyDescent="0.3"/>
  <cols>
    <col min="1" max="1" width="64.5546875" style="767" customWidth="1"/>
    <col min="2" max="25" width="12.77734375" style="767" customWidth="1"/>
    <col min="26" max="26" width="12.77734375" style="716" customWidth="1"/>
    <col min="27" max="28" width="12.77734375" style="767" customWidth="1"/>
    <col min="29" max="16384" width="11.44140625" style="767"/>
  </cols>
  <sheetData>
    <row r="1" spans="1:28" s="716" customFormat="1" ht="30" customHeight="1" x14ac:dyDescent="0.3">
      <c r="A1" s="714" t="s">
        <v>372</v>
      </c>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row>
    <row r="2" spans="1:28" s="716" customFormat="1" ht="30" customHeight="1" x14ac:dyDescent="0.3">
      <c r="A2" s="717"/>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row>
    <row r="3" spans="1:28" s="720" customFormat="1" ht="19.95" customHeight="1" thickBot="1" x14ac:dyDescent="0.35">
      <c r="A3" s="718" t="s">
        <v>420</v>
      </c>
      <c r="B3" s="718"/>
      <c r="C3" s="718"/>
      <c r="D3" s="718"/>
      <c r="E3" s="718"/>
      <c r="F3" s="718"/>
      <c r="G3" s="718"/>
      <c r="H3" s="718"/>
      <c r="I3" s="718"/>
      <c r="J3" s="718"/>
      <c r="K3" s="718"/>
      <c r="L3" s="718"/>
      <c r="M3" s="718"/>
      <c r="N3" s="718"/>
      <c r="O3" s="718"/>
      <c r="P3" s="718"/>
      <c r="Q3" s="718"/>
      <c r="R3" s="718"/>
      <c r="S3" s="719"/>
      <c r="T3" s="719"/>
      <c r="U3" s="719"/>
      <c r="V3" s="719"/>
      <c r="W3" s="719"/>
      <c r="X3" s="719"/>
      <c r="Y3" s="719"/>
      <c r="Z3" s="719"/>
      <c r="AA3" s="719"/>
      <c r="AB3" s="719"/>
    </row>
    <row r="4" spans="1:28" s="724" customFormat="1" ht="25.05" customHeight="1" thickBot="1" x14ac:dyDescent="0.35">
      <c r="A4" s="721" t="s">
        <v>260</v>
      </c>
      <c r="B4" s="722">
        <f t="shared" ref="B4:S4" si="0">+C4-1</f>
        <v>1990</v>
      </c>
      <c r="C4" s="722">
        <f t="shared" si="0"/>
        <v>1991</v>
      </c>
      <c r="D4" s="722">
        <f t="shared" si="0"/>
        <v>1992</v>
      </c>
      <c r="E4" s="722">
        <f t="shared" si="0"/>
        <v>1993</v>
      </c>
      <c r="F4" s="722">
        <f t="shared" si="0"/>
        <v>1994</v>
      </c>
      <c r="G4" s="722">
        <f t="shared" si="0"/>
        <v>1995</v>
      </c>
      <c r="H4" s="722">
        <f t="shared" si="0"/>
        <v>1996</v>
      </c>
      <c r="I4" s="722">
        <f t="shared" si="0"/>
        <v>1997</v>
      </c>
      <c r="J4" s="722">
        <f t="shared" si="0"/>
        <v>1998</v>
      </c>
      <c r="K4" s="722">
        <f t="shared" si="0"/>
        <v>1999</v>
      </c>
      <c r="L4" s="722">
        <f t="shared" si="0"/>
        <v>2000</v>
      </c>
      <c r="M4" s="722">
        <f t="shared" si="0"/>
        <v>2001</v>
      </c>
      <c r="N4" s="722">
        <f t="shared" si="0"/>
        <v>2002</v>
      </c>
      <c r="O4" s="722">
        <f t="shared" si="0"/>
        <v>2003</v>
      </c>
      <c r="P4" s="722">
        <f t="shared" si="0"/>
        <v>2004</v>
      </c>
      <c r="Q4" s="722">
        <f t="shared" si="0"/>
        <v>2005</v>
      </c>
      <c r="R4" s="722">
        <f t="shared" si="0"/>
        <v>2006</v>
      </c>
      <c r="S4" s="722">
        <f t="shared" si="0"/>
        <v>2007</v>
      </c>
      <c r="T4" s="722">
        <f>+U4-1</f>
        <v>2008</v>
      </c>
      <c r="U4" s="722">
        <f>+V4-1</f>
        <v>2009</v>
      </c>
      <c r="V4" s="722">
        <v>2010</v>
      </c>
      <c r="W4" s="722">
        <v>2011</v>
      </c>
      <c r="X4" s="722">
        <v>2012</v>
      </c>
      <c r="Y4" s="722">
        <v>2013</v>
      </c>
      <c r="Z4" s="722">
        <v>2014</v>
      </c>
      <c r="AA4" s="722">
        <v>2015</v>
      </c>
      <c r="AB4" s="723">
        <v>2016</v>
      </c>
    </row>
    <row r="5" spans="1:28" s="720" customFormat="1" ht="4.95" customHeight="1" x14ac:dyDescent="0.3">
      <c r="B5" s="725"/>
      <c r="C5" s="725"/>
      <c r="D5" s="725"/>
      <c r="E5" s="725"/>
      <c r="F5" s="725"/>
      <c r="G5" s="725"/>
      <c r="H5" s="725"/>
      <c r="I5" s="725"/>
      <c r="J5" s="725"/>
      <c r="K5" s="725"/>
      <c r="L5" s="725"/>
      <c r="M5" s="725"/>
      <c r="N5" s="725"/>
      <c r="O5" s="725"/>
      <c r="P5" s="725"/>
      <c r="Q5" s="725"/>
      <c r="R5" s="725"/>
      <c r="S5" s="725"/>
      <c r="T5" s="725"/>
      <c r="U5" s="725"/>
      <c r="V5" s="725"/>
      <c r="W5" s="725"/>
      <c r="X5" s="725"/>
      <c r="Y5" s="725"/>
      <c r="Z5" s="725"/>
      <c r="AA5" s="725"/>
      <c r="AB5" s="726"/>
    </row>
    <row r="6" spans="1:28" s="720" customFormat="1" ht="15" customHeight="1" x14ac:dyDescent="0.3">
      <c r="A6" s="727" t="s">
        <v>261</v>
      </c>
      <c r="B6" s="728">
        <f>+SUM(B7:B9)</f>
        <v>48.678220000000003</v>
      </c>
      <c r="C6" s="728">
        <f t="shared" ref="C6:AB6" si="1">+SUM(C7:C9)</f>
        <v>108.471754</v>
      </c>
      <c r="D6" s="728">
        <f t="shared" si="1"/>
        <v>205.97525899999999</v>
      </c>
      <c r="E6" s="728">
        <f t="shared" si="1"/>
        <v>318.63071200000002</v>
      </c>
      <c r="F6" s="728">
        <f t="shared" si="1"/>
        <v>473.75125500000001</v>
      </c>
      <c r="G6" s="728">
        <f t="shared" si="1"/>
        <v>668.38477399999999</v>
      </c>
      <c r="H6" s="728">
        <f t="shared" si="1"/>
        <v>920.14237900000001</v>
      </c>
      <c r="I6" s="728">
        <f t="shared" si="1"/>
        <v>1159.8155380000001</v>
      </c>
      <c r="J6" s="728">
        <f t="shared" si="1"/>
        <v>1324.0682850000001</v>
      </c>
      <c r="K6" s="728">
        <f t="shared" si="1"/>
        <v>1448.539984</v>
      </c>
      <c r="L6" s="728">
        <f t="shared" si="1"/>
        <v>1500.401032</v>
      </c>
      <c r="M6" s="728">
        <f t="shared" si="1"/>
        <v>1531.7003990000001</v>
      </c>
      <c r="N6" s="728">
        <f t="shared" si="1"/>
        <v>1561.934951</v>
      </c>
      <c r="O6" s="728">
        <f t="shared" si="1"/>
        <v>1606.79089</v>
      </c>
      <c r="P6" s="728">
        <f t="shared" si="1"/>
        <v>1693.5513550000001</v>
      </c>
      <c r="Q6" s="728">
        <f t="shared" si="1"/>
        <v>1915.6941529999999</v>
      </c>
      <c r="R6" s="728">
        <f t="shared" si="1"/>
        <v>2162.1280339999998</v>
      </c>
      <c r="S6" s="728">
        <f t="shared" si="1"/>
        <v>2512.2694059999999</v>
      </c>
      <c r="T6" s="728">
        <f t="shared" si="1"/>
        <v>3116.5569720000003</v>
      </c>
      <c r="U6" s="728">
        <f t="shared" si="1"/>
        <v>3741.8721380000002</v>
      </c>
      <c r="V6" s="728">
        <f t="shared" si="1"/>
        <v>4463.8998590000001</v>
      </c>
      <c r="W6" s="728">
        <f t="shared" si="1"/>
        <v>5129.7275419999996</v>
      </c>
      <c r="X6" s="728">
        <f t="shared" si="1"/>
        <v>5805.9593460000006</v>
      </c>
      <c r="Y6" s="728">
        <f t="shared" si="1"/>
        <v>6577.6725970000007</v>
      </c>
      <c r="Z6" s="728">
        <f t="shared" si="1"/>
        <v>7498.1630990000003</v>
      </c>
      <c r="AA6" s="728">
        <f t="shared" si="1"/>
        <v>8425.9658130560638</v>
      </c>
      <c r="AB6" s="729">
        <f t="shared" si="1"/>
        <v>9470.2233111298538</v>
      </c>
    </row>
    <row r="7" spans="1:28" s="720" customFormat="1" ht="15" customHeight="1" x14ac:dyDescent="0.3">
      <c r="A7" s="730" t="s">
        <v>100</v>
      </c>
      <c r="B7" s="731">
        <v>48.678220000000003</v>
      </c>
      <c r="C7" s="731">
        <v>108.471754</v>
      </c>
      <c r="D7" s="731">
        <v>205.97525899999999</v>
      </c>
      <c r="E7" s="731">
        <v>318.63071200000002</v>
      </c>
      <c r="F7" s="731">
        <v>473.75125500000001</v>
      </c>
      <c r="G7" s="731">
        <v>668.38477399999999</v>
      </c>
      <c r="H7" s="731">
        <v>920.14237900000001</v>
      </c>
      <c r="I7" s="731">
        <v>1159.8155380000001</v>
      </c>
      <c r="J7" s="731">
        <v>1324.0682850000001</v>
      </c>
      <c r="K7" s="731">
        <v>1448.539984</v>
      </c>
      <c r="L7" s="731">
        <v>1500.401032</v>
      </c>
      <c r="M7" s="731">
        <v>1531.7003990000001</v>
      </c>
      <c r="N7" s="731">
        <v>1561.934951</v>
      </c>
      <c r="O7" s="731">
        <v>1606.79089</v>
      </c>
      <c r="P7" s="731">
        <v>1693.5513550000001</v>
      </c>
      <c r="Q7" s="731">
        <v>1915.6941529999999</v>
      </c>
      <c r="R7" s="731">
        <v>2162.1280339999998</v>
      </c>
      <c r="S7" s="731">
        <v>2512.2694059999999</v>
      </c>
      <c r="T7" s="731">
        <v>3034.9874570000002</v>
      </c>
      <c r="U7" s="731">
        <v>3613.487627</v>
      </c>
      <c r="V7" s="731">
        <v>4308.4118500000004</v>
      </c>
      <c r="W7" s="731">
        <v>4965.3318989999998</v>
      </c>
      <c r="X7" s="731">
        <v>5585.0154590000002</v>
      </c>
      <c r="Y7" s="731">
        <v>6282.0248270000002</v>
      </c>
      <c r="Z7" s="731">
        <v>7158.3303800000003</v>
      </c>
      <c r="AA7" s="731">
        <v>8029.5044440000001</v>
      </c>
      <c r="AB7" s="732">
        <v>9006.7010313396222</v>
      </c>
    </row>
    <row r="8" spans="1:28" s="720" customFormat="1" ht="15" customHeight="1" x14ac:dyDescent="0.3">
      <c r="A8" s="730" t="s">
        <v>101</v>
      </c>
      <c r="B8" s="731"/>
      <c r="C8" s="731"/>
      <c r="D8" s="731"/>
      <c r="E8" s="731"/>
      <c r="F8" s="731"/>
      <c r="G8" s="731"/>
      <c r="H8" s="731"/>
      <c r="I8" s="731"/>
      <c r="J8" s="731"/>
      <c r="K8" s="731"/>
      <c r="L8" s="731"/>
      <c r="M8" s="731"/>
      <c r="N8" s="731"/>
      <c r="O8" s="731"/>
      <c r="P8" s="731"/>
      <c r="Q8" s="731"/>
      <c r="R8" s="731"/>
      <c r="S8" s="731"/>
      <c r="T8" s="731"/>
      <c r="U8" s="731"/>
      <c r="V8" s="731"/>
      <c r="W8" s="731"/>
      <c r="X8" s="731">
        <v>49.959499999999998</v>
      </c>
      <c r="Y8" s="731">
        <v>112.963165</v>
      </c>
      <c r="Z8" s="731">
        <v>126.832719</v>
      </c>
      <c r="AA8" s="731">
        <v>142.40516905606319</v>
      </c>
      <c r="AB8" s="732">
        <v>159.88959579023083</v>
      </c>
    </row>
    <row r="9" spans="1:28" s="720" customFormat="1" ht="15" customHeight="1" x14ac:dyDescent="0.3">
      <c r="A9" s="730" t="s">
        <v>102</v>
      </c>
      <c r="B9" s="731"/>
      <c r="C9" s="731"/>
      <c r="D9" s="731"/>
      <c r="E9" s="731"/>
      <c r="F9" s="731"/>
      <c r="G9" s="731"/>
      <c r="H9" s="731"/>
      <c r="I9" s="731"/>
      <c r="J9" s="731"/>
      <c r="K9" s="731"/>
      <c r="L9" s="731"/>
      <c r="M9" s="731"/>
      <c r="N9" s="731"/>
      <c r="O9" s="731"/>
      <c r="P9" s="731"/>
      <c r="Q9" s="731"/>
      <c r="R9" s="731"/>
      <c r="S9" s="731"/>
      <c r="T9" s="731">
        <v>81.569514999999996</v>
      </c>
      <c r="U9" s="731">
        <v>128.384511</v>
      </c>
      <c r="V9" s="731">
        <v>155.48800900000001</v>
      </c>
      <c r="W9" s="731">
        <v>164.39564300000001</v>
      </c>
      <c r="X9" s="731">
        <v>170.984387</v>
      </c>
      <c r="Y9" s="731">
        <v>182.684605</v>
      </c>
      <c r="Z9" s="731">
        <v>213</v>
      </c>
      <c r="AA9" s="731">
        <v>254.05619999999999</v>
      </c>
      <c r="AB9" s="732">
        <v>303.63268399999998</v>
      </c>
    </row>
    <row r="10" spans="1:28" s="720" customFormat="1" ht="15" customHeight="1" x14ac:dyDescent="0.3">
      <c r="A10" s="733" t="s">
        <v>262</v>
      </c>
      <c r="B10" s="728">
        <f>+SUM(B11:B13)</f>
        <v>159.52046896109024</v>
      </c>
      <c r="C10" s="728">
        <f t="shared" ref="C10:AB10" si="2">+SUM(C11:C13)</f>
        <v>294.28860275573771</v>
      </c>
      <c r="D10" s="728">
        <f t="shared" si="2"/>
        <v>500.47109618431364</v>
      </c>
      <c r="E10" s="728">
        <f t="shared" si="2"/>
        <v>746.11451937517143</v>
      </c>
      <c r="F10" s="728">
        <f t="shared" si="2"/>
        <v>1056.7193026777686</v>
      </c>
      <c r="G10" s="728">
        <f t="shared" si="2"/>
        <v>1881.4544049232682</v>
      </c>
      <c r="H10" s="728">
        <f t="shared" si="2"/>
        <v>2576.4932373703323</v>
      </c>
      <c r="I10" s="728">
        <f t="shared" si="2"/>
        <v>3142.6643594614993</v>
      </c>
      <c r="J10" s="728">
        <f t="shared" si="2"/>
        <v>3640.2385736302567</v>
      </c>
      <c r="K10" s="728">
        <f t="shared" si="2"/>
        <v>4005.3404912254982</v>
      </c>
      <c r="L10" s="728">
        <f t="shared" si="2"/>
        <v>4306.5711324435888</v>
      </c>
      <c r="M10" s="728">
        <f t="shared" si="2"/>
        <v>4346.1344570187493</v>
      </c>
      <c r="N10" s="728">
        <f t="shared" si="2"/>
        <v>4402.4332169940753</v>
      </c>
      <c r="O10" s="728">
        <f t="shared" si="2"/>
        <v>5149.0772244177178</v>
      </c>
      <c r="P10" s="728">
        <f t="shared" si="2"/>
        <v>5559.633366744747</v>
      </c>
      <c r="Q10" s="728">
        <f t="shared" si="2"/>
        <v>6021.2157951649351</v>
      </c>
      <c r="R10" s="728">
        <f t="shared" si="2"/>
        <v>7468.2074381948214</v>
      </c>
      <c r="S10" s="728">
        <f t="shared" si="2"/>
        <v>8973.0724227765513</v>
      </c>
      <c r="T10" s="728">
        <f t="shared" si="2"/>
        <v>10588.487057043722</v>
      </c>
      <c r="U10" s="728">
        <f t="shared" si="2"/>
        <v>12476.354474705475</v>
      </c>
      <c r="V10" s="728">
        <f t="shared" si="2"/>
        <v>14027.802133931677</v>
      </c>
      <c r="W10" s="728">
        <f t="shared" si="2"/>
        <v>14849.475286660059</v>
      </c>
      <c r="X10" s="728">
        <f t="shared" si="2"/>
        <v>15743.445983515539</v>
      </c>
      <c r="Y10" s="728">
        <f t="shared" si="2"/>
        <v>15911.818057661541</v>
      </c>
      <c r="Z10" s="728">
        <f t="shared" si="2"/>
        <v>16653.596312592515</v>
      </c>
      <c r="AA10" s="728">
        <f t="shared" si="2"/>
        <v>17751.242817136281</v>
      </c>
      <c r="AB10" s="729">
        <f t="shared" si="2"/>
        <v>20152.776861564733</v>
      </c>
    </row>
    <row r="11" spans="1:28" s="720" customFormat="1" ht="15" customHeight="1" x14ac:dyDescent="0.3">
      <c r="A11" s="730" t="s">
        <v>421</v>
      </c>
      <c r="B11" s="731">
        <v>131.321742</v>
      </c>
      <c r="C11" s="731">
        <v>240.66499999999999</v>
      </c>
      <c r="D11" s="731">
        <v>412.16399999999999</v>
      </c>
      <c r="E11" s="731">
        <v>605.428</v>
      </c>
      <c r="F11" s="731">
        <v>825.22299999999996</v>
      </c>
      <c r="G11" s="731">
        <v>1494.9349999999999</v>
      </c>
      <c r="H11" s="731">
        <v>2071.5590000000002</v>
      </c>
      <c r="I11" s="731">
        <v>2527.116</v>
      </c>
      <c r="J11" s="731">
        <v>2911.4920000000002</v>
      </c>
      <c r="K11" s="731">
        <v>3235.9830000000002</v>
      </c>
      <c r="L11" s="731">
        <v>3517.1691000000001</v>
      </c>
      <c r="M11" s="731">
        <v>3516.2446399999999</v>
      </c>
      <c r="N11" s="731">
        <v>3641.0538390000002</v>
      </c>
      <c r="O11" s="731">
        <v>4233.9781329999996</v>
      </c>
      <c r="P11" s="731">
        <v>4605.3274819999997</v>
      </c>
      <c r="Q11" s="731">
        <v>4963.0603300000002</v>
      </c>
      <c r="R11" s="731">
        <v>6255.557159</v>
      </c>
      <c r="S11" s="731">
        <v>7651.2201859999996</v>
      </c>
      <c r="T11" s="731">
        <v>9181.0565900000001</v>
      </c>
      <c r="U11" s="731">
        <v>10873.124841999999</v>
      </c>
      <c r="V11" s="731">
        <v>12170.918556000001</v>
      </c>
      <c r="W11" s="731">
        <v>12914.350245</v>
      </c>
      <c r="X11" s="731">
        <v>13596.813005</v>
      </c>
      <c r="Y11" s="731">
        <v>13814.512264000001</v>
      </c>
      <c r="Z11" s="731">
        <v>14255.895404000001</v>
      </c>
      <c r="AA11" s="731">
        <v>15144.887981</v>
      </c>
      <c r="AB11" s="732">
        <v>17221.761151999999</v>
      </c>
    </row>
    <row r="12" spans="1:28" s="720" customFormat="1" ht="15" customHeight="1" x14ac:dyDescent="0.3">
      <c r="A12" s="730" t="s">
        <v>422</v>
      </c>
      <c r="B12" s="731">
        <v>8.1341152221370319</v>
      </c>
      <c r="C12" s="731">
        <v>18.164278589670314</v>
      </c>
      <c r="D12" s="731">
        <v>37.107124569944936</v>
      </c>
      <c r="E12" s="731">
        <v>68.363187878580888</v>
      </c>
      <c r="F12" s="731">
        <v>117.2973119578309</v>
      </c>
      <c r="G12" s="731">
        <v>197.00235337317906</v>
      </c>
      <c r="H12" s="731">
        <v>279.07387779926114</v>
      </c>
      <c r="I12" s="731">
        <v>344.92705055161355</v>
      </c>
      <c r="J12" s="731">
        <v>428.86844474147904</v>
      </c>
      <c r="K12" s="731">
        <v>476.88306350184706</v>
      </c>
      <c r="L12" s="731">
        <v>508.52858534697145</v>
      </c>
      <c r="M12" s="731">
        <v>483.45852901874952</v>
      </c>
      <c r="N12" s="731">
        <v>458.55537199407541</v>
      </c>
      <c r="O12" s="731">
        <v>550.29893641771798</v>
      </c>
      <c r="P12" s="731">
        <v>561.9177157447474</v>
      </c>
      <c r="Q12" s="731">
        <v>611.0436781649347</v>
      </c>
      <c r="R12" s="731">
        <v>702.62950419482172</v>
      </c>
      <c r="S12" s="731">
        <v>742.10723677655062</v>
      </c>
      <c r="T12" s="731">
        <v>686.19146704372224</v>
      </c>
      <c r="U12" s="731">
        <v>675.80843570547586</v>
      </c>
      <c r="V12" s="731">
        <v>907.0201639316773</v>
      </c>
      <c r="W12" s="731">
        <v>843.63206066006046</v>
      </c>
      <c r="X12" s="731">
        <v>888.65285151553849</v>
      </c>
      <c r="Y12" s="731">
        <v>743.65692366154099</v>
      </c>
      <c r="Z12" s="731">
        <v>962.26398259251619</v>
      </c>
      <c r="AA12" s="731">
        <v>940.16802113628114</v>
      </c>
      <c r="AB12" s="732">
        <v>1018.184988564737</v>
      </c>
    </row>
    <row r="13" spans="1:28" s="720" customFormat="1" ht="15" customHeight="1" x14ac:dyDescent="0.3">
      <c r="A13" s="730" t="s">
        <v>103</v>
      </c>
      <c r="B13" s="731">
        <v>20.064611738953211</v>
      </c>
      <c r="C13" s="731">
        <v>35.459324166067411</v>
      </c>
      <c r="D13" s="731">
        <v>51.199971614368735</v>
      </c>
      <c r="E13" s="731">
        <v>72.323331496590569</v>
      </c>
      <c r="F13" s="731">
        <v>114.19899071993768</v>
      </c>
      <c r="G13" s="731">
        <v>189.51705155008909</v>
      </c>
      <c r="H13" s="731">
        <v>225.86035957107111</v>
      </c>
      <c r="I13" s="731">
        <v>270.62130890988607</v>
      </c>
      <c r="J13" s="731">
        <v>299.87812888877767</v>
      </c>
      <c r="K13" s="731">
        <v>292.47442772365093</v>
      </c>
      <c r="L13" s="731">
        <v>280.87344709661778</v>
      </c>
      <c r="M13" s="731">
        <v>346.431288</v>
      </c>
      <c r="N13" s="731">
        <v>302.824006</v>
      </c>
      <c r="O13" s="731">
        <v>364.80015500000002</v>
      </c>
      <c r="P13" s="731">
        <v>392.388169</v>
      </c>
      <c r="Q13" s="731">
        <v>447.11178699999999</v>
      </c>
      <c r="R13" s="731">
        <v>510.02077500000001</v>
      </c>
      <c r="S13" s="731">
        <v>579.745</v>
      </c>
      <c r="T13" s="731">
        <v>721.23900000000003</v>
      </c>
      <c r="U13" s="731">
        <v>927.42119700000001</v>
      </c>
      <c r="V13" s="731">
        <v>949.86341400000003</v>
      </c>
      <c r="W13" s="731">
        <v>1091.4929810000001</v>
      </c>
      <c r="X13" s="731">
        <v>1257.980127</v>
      </c>
      <c r="Y13" s="731">
        <v>1353.64887</v>
      </c>
      <c r="Z13" s="731">
        <v>1435.4369260000001</v>
      </c>
      <c r="AA13" s="731">
        <v>1666.186815</v>
      </c>
      <c r="AB13" s="732">
        <v>1912.830721</v>
      </c>
    </row>
    <row r="14" spans="1:28" s="720" customFormat="1" ht="15" customHeight="1" x14ac:dyDescent="0.3">
      <c r="A14" s="733" t="s">
        <v>265</v>
      </c>
      <c r="B14" s="734"/>
      <c r="C14" s="734"/>
      <c r="D14" s="734"/>
      <c r="E14" s="734"/>
      <c r="F14" s="734"/>
      <c r="G14" s="734"/>
      <c r="H14" s="734"/>
      <c r="I14" s="734"/>
      <c r="J14" s="734"/>
      <c r="K14" s="734"/>
      <c r="L14" s="734">
        <f t="shared" ref="L14:AB14" si="3">+SUM(L15:L17)</f>
        <v>107.452</v>
      </c>
      <c r="M14" s="734">
        <f t="shared" si="3"/>
        <v>122.23</v>
      </c>
      <c r="N14" s="734">
        <f t="shared" si="3"/>
        <v>181.63200000000001</v>
      </c>
      <c r="O14" s="734">
        <f t="shared" si="3"/>
        <v>240.006</v>
      </c>
      <c r="P14" s="734">
        <f t="shared" si="3"/>
        <v>381.35199999999998</v>
      </c>
      <c r="Q14" s="734">
        <f t="shared" si="3"/>
        <v>1348.6727089999999</v>
      </c>
      <c r="R14" s="734">
        <f t="shared" si="3"/>
        <v>2506.0351380000002</v>
      </c>
      <c r="S14" s="734">
        <f t="shared" si="3"/>
        <v>2553.1705359999996</v>
      </c>
      <c r="T14" s="734">
        <f t="shared" si="3"/>
        <v>2023.2474830000001</v>
      </c>
      <c r="U14" s="734">
        <f t="shared" si="3"/>
        <v>2774.8449849999997</v>
      </c>
      <c r="V14" s="734">
        <f t="shared" si="3"/>
        <v>3271.9803546779558</v>
      </c>
      <c r="W14" s="734">
        <f t="shared" si="3"/>
        <v>3774.3582105704936</v>
      </c>
      <c r="X14" s="734">
        <f t="shared" si="3"/>
        <v>3982.778397447315</v>
      </c>
      <c r="Y14" s="734">
        <f t="shared" si="3"/>
        <v>4255.5441253677855</v>
      </c>
      <c r="Z14" s="734">
        <f t="shared" si="3"/>
        <v>4774.0149388057707</v>
      </c>
      <c r="AA14" s="734">
        <f t="shared" si="3"/>
        <v>5337.5419375189686</v>
      </c>
      <c r="AB14" s="735">
        <f t="shared" si="3"/>
        <v>6259.2988094629327</v>
      </c>
    </row>
    <row r="15" spans="1:28" s="720" customFormat="1" ht="15" customHeight="1" x14ac:dyDescent="0.3">
      <c r="A15" s="730" t="s">
        <v>423</v>
      </c>
      <c r="B15" s="731"/>
      <c r="C15" s="731"/>
      <c r="D15" s="731"/>
      <c r="E15" s="731"/>
      <c r="F15" s="731"/>
      <c r="G15" s="731"/>
      <c r="H15" s="731"/>
      <c r="I15" s="731"/>
      <c r="J15" s="731"/>
      <c r="K15" s="731"/>
      <c r="L15" s="731">
        <v>107.452</v>
      </c>
      <c r="M15" s="731">
        <v>122.23</v>
      </c>
      <c r="N15" s="731">
        <v>181.63200000000001</v>
      </c>
      <c r="O15" s="731">
        <v>240.006</v>
      </c>
      <c r="P15" s="731">
        <v>381.35199999999998</v>
      </c>
      <c r="Q15" s="731">
        <v>555.68799999999999</v>
      </c>
      <c r="R15" s="731">
        <v>612.75800000000004</v>
      </c>
      <c r="S15" s="731">
        <v>674.56200000000001</v>
      </c>
      <c r="T15" s="731">
        <v>1468.0474830000001</v>
      </c>
      <c r="U15" s="731">
        <v>2054.9505479999998</v>
      </c>
      <c r="V15" s="731">
        <v>2424.5525936779559</v>
      </c>
      <c r="W15" s="731">
        <v>2708.3553345704936</v>
      </c>
      <c r="X15" s="731">
        <v>2863.175522447315</v>
      </c>
      <c r="Y15" s="731">
        <v>2953.974785367785</v>
      </c>
      <c r="Z15" s="731">
        <v>3191.4060338057702</v>
      </c>
      <c r="AA15" s="731">
        <v>3496.0030955189686</v>
      </c>
      <c r="AB15" s="732">
        <v>4047.7772354629333</v>
      </c>
    </row>
    <row r="16" spans="1:28" s="720" customFormat="1" ht="15" customHeight="1" x14ac:dyDescent="0.3">
      <c r="A16" s="730" t="s">
        <v>104</v>
      </c>
      <c r="B16" s="731"/>
      <c r="C16" s="731"/>
      <c r="D16" s="731"/>
      <c r="E16" s="731"/>
      <c r="F16" s="731"/>
      <c r="G16" s="731"/>
      <c r="H16" s="731"/>
      <c r="I16" s="731"/>
      <c r="J16" s="731"/>
      <c r="K16" s="731"/>
      <c r="L16" s="731"/>
      <c r="M16" s="731"/>
      <c r="N16" s="731"/>
      <c r="O16" s="731"/>
      <c r="P16" s="731"/>
      <c r="Q16" s="731"/>
      <c r="R16" s="731">
        <v>271.04000000000002</v>
      </c>
      <c r="S16" s="731">
        <v>405</v>
      </c>
      <c r="T16" s="731">
        <v>555.20000000000005</v>
      </c>
      <c r="U16" s="731">
        <v>719.89443700000004</v>
      </c>
      <c r="V16" s="731">
        <v>847.42776100000003</v>
      </c>
      <c r="W16" s="731">
        <v>1066.002876</v>
      </c>
      <c r="X16" s="731">
        <v>1119.602875</v>
      </c>
      <c r="Y16" s="731">
        <v>1301.56934</v>
      </c>
      <c r="Z16" s="731">
        <v>1582.608905</v>
      </c>
      <c r="AA16" s="731">
        <v>1841.5388419999999</v>
      </c>
      <c r="AB16" s="732">
        <v>2211.5215739999999</v>
      </c>
    </row>
    <row r="17" spans="1:29" s="720" customFormat="1" ht="15" customHeight="1" x14ac:dyDescent="0.3">
      <c r="A17" s="730" t="s">
        <v>105</v>
      </c>
      <c r="B17" s="731"/>
      <c r="C17" s="731"/>
      <c r="D17" s="731"/>
      <c r="E17" s="731"/>
      <c r="F17" s="731"/>
      <c r="G17" s="731"/>
      <c r="H17" s="731"/>
      <c r="I17" s="731"/>
      <c r="J17" s="731"/>
      <c r="K17" s="731"/>
      <c r="L17" s="731"/>
      <c r="M17" s="731"/>
      <c r="N17" s="731"/>
      <c r="O17" s="731"/>
      <c r="P17" s="731"/>
      <c r="Q17" s="731">
        <v>792.98470899999995</v>
      </c>
      <c r="R17" s="731">
        <v>1622.237138</v>
      </c>
      <c r="S17" s="731">
        <v>1473.608536</v>
      </c>
      <c r="T17" s="731"/>
      <c r="U17" s="731"/>
      <c r="V17" s="731"/>
      <c r="W17" s="731"/>
      <c r="X17" s="731"/>
      <c r="Y17" s="731"/>
      <c r="Z17" s="731"/>
      <c r="AA17" s="731"/>
      <c r="AB17" s="732"/>
    </row>
    <row r="18" spans="1:29" s="720" customFormat="1" ht="15" customHeight="1" x14ac:dyDescent="0.3">
      <c r="A18" s="733" t="s">
        <v>264</v>
      </c>
      <c r="B18" s="734"/>
      <c r="C18" s="734"/>
      <c r="D18" s="734"/>
      <c r="E18" s="734"/>
      <c r="F18" s="734"/>
      <c r="G18" s="734"/>
      <c r="H18" s="734"/>
      <c r="I18" s="734"/>
      <c r="J18" s="734"/>
      <c r="K18" s="734"/>
      <c r="L18" s="734"/>
      <c r="M18" s="734"/>
      <c r="N18" s="734"/>
      <c r="O18" s="734"/>
      <c r="P18" s="734"/>
      <c r="Q18" s="734">
        <f t="shared" ref="Q18:AB18" si="4">+Q19</f>
        <v>60.835568000000002</v>
      </c>
      <c r="R18" s="734">
        <f t="shared" si="4"/>
        <v>240.16</v>
      </c>
      <c r="S18" s="734">
        <f t="shared" si="4"/>
        <v>249.48738599999999</v>
      </c>
      <c r="T18" s="734">
        <f t="shared" si="4"/>
        <v>184.87094099999999</v>
      </c>
      <c r="U18" s="734">
        <f t="shared" si="4"/>
        <v>268.69901399999998</v>
      </c>
      <c r="V18" s="734">
        <f t="shared" si="4"/>
        <v>210.195652</v>
      </c>
      <c r="W18" s="734">
        <f t="shared" si="4"/>
        <v>260.73868900000002</v>
      </c>
      <c r="X18" s="734">
        <f t="shared" si="4"/>
        <v>260.98788300000001</v>
      </c>
      <c r="Y18" s="734">
        <f t="shared" si="4"/>
        <v>289.99775599999998</v>
      </c>
      <c r="Z18" s="734">
        <f t="shared" si="4"/>
        <v>312.49591400000003</v>
      </c>
      <c r="AA18" s="734">
        <f t="shared" si="4"/>
        <v>365.27145100000001</v>
      </c>
      <c r="AB18" s="735">
        <f t="shared" si="4"/>
        <v>465.11902199999997</v>
      </c>
    </row>
    <row r="19" spans="1:29" s="720" customFormat="1" ht="15" customHeight="1" x14ac:dyDescent="0.3">
      <c r="A19" s="736" t="s">
        <v>106</v>
      </c>
      <c r="B19" s="737"/>
      <c r="C19" s="737"/>
      <c r="D19" s="737"/>
      <c r="E19" s="737"/>
      <c r="F19" s="737"/>
      <c r="G19" s="737"/>
      <c r="H19" s="737"/>
      <c r="I19" s="737"/>
      <c r="J19" s="737"/>
      <c r="K19" s="737"/>
      <c r="L19" s="737"/>
      <c r="M19" s="737"/>
      <c r="N19" s="737"/>
      <c r="O19" s="737"/>
      <c r="P19" s="737"/>
      <c r="Q19" s="737">
        <v>60.835568000000002</v>
      </c>
      <c r="R19" s="737">
        <v>240.16</v>
      </c>
      <c r="S19" s="737">
        <v>249.48738599999999</v>
      </c>
      <c r="T19" s="737">
        <v>184.87094099999999</v>
      </c>
      <c r="U19" s="737">
        <v>268.69901399999998</v>
      </c>
      <c r="V19" s="737">
        <v>210.195652</v>
      </c>
      <c r="W19" s="737">
        <v>260.73868900000002</v>
      </c>
      <c r="X19" s="737">
        <v>260.98788300000001</v>
      </c>
      <c r="Y19" s="737">
        <v>289.99775599999998</v>
      </c>
      <c r="Z19" s="737">
        <v>312.49591400000003</v>
      </c>
      <c r="AA19" s="737">
        <v>365.27145100000001</v>
      </c>
      <c r="AB19" s="738">
        <v>465.11902199999997</v>
      </c>
    </row>
    <row r="20" spans="1:29" s="720" customFormat="1" ht="15" customHeight="1" x14ac:dyDescent="0.3">
      <c r="A20" s="739" t="s">
        <v>307</v>
      </c>
      <c r="B20" s="737">
        <f>+B6+B10+B15+B19</f>
        <v>208.19868896109026</v>
      </c>
      <c r="C20" s="737">
        <f t="shared" ref="C20:AB20" si="5">+C6+C10+C15+C19</f>
        <v>402.76035675573769</v>
      </c>
      <c r="D20" s="737">
        <f t="shared" si="5"/>
        <v>706.44635518431369</v>
      </c>
      <c r="E20" s="737">
        <f t="shared" si="5"/>
        <v>1064.7452313751714</v>
      </c>
      <c r="F20" s="737">
        <f t="shared" si="5"/>
        <v>1530.4705576777687</v>
      </c>
      <c r="G20" s="737">
        <f t="shared" si="5"/>
        <v>2549.8391789232683</v>
      </c>
      <c r="H20" s="737">
        <f t="shared" si="5"/>
        <v>3496.6356163703322</v>
      </c>
      <c r="I20" s="737">
        <f t="shared" si="5"/>
        <v>4302.4798974614996</v>
      </c>
      <c r="J20" s="737">
        <f t="shared" si="5"/>
        <v>4964.306858630257</v>
      </c>
      <c r="K20" s="737">
        <f t="shared" si="5"/>
        <v>5453.8804752254982</v>
      </c>
      <c r="L20" s="737">
        <f t="shared" si="5"/>
        <v>5914.4241644435888</v>
      </c>
      <c r="M20" s="737">
        <f t="shared" si="5"/>
        <v>6000.0648560187492</v>
      </c>
      <c r="N20" s="737">
        <f t="shared" si="5"/>
        <v>6146.0001679940751</v>
      </c>
      <c r="O20" s="737">
        <f t="shared" si="5"/>
        <v>6995.8741144177184</v>
      </c>
      <c r="P20" s="737">
        <f t="shared" si="5"/>
        <v>7634.5367217447465</v>
      </c>
      <c r="Q20" s="737">
        <f t="shared" si="5"/>
        <v>8553.433516164936</v>
      </c>
      <c r="R20" s="737">
        <f t="shared" si="5"/>
        <v>10483.253472194821</v>
      </c>
      <c r="S20" s="737">
        <f t="shared" si="5"/>
        <v>12409.391214776551</v>
      </c>
      <c r="T20" s="737">
        <f t="shared" si="5"/>
        <v>15357.962453043721</v>
      </c>
      <c r="U20" s="737">
        <f t="shared" si="5"/>
        <v>18541.876174705478</v>
      </c>
      <c r="V20" s="737">
        <f t="shared" si="5"/>
        <v>21126.450238609632</v>
      </c>
      <c r="W20" s="737">
        <f t="shared" si="5"/>
        <v>22948.296852230553</v>
      </c>
      <c r="X20" s="737">
        <f t="shared" si="5"/>
        <v>24673.568734962857</v>
      </c>
      <c r="Y20" s="737">
        <f t="shared" si="5"/>
        <v>25733.463196029326</v>
      </c>
      <c r="Z20" s="737">
        <f t="shared" si="5"/>
        <v>27655.661359398287</v>
      </c>
      <c r="AA20" s="737">
        <f t="shared" si="5"/>
        <v>30038.483176711314</v>
      </c>
      <c r="AB20" s="738">
        <f t="shared" si="5"/>
        <v>34135.896430157518</v>
      </c>
      <c r="AC20" s="725"/>
    </row>
    <row r="21" spans="1:29" s="720" customFormat="1" ht="15" customHeight="1" x14ac:dyDescent="0.3">
      <c r="A21" s="740" t="s">
        <v>312</v>
      </c>
      <c r="B21" s="741">
        <f>+B20/B$61</f>
        <v>8.489540646947609E-2</v>
      </c>
      <c r="C21" s="741">
        <f>+C20/C$61</f>
        <v>7.7452526680177644E-2</v>
      </c>
      <c r="D21" s="741">
        <f>+D20/D$61</f>
        <v>7.5429152835857327E-2</v>
      </c>
      <c r="E21" s="741">
        <f>+E20/E$61</f>
        <v>6.8726004747245717E-2</v>
      </c>
      <c r="F21" s="741">
        <f>+F20/F$61</f>
        <v>6.7449725396974067E-2</v>
      </c>
      <c r="G21" s="741">
        <f>+G20/G$61</f>
        <v>7.8395020395728862E-2</v>
      </c>
      <c r="H21" s="741">
        <f>+H20/H$61</f>
        <v>7.9643480789755153E-2</v>
      </c>
      <c r="I21" s="741">
        <f>+I20/I$61</f>
        <v>7.7380657051423926E-2</v>
      </c>
      <c r="J21" s="741">
        <f>+J20/J$61</f>
        <v>7.2156101239711459E-2</v>
      </c>
      <c r="K21" s="741">
        <f>+K20/K$61</f>
        <v>7.1593880116797931E-2</v>
      </c>
      <c r="L21" s="741">
        <f>+L20/L$61</f>
        <v>7.8155903453794889E-2</v>
      </c>
      <c r="M21" s="741">
        <f>+M20/M$61</f>
        <v>7.5517903078662657E-2</v>
      </c>
      <c r="N21" s="741">
        <f>+N20/N$61</f>
        <v>7.3518023475439287E-2</v>
      </c>
      <c r="O21" s="741">
        <f>+O20/O$61</f>
        <v>7.1981711079402835E-2</v>
      </c>
      <c r="P21" s="741">
        <f>+P20/P$61</f>
        <v>7.0073723568881502E-2</v>
      </c>
      <c r="Q21" s="741">
        <f>+Q20/Q$61</f>
        <v>7.3295000122016493E-2</v>
      </c>
      <c r="R21" s="741">
        <f>+R20/R$61</f>
        <v>7.9909862069538248E-2</v>
      </c>
      <c r="S21" s="741">
        <f>+S20/S$61</f>
        <v>8.0334514051268277E-2</v>
      </c>
      <c r="T21" s="741">
        <f>+T20/T$61</f>
        <v>8.9022018089352686E-2</v>
      </c>
      <c r="U21" s="741">
        <f>+U20/U$61</f>
        <v>9.3257452549218217E-2</v>
      </c>
      <c r="V21" s="741">
        <f>+V20/V$61</f>
        <v>9.3334049586028575E-2</v>
      </c>
      <c r="W21" s="741">
        <f>+W20/W$61</f>
        <v>8.9810284701715426E-2</v>
      </c>
      <c r="X21" s="741">
        <f>+X20/X$61</f>
        <v>8.1940511727579129E-2</v>
      </c>
      <c r="Y21" s="741">
        <f>+Y20/Y$61</f>
        <v>7.4122778137987261E-2</v>
      </c>
      <c r="Z21" s="741">
        <f>+Z20/Z$61</f>
        <v>6.9564962145551232E-2</v>
      </c>
      <c r="AA21" s="741">
        <f>+AA20/AA$61</f>
        <v>6.8747007845034416E-2</v>
      </c>
      <c r="AB21" s="742">
        <f>+AB20/AB$61</f>
        <v>6.8242876700232644E-2</v>
      </c>
    </row>
    <row r="22" spans="1:29" s="720" customFormat="1" ht="15" customHeight="1" x14ac:dyDescent="0.3">
      <c r="A22" s="740" t="s">
        <v>271</v>
      </c>
      <c r="B22" s="741">
        <f>+B20/B$62</f>
        <v>0.11404844378357443</v>
      </c>
      <c r="C22" s="741">
        <f>+C20/C$62</f>
        <v>0.10208455851064345</v>
      </c>
      <c r="D22" s="741">
        <f>+D20/D$62</f>
        <v>0.10012903581263238</v>
      </c>
      <c r="E22" s="741">
        <f>+E20/E$62</f>
        <v>9.5357841776311902E-2</v>
      </c>
      <c r="F22" s="741">
        <f>+F20/F$62</f>
        <v>8.5449352600518738E-2</v>
      </c>
      <c r="G22" s="741">
        <f>+G20/G$62</f>
        <v>0.10241449760639817</v>
      </c>
      <c r="H22" s="741">
        <f>+H20/H$62</f>
        <v>0.10408173915668301</v>
      </c>
      <c r="I22" s="741">
        <f>+I20/I$62</f>
        <v>9.650126349932954E-2</v>
      </c>
      <c r="J22" s="741">
        <f>+J20/J$62</f>
        <v>9.6258337182025797E-2</v>
      </c>
      <c r="K22" s="741">
        <f>+K20/K$62</f>
        <v>0.10179642385368347</v>
      </c>
      <c r="L22" s="741">
        <f>+L20/L$62</f>
        <v>0.1049865559489836</v>
      </c>
      <c r="M22" s="741">
        <f>+M20/M$62</f>
        <v>0.10413329499278351</v>
      </c>
      <c r="N22" s="741">
        <f>+N20/N$62</f>
        <v>9.486288389581439E-2</v>
      </c>
      <c r="O22" s="741">
        <f>+O20/O$62</f>
        <v>9.0301405213973202E-2</v>
      </c>
      <c r="P22" s="741">
        <f>+P20/P$62</f>
        <v>9.3431421031977671E-2</v>
      </c>
      <c r="Q22" s="741">
        <f>+Q20/Q$62</f>
        <v>0.10320437104526335</v>
      </c>
      <c r="R22" s="741">
        <f>+R20/R$62</f>
        <v>0.11523931838884843</v>
      </c>
      <c r="S22" s="741">
        <f>+S20/S$62</f>
        <v>0.11016737078777354</v>
      </c>
      <c r="T22" s="741">
        <f>+T20/T$62</f>
        <v>0.11951490767460302</v>
      </c>
      <c r="U22" s="741">
        <f>+U20/U$62</f>
        <v>0.12069762727638633</v>
      </c>
      <c r="V22" s="741">
        <f>+V20/V$62</f>
        <v>0.11115476659424867</v>
      </c>
      <c r="W22" s="741">
        <f>+W20/W$62</f>
        <v>0.10310085161817704</v>
      </c>
      <c r="X22" s="741">
        <f>+X20/X$62</f>
        <v>9.6189249949942796E-2</v>
      </c>
      <c r="Y22" s="741">
        <f>+Y20/Y$62</f>
        <v>8.6901123014600859E-2</v>
      </c>
      <c r="Z22" s="741">
        <f>+Z20/Z$62</f>
        <v>8.051602882981837E-2</v>
      </c>
      <c r="AA22" s="741">
        <f>+AA20/AA$62</f>
        <v>7.9924109177649402E-2</v>
      </c>
      <c r="AB22" s="742">
        <f>+AB20/AB$62</f>
        <v>8.3630316499991059E-2</v>
      </c>
    </row>
    <row r="23" spans="1:29" s="720" customFormat="1" ht="15" customHeight="1" x14ac:dyDescent="0.3">
      <c r="A23" s="740" t="s">
        <v>309</v>
      </c>
      <c r="B23" s="741">
        <f>+B20/B$63</f>
        <v>1.7335363455103312E-2</v>
      </c>
      <c r="C23" s="741">
        <f>+C20/C$63</f>
        <v>1.6129360244681666E-2</v>
      </c>
      <c r="D23" s="741">
        <f>+D20/D$63</f>
        <v>1.6421161873271712E-2</v>
      </c>
      <c r="E23" s="741">
        <f>+E20/E$63</f>
        <v>1.6306190943749334E-2</v>
      </c>
      <c r="F23" s="741">
        <f>+F20/F$63</f>
        <v>1.5722680878495446E-2</v>
      </c>
      <c r="G23" s="741">
        <f>+G20/G$63</f>
        <v>1.8844267559577264E-2</v>
      </c>
      <c r="H23" s="741">
        <f>+H20/H$63</f>
        <v>1.9359203483143041E-2</v>
      </c>
      <c r="I23" s="741">
        <f>+I20/I$63</f>
        <v>1.9010748909367919E-2</v>
      </c>
      <c r="J23" s="741">
        <f>+J20/J$63</f>
        <v>1.8674117413313002E-2</v>
      </c>
      <c r="K23" s="741">
        <f>+K20/K$63</f>
        <v>2.005389549917564E-2</v>
      </c>
      <c r="L23" s="741">
        <f>+L20/L$63</f>
        <v>2.1417257413592652E-2</v>
      </c>
      <c r="M23" s="741">
        <f>+M20/M$63</f>
        <v>2.1555592063506181E-2</v>
      </c>
      <c r="N23" s="741">
        <f>+N20/N$63</f>
        <v>2.1249285992662417E-2</v>
      </c>
      <c r="O23" s="741">
        <f>+O20/O$63</f>
        <v>2.0588720388785887E-2</v>
      </c>
      <c r="P23" s="741">
        <f>+P20/P$63</f>
        <v>1.9433735574651358E-2</v>
      </c>
      <c r="Q23" s="741">
        <f>+Q20/Q$63</f>
        <v>2.0124852353826356E-2</v>
      </c>
      <c r="R23" s="741">
        <f>+R20/R$63</f>
        <v>2.2241188449047752E-2</v>
      </c>
      <c r="S23" s="741">
        <f>+S20/S$63</f>
        <v>2.2584311011493573E-2</v>
      </c>
      <c r="T23" s="741">
        <f>+T20/T$63</f>
        <v>2.4142011350269808E-2</v>
      </c>
      <c r="U23" s="741">
        <f>+U20/U$63</f>
        <v>2.5949989864423057E-2</v>
      </c>
      <c r="V23" s="741">
        <f>+V20/V$63</f>
        <v>2.6144056752658077E-2</v>
      </c>
      <c r="W23" s="741">
        <f>+W20/W$63</f>
        <v>2.4772650315589749E-2</v>
      </c>
      <c r="X23" s="741">
        <f>+X20/X$63</f>
        <v>2.3697002879904276E-2</v>
      </c>
      <c r="Y23" s="741">
        <f>+Y20/Y$63</f>
        <v>2.1838895617715778E-2</v>
      </c>
      <c r="Z23" s="741">
        <f>+Z20/Z$63</f>
        <v>2.0785785483133496E-2</v>
      </c>
      <c r="AA23" s="741">
        <f>+AA20/AA$63</f>
        <v>2.0632977215114711E-2</v>
      </c>
      <c r="AB23" s="742">
        <f>+AB20/AB$63</f>
        <v>2.1589760994417083E-2</v>
      </c>
    </row>
    <row r="24" spans="1:29" s="720" customFormat="1" ht="15" customHeight="1" x14ac:dyDescent="0.3">
      <c r="A24" s="740" t="s">
        <v>310</v>
      </c>
      <c r="B24" s="731"/>
      <c r="C24" s="731"/>
      <c r="D24" s="731"/>
      <c r="E24" s="731"/>
      <c r="F24" s="731"/>
      <c r="G24" s="743">
        <f>+G20/G$64*1000</f>
        <v>3.7184248326578033</v>
      </c>
      <c r="H24" s="743">
        <f>+H20/H$64*1000</f>
        <v>5.2113532246396339</v>
      </c>
      <c r="I24" s="743">
        <f>+I20/I$64*1000</f>
        <v>6.1707036104507322</v>
      </c>
      <c r="J24" s="743">
        <f>+J20/J$64*1000</f>
        <v>8.216452841287369</v>
      </c>
      <c r="K24" s="743">
        <f>+K20/K$64*1000</f>
        <v>9.5372571045300312</v>
      </c>
      <c r="L24" s="743">
        <f>+L20/L$64*1000</f>
        <v>10.332243519565198</v>
      </c>
      <c r="M24" s="743">
        <f>+M20/M$64*1000</f>
        <v>18.543844455971978</v>
      </c>
      <c r="N24" s="743">
        <f>+N20/N$64*1000</f>
        <v>19.105469175082924</v>
      </c>
      <c r="O24" s="743">
        <f>+O20/O$64*1000</f>
        <v>20.89730419452442</v>
      </c>
      <c r="P24" s="743">
        <f>+P20/P$64*1000</f>
        <v>21.258894530952563</v>
      </c>
      <c r="Q24" s="743">
        <f>+Q20/Q$64*1000</f>
        <v>25.336074799288316</v>
      </c>
      <c r="R24" s="743">
        <f>+R20/R$64*1000</f>
        <v>25.434295247579449</v>
      </c>
      <c r="S24" s="743">
        <f>+S20/S$64*1000</f>
        <v>30.277441869282264</v>
      </c>
      <c r="T24" s="743">
        <f>+T20/T$64*1000</f>
        <v>38.585033887087931</v>
      </c>
      <c r="U24" s="743">
        <f>+U20/U$64*1000</f>
        <v>47.02598639251687</v>
      </c>
      <c r="V24" s="743">
        <f>+V20/V$64*1000</f>
        <v>48.90540489416238</v>
      </c>
      <c r="W24" s="743">
        <f>+W20/W$64*1000</f>
        <v>56.687655877255452</v>
      </c>
      <c r="X24" s="743">
        <f>+X20/X$64*1000</f>
        <v>68.354462994924319</v>
      </c>
      <c r="Y24" s="743">
        <f>+Y20/Y$64*1000</f>
        <v>71.243572042472749</v>
      </c>
      <c r="Z24" s="743">
        <f>+Z20/Z$64*1000</f>
        <v>77.464668663057864</v>
      </c>
      <c r="AA24" s="743">
        <f>+AA20/AA$64*1000</f>
        <v>84.976415807744772</v>
      </c>
      <c r="AB24" s="744"/>
    </row>
    <row r="25" spans="1:29" s="720" customFormat="1" ht="15" customHeight="1" x14ac:dyDescent="0.3">
      <c r="A25" s="740" t="s">
        <v>311</v>
      </c>
      <c r="B25" s="745"/>
      <c r="C25" s="745"/>
      <c r="D25" s="745"/>
      <c r="E25" s="745"/>
      <c r="F25" s="745"/>
      <c r="G25" s="746">
        <f>+G24/G$65</f>
        <v>0.53890484327253541</v>
      </c>
      <c r="H25" s="741">
        <f>+H24/H$65</f>
        <v>0.60435328989361348</v>
      </c>
      <c r="I25" s="741">
        <f>+I24/I$65</f>
        <v>0.60691589173894145</v>
      </c>
      <c r="J25" s="741">
        <f>+J24/J$65</f>
        <v>0.70591288569238764</v>
      </c>
      <c r="K25" s="741">
        <f>+K24/K$65</f>
        <v>0.77170576649566835</v>
      </c>
      <c r="L25" s="741">
        <f>+L24/L$65</f>
        <v>0.8122832955633017</v>
      </c>
      <c r="M25" s="741">
        <f>+M24/M$65</f>
        <v>1.4151285451749069</v>
      </c>
      <c r="N25" s="741">
        <f>+N24/N$65</f>
        <v>1.4343445326638831</v>
      </c>
      <c r="O25" s="741">
        <f>+O24/O$65</f>
        <v>1.4885237405038914</v>
      </c>
      <c r="P25" s="741">
        <f>+P24/P$65</f>
        <v>1.3884608409213217</v>
      </c>
      <c r="Q25" s="741">
        <f>+Q24/Q$65</f>
        <v>0.92914791746880199</v>
      </c>
      <c r="R25" s="741">
        <f>+R24/R$65</f>
        <v>0.7546112829437297</v>
      </c>
      <c r="S25" s="741">
        <f>+S24/S$65</f>
        <v>0.79872650431686376</v>
      </c>
      <c r="T25" s="741">
        <f>+T24/T$65</f>
        <v>0.85044995355355391</v>
      </c>
      <c r="U25" s="741">
        <f>+U24/U$65</f>
        <v>0.88242112122864347</v>
      </c>
      <c r="V25" s="741">
        <f>+V24/V$65</f>
        <v>0.8492290910287279</v>
      </c>
      <c r="W25" s="741">
        <f>+W24/W$65</f>
        <v>0.78732855385077016</v>
      </c>
      <c r="X25" s="741">
        <f>+X24/X$65</f>
        <v>0.79113961799680921</v>
      </c>
      <c r="Y25" s="741">
        <f>+Y24/Y$65</f>
        <v>0.74961670920110213</v>
      </c>
      <c r="Z25" s="741">
        <f>+Z24/Z$65</f>
        <v>0.72046752848826145</v>
      </c>
      <c r="AA25" s="741">
        <f>+AA24/AA$65</f>
        <v>0.70813679839787314</v>
      </c>
      <c r="AB25" s="742"/>
    </row>
    <row r="26" spans="1:29" s="720" customFormat="1" ht="15" customHeight="1" thickBot="1" x14ac:dyDescent="0.35">
      <c r="A26" s="130" t="s">
        <v>602</v>
      </c>
      <c r="B26" s="747"/>
      <c r="C26" s="747"/>
      <c r="D26" s="747"/>
      <c r="E26" s="747"/>
      <c r="F26" s="747"/>
      <c r="G26" s="748">
        <f>+G24/G$68</f>
        <v>0.11552684711333895</v>
      </c>
      <c r="H26" s="749">
        <f>+H24/H$68</f>
        <v>0.1268977740821205</v>
      </c>
      <c r="I26" s="749">
        <f>+I24/I$68</f>
        <v>0.12780579475955808</v>
      </c>
      <c r="J26" s="749">
        <f>+J24/J$68</f>
        <v>0.13589508043365309</v>
      </c>
      <c r="K26" s="749">
        <f>+K24/K$68</f>
        <v>0.14481439563526838</v>
      </c>
      <c r="L26" s="749">
        <f>+L24/L$68</f>
        <v>0.16038139250914976</v>
      </c>
      <c r="M26" s="749">
        <f>+M24/M$68</f>
        <v>0.53503532548475297</v>
      </c>
      <c r="N26" s="749">
        <f>+N24/N$68</f>
        <v>0.59841224672688798</v>
      </c>
      <c r="O26" s="749">
        <f>+O24/O$68</f>
        <v>0.6547726649976443</v>
      </c>
      <c r="P26" s="749">
        <f>+P24/P$68</f>
        <v>0.5737451105448157</v>
      </c>
      <c r="Q26" s="749">
        <f>+Q24/Q$68</f>
        <v>0.668417440556067</v>
      </c>
      <c r="R26" s="749">
        <f>+R24/R$68</f>
        <v>0.80589702421267195</v>
      </c>
      <c r="S26" s="749">
        <f>+S24/S$68</f>
        <v>0.67975215643583686</v>
      </c>
      <c r="T26" s="749">
        <f>+T24/T$68</f>
        <v>0.72633222436628064</v>
      </c>
      <c r="U26" s="749">
        <f>+U24/U$68</f>
        <v>0.79333441291249673</v>
      </c>
      <c r="V26" s="749">
        <f>+V24/V$68</f>
        <v>0.68423130870448645</v>
      </c>
      <c r="W26" s="749">
        <f>+W24/W$68</f>
        <v>0.75272564746805115</v>
      </c>
      <c r="X26" s="749">
        <f>+X24/X$68</f>
        <v>0.84242132666862468</v>
      </c>
      <c r="Y26" s="749">
        <f>+Y24/Y$68</f>
        <v>0.77660814848586968</v>
      </c>
      <c r="Z26" s="749">
        <f>+Z24/Z$68</f>
        <v>0.75834786648251507</v>
      </c>
      <c r="AA26" s="749">
        <f>+AA24/AA$68</f>
        <v>0.75456635574641118</v>
      </c>
      <c r="AB26" s="750"/>
    </row>
    <row r="27" spans="1:29" s="720" customFormat="1" ht="15" customHeight="1" x14ac:dyDescent="0.3"/>
    <row r="28" spans="1:29" s="720" customFormat="1" ht="15" customHeight="1" x14ac:dyDescent="0.3"/>
    <row r="29" spans="1:29" s="720" customFormat="1" ht="19.95" customHeight="1" thickBot="1" x14ac:dyDescent="0.35">
      <c r="A29" s="718" t="s">
        <v>424</v>
      </c>
      <c r="B29" s="751"/>
      <c r="C29" s="751"/>
      <c r="D29" s="751"/>
      <c r="E29" s="751"/>
      <c r="F29" s="751"/>
      <c r="G29" s="751"/>
      <c r="H29" s="751"/>
      <c r="I29" s="751"/>
      <c r="J29" s="751"/>
      <c r="K29" s="751"/>
      <c r="L29" s="751"/>
      <c r="M29" s="751"/>
      <c r="N29" s="751"/>
      <c r="O29" s="751"/>
      <c r="P29" s="751"/>
      <c r="Q29" s="751"/>
      <c r="R29" s="751"/>
      <c r="S29" s="719"/>
      <c r="T29" s="719"/>
      <c r="U29" s="719"/>
      <c r="V29" s="719"/>
      <c r="W29" s="719"/>
      <c r="X29" s="719"/>
      <c r="Y29" s="719"/>
      <c r="Z29" s="719"/>
      <c r="AA29" s="719"/>
      <c r="AB29" s="719"/>
    </row>
    <row r="30" spans="1:29" s="720" customFormat="1" ht="25.05" customHeight="1" thickBot="1" x14ac:dyDescent="0.35">
      <c r="A30" s="752" t="s">
        <v>260</v>
      </c>
      <c r="B30" s="722">
        <f t="shared" ref="B30" si="6">+C30-1</f>
        <v>1990</v>
      </c>
      <c r="C30" s="722">
        <f t="shared" ref="C30" si="7">+D30-1</f>
        <v>1991</v>
      </c>
      <c r="D30" s="722">
        <f t="shared" ref="D30" si="8">+E30-1</f>
        <v>1992</v>
      </c>
      <c r="E30" s="722">
        <f t="shared" ref="E30" si="9">+F30-1</f>
        <v>1993</v>
      </c>
      <c r="F30" s="722">
        <f t="shared" ref="F30" si="10">+G30-1</f>
        <v>1994</v>
      </c>
      <c r="G30" s="722">
        <f t="shared" ref="G30" si="11">+H30-1</f>
        <v>1995</v>
      </c>
      <c r="H30" s="722">
        <f t="shared" ref="H30" si="12">+I30-1</f>
        <v>1996</v>
      </c>
      <c r="I30" s="722">
        <f t="shared" ref="I30" si="13">+J30-1</f>
        <v>1997</v>
      </c>
      <c r="J30" s="722">
        <f t="shared" ref="J30" si="14">+K30-1</f>
        <v>1998</v>
      </c>
      <c r="K30" s="722">
        <f t="shared" ref="K30" si="15">+L30-1</f>
        <v>1999</v>
      </c>
      <c r="L30" s="722">
        <f t="shared" ref="L30" si="16">+M30-1</f>
        <v>2000</v>
      </c>
      <c r="M30" s="722">
        <f t="shared" ref="M30" si="17">+N30-1</f>
        <v>2001</v>
      </c>
      <c r="N30" s="722">
        <f t="shared" ref="N30" si="18">+O30-1</f>
        <v>2002</v>
      </c>
      <c r="O30" s="722">
        <f t="shared" ref="O30" si="19">+P30-1</f>
        <v>2003</v>
      </c>
      <c r="P30" s="722">
        <f t="shared" ref="P30" si="20">+Q30-1</f>
        <v>2004</v>
      </c>
      <c r="Q30" s="722">
        <f t="shared" ref="Q30" si="21">+R30-1</f>
        <v>2005</v>
      </c>
      <c r="R30" s="722">
        <f t="shared" ref="R30" si="22">+S30-1</f>
        <v>2006</v>
      </c>
      <c r="S30" s="753">
        <f t="shared" ref="S30" si="23">+T30-1</f>
        <v>2007</v>
      </c>
      <c r="T30" s="753">
        <f>+U30-1</f>
        <v>2008</v>
      </c>
      <c r="U30" s="722">
        <f>+V30-1</f>
        <v>2009</v>
      </c>
      <c r="V30" s="722">
        <v>2010</v>
      </c>
      <c r="W30" s="722">
        <v>2011</v>
      </c>
      <c r="X30" s="722">
        <v>2012</v>
      </c>
      <c r="Y30" s="722">
        <v>2013</v>
      </c>
      <c r="Z30" s="722">
        <v>2014</v>
      </c>
      <c r="AA30" s="722">
        <v>2015</v>
      </c>
      <c r="AB30" s="723">
        <v>2016</v>
      </c>
    </row>
    <row r="31" spans="1:29" s="720" customFormat="1" ht="4.95" customHeight="1" x14ac:dyDescent="0.3">
      <c r="B31" s="725"/>
      <c r="C31" s="725"/>
      <c r="D31" s="725"/>
      <c r="E31" s="725"/>
      <c r="F31" s="725"/>
      <c r="G31" s="725"/>
      <c r="H31" s="725"/>
      <c r="I31" s="725"/>
      <c r="J31" s="725"/>
      <c r="K31" s="725"/>
      <c r="L31" s="725"/>
      <c r="M31" s="725"/>
      <c r="N31" s="725"/>
      <c r="O31" s="725"/>
      <c r="P31" s="725"/>
      <c r="Q31" s="725"/>
      <c r="R31" s="725"/>
      <c r="S31" s="725"/>
      <c r="T31" s="725"/>
      <c r="U31" s="725"/>
      <c r="V31" s="725"/>
      <c r="W31" s="725"/>
      <c r="X31" s="725"/>
      <c r="Y31" s="725"/>
      <c r="Z31" s="725"/>
      <c r="AA31" s="725"/>
      <c r="AB31" s="754"/>
    </row>
    <row r="32" spans="1:29" s="720" customFormat="1" ht="15" customHeight="1" x14ac:dyDescent="0.3">
      <c r="A32" s="727" t="s">
        <v>261</v>
      </c>
      <c r="B32" s="728">
        <f>+SUM(B33:B35)</f>
        <v>48.678220000000003</v>
      </c>
      <c r="C32" s="728">
        <f t="shared" ref="C32:AB32" si="24">+SUM(C33:C35)</f>
        <v>108.471754</v>
      </c>
      <c r="D32" s="728">
        <f t="shared" si="24"/>
        <v>205.97525899999999</v>
      </c>
      <c r="E32" s="728">
        <f t="shared" si="24"/>
        <v>318.63071200000002</v>
      </c>
      <c r="F32" s="728">
        <f t="shared" si="24"/>
        <v>473.75125500000001</v>
      </c>
      <c r="G32" s="728">
        <f t="shared" si="24"/>
        <v>668.38477399999999</v>
      </c>
      <c r="H32" s="728">
        <f t="shared" si="24"/>
        <v>920.14237900000001</v>
      </c>
      <c r="I32" s="728">
        <f t="shared" si="24"/>
        <v>1159.8155380000001</v>
      </c>
      <c r="J32" s="728">
        <f t="shared" si="24"/>
        <v>1324.0682850000001</v>
      </c>
      <c r="K32" s="728">
        <f t="shared" si="24"/>
        <v>1448.539984</v>
      </c>
      <c r="L32" s="728">
        <f t="shared" si="24"/>
        <v>1500.401032</v>
      </c>
      <c r="M32" s="728">
        <f t="shared" si="24"/>
        <v>1531.7003990000001</v>
      </c>
      <c r="N32" s="728">
        <f t="shared" si="24"/>
        <v>1561.934951</v>
      </c>
      <c r="O32" s="728">
        <f t="shared" si="24"/>
        <v>1606.79089</v>
      </c>
      <c r="P32" s="728">
        <f t="shared" si="24"/>
        <v>1693.5513550000001</v>
      </c>
      <c r="Q32" s="728">
        <f t="shared" si="24"/>
        <v>1915.6941529999999</v>
      </c>
      <c r="R32" s="728">
        <f t="shared" si="24"/>
        <v>2162.1280339999998</v>
      </c>
      <c r="S32" s="728">
        <f t="shared" si="24"/>
        <v>2512.2694059999999</v>
      </c>
      <c r="T32" s="728">
        <f t="shared" si="24"/>
        <v>3116.5569720000003</v>
      </c>
      <c r="U32" s="728">
        <f t="shared" si="24"/>
        <v>3741.8721380000002</v>
      </c>
      <c r="V32" s="728">
        <f t="shared" si="24"/>
        <v>4463.8998590000001</v>
      </c>
      <c r="W32" s="728">
        <f t="shared" si="24"/>
        <v>5129.7275419999996</v>
      </c>
      <c r="X32" s="728">
        <f t="shared" si="24"/>
        <v>5805.9593460000006</v>
      </c>
      <c r="Y32" s="728">
        <f t="shared" si="24"/>
        <v>6577.6725970000007</v>
      </c>
      <c r="Z32" s="728">
        <f t="shared" si="24"/>
        <v>7498.1630990000003</v>
      </c>
      <c r="AA32" s="728">
        <f t="shared" si="24"/>
        <v>8425.9658130560638</v>
      </c>
      <c r="AB32" s="729">
        <f t="shared" si="24"/>
        <v>9470.2233111298538</v>
      </c>
    </row>
    <row r="33" spans="1:29" s="720" customFormat="1" ht="15" customHeight="1" x14ac:dyDescent="0.3">
      <c r="A33" s="730" t="s">
        <v>100</v>
      </c>
      <c r="B33" s="731">
        <v>48.678220000000003</v>
      </c>
      <c r="C33" s="731">
        <v>108.471754</v>
      </c>
      <c r="D33" s="731">
        <v>205.97525899999999</v>
      </c>
      <c r="E33" s="731">
        <v>318.63071200000002</v>
      </c>
      <c r="F33" s="731">
        <v>473.75125500000001</v>
      </c>
      <c r="G33" s="731">
        <v>668.38477399999999</v>
      </c>
      <c r="H33" s="731">
        <v>920.14237900000001</v>
      </c>
      <c r="I33" s="731">
        <v>1159.8155380000001</v>
      </c>
      <c r="J33" s="731">
        <v>1324.0682850000001</v>
      </c>
      <c r="K33" s="731">
        <v>1448.539984</v>
      </c>
      <c r="L33" s="731">
        <v>1500.401032</v>
      </c>
      <c r="M33" s="731">
        <v>1531.7003990000001</v>
      </c>
      <c r="N33" s="731">
        <v>1561.934951</v>
      </c>
      <c r="O33" s="731">
        <v>1606.79089</v>
      </c>
      <c r="P33" s="731">
        <v>1693.5513550000001</v>
      </c>
      <c r="Q33" s="731">
        <v>1915.6941529999999</v>
      </c>
      <c r="R33" s="731">
        <v>2162.1280339999998</v>
      </c>
      <c r="S33" s="731">
        <v>2512.2694059999999</v>
      </c>
      <c r="T33" s="731">
        <v>3034.9874570000002</v>
      </c>
      <c r="U33" s="731">
        <v>3613.487627</v>
      </c>
      <c r="V33" s="731">
        <v>4308.4118500000004</v>
      </c>
      <c r="W33" s="731">
        <v>4965.3318989999998</v>
      </c>
      <c r="X33" s="731">
        <v>5585.0154590000002</v>
      </c>
      <c r="Y33" s="731">
        <v>6282.0248270000002</v>
      </c>
      <c r="Z33" s="731">
        <v>7158.3303800000003</v>
      </c>
      <c r="AA33" s="731">
        <v>8029.5044440000001</v>
      </c>
      <c r="AB33" s="732">
        <v>9006.7010313396222</v>
      </c>
    </row>
    <row r="34" spans="1:29" s="720" customFormat="1" ht="15" customHeight="1" x14ac:dyDescent="0.3">
      <c r="A34" s="730" t="s">
        <v>101</v>
      </c>
      <c r="B34" s="731"/>
      <c r="C34" s="731"/>
      <c r="D34" s="731"/>
      <c r="E34" s="731"/>
      <c r="F34" s="731"/>
      <c r="G34" s="731"/>
      <c r="H34" s="731"/>
      <c r="I34" s="731"/>
      <c r="J34" s="731"/>
      <c r="K34" s="731"/>
      <c r="L34" s="731"/>
      <c r="M34" s="731"/>
      <c r="N34" s="731"/>
      <c r="O34" s="731"/>
      <c r="P34" s="731"/>
      <c r="Q34" s="731"/>
      <c r="R34" s="731"/>
      <c r="S34" s="731"/>
      <c r="T34" s="731"/>
      <c r="U34" s="731"/>
      <c r="V34" s="731"/>
      <c r="W34" s="731"/>
      <c r="X34" s="731">
        <v>49.959499999999998</v>
      </c>
      <c r="Y34" s="731">
        <v>112.963165</v>
      </c>
      <c r="Z34" s="731">
        <v>126.832719</v>
      </c>
      <c r="AA34" s="731">
        <v>142.40516905606319</v>
      </c>
      <c r="AB34" s="732">
        <v>159.88959579023083</v>
      </c>
    </row>
    <row r="35" spans="1:29" s="720" customFormat="1" ht="15" customHeight="1" x14ac:dyDescent="0.3">
      <c r="A35" s="730" t="s">
        <v>102</v>
      </c>
      <c r="B35" s="731"/>
      <c r="C35" s="731"/>
      <c r="D35" s="731"/>
      <c r="E35" s="731"/>
      <c r="F35" s="731"/>
      <c r="G35" s="731"/>
      <c r="H35" s="731"/>
      <c r="I35" s="731"/>
      <c r="J35" s="731"/>
      <c r="K35" s="731"/>
      <c r="L35" s="731"/>
      <c r="M35" s="731"/>
      <c r="N35" s="731"/>
      <c r="O35" s="731"/>
      <c r="P35" s="731"/>
      <c r="Q35" s="731"/>
      <c r="R35" s="731"/>
      <c r="S35" s="731"/>
      <c r="T35" s="731">
        <v>81.569514999999996</v>
      </c>
      <c r="U35" s="731">
        <v>128.384511</v>
      </c>
      <c r="V35" s="731">
        <v>155.48800900000001</v>
      </c>
      <c r="W35" s="731">
        <v>164.39564300000001</v>
      </c>
      <c r="X35" s="731">
        <v>170.984387</v>
      </c>
      <c r="Y35" s="731">
        <v>182.684605</v>
      </c>
      <c r="Z35" s="731">
        <v>213</v>
      </c>
      <c r="AA35" s="731">
        <v>254.05619999999999</v>
      </c>
      <c r="AB35" s="732">
        <v>303.63268399999998</v>
      </c>
    </row>
    <row r="36" spans="1:29" s="720" customFormat="1" ht="15" customHeight="1" x14ac:dyDescent="0.3">
      <c r="A36" s="733" t="s">
        <v>262</v>
      </c>
      <c r="B36" s="728">
        <f>+SUM(B37:B39)</f>
        <v>159.52046896109024</v>
      </c>
      <c r="C36" s="728">
        <f t="shared" ref="C36:AB36" si="25">+SUM(C37:C39)</f>
        <v>294.28860275573771</v>
      </c>
      <c r="D36" s="728">
        <f t="shared" si="25"/>
        <v>500.47109618431364</v>
      </c>
      <c r="E36" s="728">
        <f t="shared" si="25"/>
        <v>746.11451937517143</v>
      </c>
      <c r="F36" s="728">
        <f t="shared" si="25"/>
        <v>1056.7193026777686</v>
      </c>
      <c r="G36" s="728">
        <f t="shared" si="25"/>
        <v>1881.4544049232682</v>
      </c>
      <c r="H36" s="728">
        <f t="shared" si="25"/>
        <v>2576.4932373703323</v>
      </c>
      <c r="I36" s="728">
        <f t="shared" si="25"/>
        <v>3142.6643594614993</v>
      </c>
      <c r="J36" s="728">
        <f t="shared" si="25"/>
        <v>3640.2385736302567</v>
      </c>
      <c r="K36" s="728">
        <f t="shared" si="25"/>
        <v>4005.3404912254982</v>
      </c>
      <c r="L36" s="728">
        <f t="shared" si="25"/>
        <v>4306.5711324435888</v>
      </c>
      <c r="M36" s="728">
        <f t="shared" si="25"/>
        <v>4346.1344570187493</v>
      </c>
      <c r="N36" s="728">
        <f t="shared" si="25"/>
        <v>4402.4332169940753</v>
      </c>
      <c r="O36" s="728">
        <f t="shared" si="25"/>
        <v>5149.0772244177178</v>
      </c>
      <c r="P36" s="728">
        <f t="shared" si="25"/>
        <v>5559.633366744747</v>
      </c>
      <c r="Q36" s="728">
        <f t="shared" si="25"/>
        <v>6021.2157951649351</v>
      </c>
      <c r="R36" s="728">
        <f t="shared" si="25"/>
        <v>7468.2074381948214</v>
      </c>
      <c r="S36" s="728">
        <f t="shared" si="25"/>
        <v>8973.0724227765513</v>
      </c>
      <c r="T36" s="728">
        <f t="shared" si="25"/>
        <v>10588.487057043722</v>
      </c>
      <c r="U36" s="728">
        <f t="shared" si="25"/>
        <v>12476.354474705475</v>
      </c>
      <c r="V36" s="728">
        <f t="shared" si="25"/>
        <v>14027.802133931677</v>
      </c>
      <c r="W36" s="728">
        <f t="shared" si="25"/>
        <v>14849.475286660059</v>
      </c>
      <c r="X36" s="728">
        <f t="shared" si="25"/>
        <v>15743.445983515539</v>
      </c>
      <c r="Y36" s="728">
        <f t="shared" si="25"/>
        <v>15911.818057661541</v>
      </c>
      <c r="Z36" s="728">
        <f t="shared" si="25"/>
        <v>16653.596312592515</v>
      </c>
      <c r="AA36" s="728">
        <f t="shared" si="25"/>
        <v>17751.242817136281</v>
      </c>
      <c r="AB36" s="729">
        <f t="shared" si="25"/>
        <v>20152.776861564733</v>
      </c>
    </row>
    <row r="37" spans="1:29" s="720" customFormat="1" ht="15" customHeight="1" x14ac:dyDescent="0.3">
      <c r="A37" s="730" t="s">
        <v>421</v>
      </c>
      <c r="B37" s="731">
        <v>131.321742</v>
      </c>
      <c r="C37" s="731">
        <v>240.66499999999999</v>
      </c>
      <c r="D37" s="731">
        <v>412.16399999999999</v>
      </c>
      <c r="E37" s="731">
        <v>605.428</v>
      </c>
      <c r="F37" s="731">
        <v>825.22299999999996</v>
      </c>
      <c r="G37" s="731">
        <v>1494.9349999999999</v>
      </c>
      <c r="H37" s="731">
        <v>2071.5590000000002</v>
      </c>
      <c r="I37" s="731">
        <v>2527.116</v>
      </c>
      <c r="J37" s="731">
        <v>2911.4920000000002</v>
      </c>
      <c r="K37" s="731">
        <v>3235.9830000000002</v>
      </c>
      <c r="L37" s="731">
        <v>3517.1691000000001</v>
      </c>
      <c r="M37" s="731">
        <v>3516.2446399999999</v>
      </c>
      <c r="N37" s="731">
        <v>3641.0538390000002</v>
      </c>
      <c r="O37" s="731">
        <v>4233.9781329999996</v>
      </c>
      <c r="P37" s="731">
        <v>4605.3274819999997</v>
      </c>
      <c r="Q37" s="731">
        <v>4963.0603300000002</v>
      </c>
      <c r="R37" s="731">
        <v>6255.557159</v>
      </c>
      <c r="S37" s="731">
        <v>7651.2201859999996</v>
      </c>
      <c r="T37" s="731">
        <v>9181.0565900000001</v>
      </c>
      <c r="U37" s="731">
        <v>10873.124841999999</v>
      </c>
      <c r="V37" s="731">
        <v>12170.918556000001</v>
      </c>
      <c r="W37" s="731">
        <v>12914.350245</v>
      </c>
      <c r="X37" s="731">
        <v>13596.813005</v>
      </c>
      <c r="Y37" s="731">
        <v>13814.512264000001</v>
      </c>
      <c r="Z37" s="731">
        <v>14255.895404000001</v>
      </c>
      <c r="AA37" s="731">
        <v>15144.887981</v>
      </c>
      <c r="AB37" s="732">
        <v>17221.761151999999</v>
      </c>
    </row>
    <row r="38" spans="1:29" s="720" customFormat="1" ht="15" customHeight="1" x14ac:dyDescent="0.3">
      <c r="A38" s="730" t="s">
        <v>422</v>
      </c>
      <c r="B38" s="731">
        <v>8.1341152221370319</v>
      </c>
      <c r="C38" s="731">
        <v>18.164278589670314</v>
      </c>
      <c r="D38" s="731">
        <v>37.107124569944936</v>
      </c>
      <c r="E38" s="731">
        <v>68.363187878580888</v>
      </c>
      <c r="F38" s="731">
        <v>117.2973119578309</v>
      </c>
      <c r="G38" s="731">
        <v>197.00235337317906</v>
      </c>
      <c r="H38" s="731">
        <v>279.07387779926114</v>
      </c>
      <c r="I38" s="731">
        <v>344.92705055161355</v>
      </c>
      <c r="J38" s="731">
        <v>428.86844474147904</v>
      </c>
      <c r="K38" s="731">
        <v>476.88306350184706</v>
      </c>
      <c r="L38" s="731">
        <v>508.52858534697145</v>
      </c>
      <c r="M38" s="731">
        <v>483.45852901874952</v>
      </c>
      <c r="N38" s="731">
        <v>458.55537199407541</v>
      </c>
      <c r="O38" s="731">
        <v>550.29893641771798</v>
      </c>
      <c r="P38" s="731">
        <v>561.9177157447474</v>
      </c>
      <c r="Q38" s="731">
        <v>611.0436781649347</v>
      </c>
      <c r="R38" s="731">
        <v>702.62950419482172</v>
      </c>
      <c r="S38" s="731">
        <v>742.10723677655062</v>
      </c>
      <c r="T38" s="731">
        <v>686.19146704372224</v>
      </c>
      <c r="U38" s="731">
        <v>675.80843570547586</v>
      </c>
      <c r="V38" s="731">
        <v>907.0201639316773</v>
      </c>
      <c r="W38" s="731">
        <v>843.63206066006046</v>
      </c>
      <c r="X38" s="731">
        <v>888.65285151553849</v>
      </c>
      <c r="Y38" s="731">
        <v>743.65692366154099</v>
      </c>
      <c r="Z38" s="731">
        <v>962.26398259251619</v>
      </c>
      <c r="AA38" s="731">
        <v>940.16802113628114</v>
      </c>
      <c r="AB38" s="732">
        <v>1018.184988564737</v>
      </c>
    </row>
    <row r="39" spans="1:29" s="720" customFormat="1" ht="15" customHeight="1" x14ac:dyDescent="0.3">
      <c r="A39" s="730" t="s">
        <v>103</v>
      </c>
      <c r="B39" s="731">
        <v>20.064611738953211</v>
      </c>
      <c r="C39" s="731">
        <v>35.459324166067411</v>
      </c>
      <c r="D39" s="731">
        <v>51.199971614368735</v>
      </c>
      <c r="E39" s="731">
        <v>72.323331496590569</v>
      </c>
      <c r="F39" s="731">
        <v>114.19899071993768</v>
      </c>
      <c r="G39" s="731">
        <v>189.51705155008909</v>
      </c>
      <c r="H39" s="731">
        <v>225.86035957107111</v>
      </c>
      <c r="I39" s="731">
        <v>270.62130890988607</v>
      </c>
      <c r="J39" s="731">
        <v>299.87812888877767</v>
      </c>
      <c r="K39" s="731">
        <v>292.47442772365093</v>
      </c>
      <c r="L39" s="731">
        <v>280.87344709661778</v>
      </c>
      <c r="M39" s="731">
        <v>346.431288</v>
      </c>
      <c r="N39" s="731">
        <v>302.824006</v>
      </c>
      <c r="O39" s="731">
        <v>364.80015500000002</v>
      </c>
      <c r="P39" s="731">
        <v>392.388169</v>
      </c>
      <c r="Q39" s="731">
        <v>447.11178699999999</v>
      </c>
      <c r="R39" s="731">
        <v>510.02077500000001</v>
      </c>
      <c r="S39" s="731">
        <v>579.745</v>
      </c>
      <c r="T39" s="731">
        <v>721.23900000000003</v>
      </c>
      <c r="U39" s="731">
        <v>927.42119700000001</v>
      </c>
      <c r="V39" s="731">
        <v>949.86341400000003</v>
      </c>
      <c r="W39" s="731">
        <v>1091.4929810000001</v>
      </c>
      <c r="X39" s="731">
        <v>1257.980127</v>
      </c>
      <c r="Y39" s="731">
        <v>1353.64887</v>
      </c>
      <c r="Z39" s="731">
        <v>1435.4369260000001</v>
      </c>
      <c r="AA39" s="731">
        <v>1666.186815</v>
      </c>
      <c r="AB39" s="732">
        <v>1912.830721</v>
      </c>
    </row>
    <row r="40" spans="1:29" s="720" customFormat="1" ht="15" customHeight="1" x14ac:dyDescent="0.3">
      <c r="A40" s="733" t="s">
        <v>265</v>
      </c>
      <c r="B40" s="734"/>
      <c r="C40" s="734"/>
      <c r="D40" s="734"/>
      <c r="E40" s="734"/>
      <c r="F40" s="734"/>
      <c r="G40" s="734"/>
      <c r="H40" s="734"/>
      <c r="I40" s="734"/>
      <c r="J40" s="734"/>
      <c r="K40" s="734"/>
      <c r="L40" s="734">
        <f t="shared" ref="L40:AB40" si="26">+SUM(L41:L43)</f>
        <v>107.452</v>
      </c>
      <c r="M40" s="734">
        <f t="shared" si="26"/>
        <v>122.23</v>
      </c>
      <c r="N40" s="734">
        <f t="shared" si="26"/>
        <v>181.63200000000001</v>
      </c>
      <c r="O40" s="734">
        <f t="shared" si="26"/>
        <v>240.006</v>
      </c>
      <c r="P40" s="734">
        <f t="shared" si="26"/>
        <v>381.35199999999998</v>
      </c>
      <c r="Q40" s="734">
        <f t="shared" si="26"/>
        <v>1348.6727089999999</v>
      </c>
      <c r="R40" s="734">
        <f t="shared" si="26"/>
        <v>2506.0351380000002</v>
      </c>
      <c r="S40" s="734">
        <f t="shared" si="26"/>
        <v>2553.1705359999996</v>
      </c>
      <c r="T40" s="734">
        <f t="shared" si="26"/>
        <v>2023.2474830000001</v>
      </c>
      <c r="U40" s="734">
        <f t="shared" si="26"/>
        <v>2774.8449849999997</v>
      </c>
      <c r="V40" s="734">
        <f t="shared" si="26"/>
        <v>3271.9803546779558</v>
      </c>
      <c r="W40" s="734">
        <f t="shared" si="26"/>
        <v>3774.3582105704936</v>
      </c>
      <c r="X40" s="734">
        <f t="shared" si="26"/>
        <v>3982.778397447315</v>
      </c>
      <c r="Y40" s="734">
        <f t="shared" si="26"/>
        <v>4255.5441253677855</v>
      </c>
      <c r="Z40" s="734">
        <f t="shared" si="26"/>
        <v>4774.0149388057707</v>
      </c>
      <c r="AA40" s="734">
        <f t="shared" si="26"/>
        <v>5337.5419375189686</v>
      </c>
      <c r="AB40" s="735">
        <f t="shared" si="26"/>
        <v>6259.2988094629327</v>
      </c>
    </row>
    <row r="41" spans="1:29" s="720" customFormat="1" ht="15" customHeight="1" x14ac:dyDescent="0.3">
      <c r="A41" s="730" t="s">
        <v>423</v>
      </c>
      <c r="B41" s="731"/>
      <c r="C41" s="731"/>
      <c r="D41" s="731"/>
      <c r="E41" s="731"/>
      <c r="F41" s="731"/>
      <c r="G41" s="731"/>
      <c r="H41" s="731"/>
      <c r="I41" s="731"/>
      <c r="J41" s="731"/>
      <c r="K41" s="731"/>
      <c r="L41" s="731">
        <v>107.452</v>
      </c>
      <c r="M41" s="731">
        <v>122.23</v>
      </c>
      <c r="N41" s="731">
        <v>181.63200000000001</v>
      </c>
      <c r="O41" s="731">
        <v>240.006</v>
      </c>
      <c r="P41" s="731">
        <v>381.35199999999998</v>
      </c>
      <c r="Q41" s="731">
        <v>555.68799999999999</v>
      </c>
      <c r="R41" s="731">
        <v>612.75800000000004</v>
      </c>
      <c r="S41" s="731">
        <v>674.56200000000001</v>
      </c>
      <c r="T41" s="731">
        <v>1468.0474830000001</v>
      </c>
      <c r="U41" s="731">
        <v>2054.9505479999998</v>
      </c>
      <c r="V41" s="731">
        <v>2424.5525936779559</v>
      </c>
      <c r="W41" s="731">
        <v>2708.3553345704936</v>
      </c>
      <c r="X41" s="731">
        <v>2863.175522447315</v>
      </c>
      <c r="Y41" s="731">
        <v>2953.974785367785</v>
      </c>
      <c r="Z41" s="731">
        <v>3191.4060338057702</v>
      </c>
      <c r="AA41" s="731">
        <v>3496.0030955189686</v>
      </c>
      <c r="AB41" s="732">
        <v>4047.7772354629333</v>
      </c>
    </row>
    <row r="42" spans="1:29" s="720" customFormat="1" ht="15" customHeight="1" x14ac:dyDescent="0.3">
      <c r="A42" s="822" t="s">
        <v>597</v>
      </c>
      <c r="B42" s="731"/>
      <c r="C42" s="731"/>
      <c r="D42" s="731"/>
      <c r="E42" s="731"/>
      <c r="F42" s="731"/>
      <c r="G42" s="731"/>
      <c r="H42" s="731"/>
      <c r="I42" s="731"/>
      <c r="J42" s="731"/>
      <c r="K42" s="731"/>
      <c r="L42" s="731"/>
      <c r="M42" s="731"/>
      <c r="N42" s="731"/>
      <c r="O42" s="731"/>
      <c r="P42" s="731"/>
      <c r="Q42" s="731"/>
      <c r="R42" s="731">
        <v>271.04000000000002</v>
      </c>
      <c r="S42" s="731">
        <v>405</v>
      </c>
      <c r="T42" s="731">
        <v>555.20000000000005</v>
      </c>
      <c r="U42" s="731">
        <v>719.89443700000004</v>
      </c>
      <c r="V42" s="731">
        <v>847.42776100000003</v>
      </c>
      <c r="W42" s="731">
        <v>1066.002876</v>
      </c>
      <c r="X42" s="731">
        <v>1119.602875</v>
      </c>
      <c r="Y42" s="731">
        <v>1301.56934</v>
      </c>
      <c r="Z42" s="731">
        <v>1582.608905</v>
      </c>
      <c r="AA42" s="731">
        <v>1841.5388419999999</v>
      </c>
      <c r="AB42" s="732">
        <v>2211.5215739999999</v>
      </c>
    </row>
    <row r="43" spans="1:29" s="720" customFormat="1" ht="15" customHeight="1" x14ac:dyDescent="0.3">
      <c r="A43" s="730" t="s">
        <v>105</v>
      </c>
      <c r="B43" s="731"/>
      <c r="C43" s="731"/>
      <c r="D43" s="731"/>
      <c r="E43" s="731"/>
      <c r="F43" s="731"/>
      <c r="G43" s="731"/>
      <c r="H43" s="731"/>
      <c r="I43" s="731"/>
      <c r="J43" s="731"/>
      <c r="K43" s="731"/>
      <c r="L43" s="731"/>
      <c r="M43" s="731"/>
      <c r="N43" s="731"/>
      <c r="O43" s="731"/>
      <c r="P43" s="731"/>
      <c r="Q43" s="731">
        <v>792.98470899999995</v>
      </c>
      <c r="R43" s="731">
        <v>1622.237138</v>
      </c>
      <c r="S43" s="731">
        <v>1473.608536</v>
      </c>
      <c r="T43" s="731"/>
      <c r="U43" s="731"/>
      <c r="V43" s="731"/>
      <c r="W43" s="731"/>
      <c r="X43" s="731"/>
      <c r="Y43" s="731"/>
      <c r="Z43" s="731"/>
      <c r="AA43" s="731"/>
      <c r="AB43" s="732"/>
    </row>
    <row r="44" spans="1:29" s="720" customFormat="1" ht="15" customHeight="1" x14ac:dyDescent="0.3">
      <c r="A44" s="733" t="s">
        <v>264</v>
      </c>
      <c r="B44" s="734"/>
      <c r="C44" s="734"/>
      <c r="D44" s="734"/>
      <c r="E44" s="734"/>
      <c r="F44" s="734"/>
      <c r="G44" s="734"/>
      <c r="H44" s="734"/>
      <c r="I44" s="734"/>
      <c r="J44" s="734"/>
      <c r="K44" s="734"/>
      <c r="L44" s="734"/>
      <c r="M44" s="734"/>
      <c r="N44" s="734"/>
      <c r="O44" s="734"/>
      <c r="P44" s="734"/>
      <c r="Q44" s="734">
        <f t="shared" ref="Q44:AB44" si="27">+Q45</f>
        <v>60.835568000000002</v>
      </c>
      <c r="R44" s="734">
        <f t="shared" si="27"/>
        <v>240.16</v>
      </c>
      <c r="S44" s="734">
        <f t="shared" si="27"/>
        <v>249.48738599999999</v>
      </c>
      <c r="T44" s="734">
        <f t="shared" si="27"/>
        <v>184.87094099999999</v>
      </c>
      <c r="U44" s="734">
        <f t="shared" si="27"/>
        <v>268.69901399999998</v>
      </c>
      <c r="V44" s="734">
        <f t="shared" si="27"/>
        <v>210.195652</v>
      </c>
      <c r="W44" s="734">
        <f t="shared" si="27"/>
        <v>260.73868900000002</v>
      </c>
      <c r="X44" s="734">
        <f t="shared" si="27"/>
        <v>260.98788300000001</v>
      </c>
      <c r="Y44" s="734">
        <f t="shared" si="27"/>
        <v>289.99775599999998</v>
      </c>
      <c r="Z44" s="734">
        <f t="shared" si="27"/>
        <v>312.49591400000003</v>
      </c>
      <c r="AA44" s="734">
        <f t="shared" si="27"/>
        <v>365.27145100000001</v>
      </c>
      <c r="AB44" s="735">
        <f t="shared" si="27"/>
        <v>465.11902199999997</v>
      </c>
    </row>
    <row r="45" spans="1:29" s="720" customFormat="1" ht="15" customHeight="1" x14ac:dyDescent="0.3">
      <c r="A45" s="736" t="s">
        <v>106</v>
      </c>
      <c r="B45" s="737"/>
      <c r="C45" s="737"/>
      <c r="D45" s="737"/>
      <c r="E45" s="737"/>
      <c r="F45" s="737"/>
      <c r="G45" s="737"/>
      <c r="H45" s="737"/>
      <c r="I45" s="737"/>
      <c r="J45" s="737"/>
      <c r="K45" s="737"/>
      <c r="L45" s="737"/>
      <c r="M45" s="737"/>
      <c r="N45" s="737"/>
      <c r="O45" s="737"/>
      <c r="P45" s="737"/>
      <c r="Q45" s="737">
        <v>60.835568000000002</v>
      </c>
      <c r="R45" s="737">
        <v>240.16</v>
      </c>
      <c r="S45" s="737">
        <v>249.48738599999999</v>
      </c>
      <c r="T45" s="737">
        <v>184.87094099999999</v>
      </c>
      <c r="U45" s="737">
        <v>268.69901399999998</v>
      </c>
      <c r="V45" s="737">
        <v>210.195652</v>
      </c>
      <c r="W45" s="737">
        <v>260.73868900000002</v>
      </c>
      <c r="X45" s="737">
        <v>260.98788300000001</v>
      </c>
      <c r="Y45" s="737">
        <v>289.99775599999998</v>
      </c>
      <c r="Z45" s="737">
        <v>312.49591400000003</v>
      </c>
      <c r="AA45" s="737">
        <v>365.27145100000001</v>
      </c>
      <c r="AB45" s="738">
        <v>465.11902199999997</v>
      </c>
    </row>
    <row r="46" spans="1:29" s="720" customFormat="1" ht="15" customHeight="1" x14ac:dyDescent="0.3">
      <c r="A46" s="739" t="s">
        <v>308</v>
      </c>
      <c r="B46" s="755">
        <f t="shared" ref="B46:AB46" si="28">+B32+B36+B40+B44</f>
        <v>208.19868896109026</v>
      </c>
      <c r="C46" s="755">
        <f t="shared" si="28"/>
        <v>402.76035675573769</v>
      </c>
      <c r="D46" s="755">
        <f t="shared" si="28"/>
        <v>706.44635518431369</v>
      </c>
      <c r="E46" s="755">
        <f t="shared" si="28"/>
        <v>1064.7452313751714</v>
      </c>
      <c r="F46" s="755">
        <f t="shared" si="28"/>
        <v>1530.4705576777687</v>
      </c>
      <c r="G46" s="755">
        <f t="shared" si="28"/>
        <v>2549.8391789232683</v>
      </c>
      <c r="H46" s="755">
        <f t="shared" si="28"/>
        <v>3496.6356163703322</v>
      </c>
      <c r="I46" s="755">
        <f t="shared" si="28"/>
        <v>4302.4798974614996</v>
      </c>
      <c r="J46" s="755">
        <f t="shared" si="28"/>
        <v>4964.306858630257</v>
      </c>
      <c r="K46" s="755">
        <f t="shared" si="28"/>
        <v>5453.8804752254982</v>
      </c>
      <c r="L46" s="755">
        <f t="shared" si="28"/>
        <v>5914.4241644435888</v>
      </c>
      <c r="M46" s="755">
        <f t="shared" si="28"/>
        <v>6000.0648560187492</v>
      </c>
      <c r="N46" s="755">
        <f t="shared" si="28"/>
        <v>6146.0001679940751</v>
      </c>
      <c r="O46" s="755">
        <f t="shared" si="28"/>
        <v>6995.8741144177184</v>
      </c>
      <c r="P46" s="755">
        <f t="shared" si="28"/>
        <v>7634.5367217447465</v>
      </c>
      <c r="Q46" s="755">
        <f t="shared" si="28"/>
        <v>9346.4182251649363</v>
      </c>
      <c r="R46" s="755">
        <f t="shared" si="28"/>
        <v>12376.530610194823</v>
      </c>
      <c r="S46" s="755">
        <f t="shared" si="28"/>
        <v>14287.999750776551</v>
      </c>
      <c r="T46" s="755">
        <f t="shared" si="28"/>
        <v>15913.16245304372</v>
      </c>
      <c r="U46" s="755">
        <f t="shared" si="28"/>
        <v>19261.770611705477</v>
      </c>
      <c r="V46" s="755">
        <f t="shared" si="28"/>
        <v>21973.877999609631</v>
      </c>
      <c r="W46" s="755">
        <f t="shared" si="28"/>
        <v>24014.299728230555</v>
      </c>
      <c r="X46" s="755">
        <f t="shared" si="28"/>
        <v>25793.171609962854</v>
      </c>
      <c r="Y46" s="755">
        <f t="shared" si="28"/>
        <v>27035.032536029328</v>
      </c>
      <c r="Z46" s="755">
        <f t="shared" si="28"/>
        <v>29238.270264398285</v>
      </c>
      <c r="AA46" s="755">
        <f t="shared" si="28"/>
        <v>31880.022018711315</v>
      </c>
      <c r="AB46" s="756">
        <f t="shared" si="28"/>
        <v>36347.418004157516</v>
      </c>
      <c r="AC46" s="725"/>
    </row>
    <row r="47" spans="1:29" s="720" customFormat="1" ht="15" customHeight="1" x14ac:dyDescent="0.3">
      <c r="A47" s="740" t="s">
        <v>319</v>
      </c>
      <c r="B47" s="746">
        <f>+B46/B$61</f>
        <v>8.489540646947609E-2</v>
      </c>
      <c r="C47" s="741">
        <f>+C46/C$61</f>
        <v>7.7452526680177644E-2</v>
      </c>
      <c r="D47" s="741">
        <f>+D46/D$61</f>
        <v>7.5429152835857327E-2</v>
      </c>
      <c r="E47" s="741">
        <f>+E46/E$61</f>
        <v>6.8726004747245717E-2</v>
      </c>
      <c r="F47" s="741">
        <f>+F46/F$61</f>
        <v>6.7449725396974067E-2</v>
      </c>
      <c r="G47" s="741">
        <f>+G46/G$61</f>
        <v>7.8395020395728862E-2</v>
      </c>
      <c r="H47" s="741">
        <f>+H46/H$61</f>
        <v>7.9643480789755153E-2</v>
      </c>
      <c r="I47" s="741">
        <f>+I46/I$61</f>
        <v>7.7380657051423926E-2</v>
      </c>
      <c r="J47" s="741">
        <f>+J46/J$61</f>
        <v>7.2156101239711459E-2</v>
      </c>
      <c r="K47" s="741">
        <f>+K46/K$61</f>
        <v>7.1593880116797931E-2</v>
      </c>
      <c r="L47" s="741">
        <f>+L46/L$61</f>
        <v>7.8155903453794889E-2</v>
      </c>
      <c r="M47" s="741">
        <f>+M46/M$61</f>
        <v>7.5517903078662657E-2</v>
      </c>
      <c r="N47" s="741">
        <f>+N46/N$61</f>
        <v>7.3518023475439287E-2</v>
      </c>
      <c r="O47" s="741">
        <f>+O46/O$61</f>
        <v>7.1981711079402835E-2</v>
      </c>
      <c r="P47" s="741">
        <f>+P46/P$61</f>
        <v>7.0073723568881502E-2</v>
      </c>
      <c r="Q47" s="741">
        <f>+Q46/Q$61</f>
        <v>8.0090144344867942E-2</v>
      </c>
      <c r="R47" s="741">
        <f>+R46/R$61</f>
        <v>9.4341595057609862E-2</v>
      </c>
      <c r="S47" s="741">
        <f>+S46/S$61</f>
        <v>9.2496037628058983E-2</v>
      </c>
      <c r="T47" s="741">
        <f>+T46/T$61</f>
        <v>9.2240220021693867E-2</v>
      </c>
      <c r="U47" s="741">
        <f>+U46/U$61</f>
        <v>9.6878203797172227E-2</v>
      </c>
      <c r="V47" s="741">
        <f>+V46/V$61</f>
        <v>9.7077880838910002E-2</v>
      </c>
      <c r="W47" s="741">
        <f>+W46/W$61</f>
        <v>9.3982185666867099E-2</v>
      </c>
      <c r="X47" s="741">
        <f>+X46/X$61</f>
        <v>8.5658694269173538E-2</v>
      </c>
      <c r="Y47" s="741">
        <f>+Y46/Y$61</f>
        <v>7.7871824066438625E-2</v>
      </c>
      <c r="Z47" s="741">
        <f>+Z46/Z$61</f>
        <v>7.3545851524286832E-2</v>
      </c>
      <c r="AA47" s="741">
        <f>+AA46/AA$61</f>
        <v>7.296161097506404E-2</v>
      </c>
      <c r="AB47" s="742">
        <f>+AB46/AB$61</f>
        <v>7.2664046491486611E-2</v>
      </c>
    </row>
    <row r="48" spans="1:29" s="720" customFormat="1" ht="15" customHeight="1" x14ac:dyDescent="0.3">
      <c r="A48" s="740" t="s">
        <v>316</v>
      </c>
      <c r="B48" s="746">
        <f>+B46/B$62</f>
        <v>0.11404844378357443</v>
      </c>
      <c r="C48" s="741">
        <f>+C46/C$62</f>
        <v>0.10208455851064345</v>
      </c>
      <c r="D48" s="741">
        <f>+D46/D$62</f>
        <v>0.10012903581263238</v>
      </c>
      <c r="E48" s="741">
        <f>+E46/E$62</f>
        <v>9.5357841776311902E-2</v>
      </c>
      <c r="F48" s="741">
        <f>+F46/F$62</f>
        <v>8.5449352600518738E-2</v>
      </c>
      <c r="G48" s="741">
        <f>+G46/G$62</f>
        <v>0.10241449760639817</v>
      </c>
      <c r="H48" s="741">
        <f>+H46/H$62</f>
        <v>0.10408173915668301</v>
      </c>
      <c r="I48" s="741">
        <f>+I46/I$62</f>
        <v>9.650126349932954E-2</v>
      </c>
      <c r="J48" s="741">
        <f>+J46/J$62</f>
        <v>9.6258337182025797E-2</v>
      </c>
      <c r="K48" s="741">
        <f>+K46/K$62</f>
        <v>0.10179642385368347</v>
      </c>
      <c r="L48" s="741">
        <f>+L46/L$62</f>
        <v>0.1049865559489836</v>
      </c>
      <c r="M48" s="741">
        <f>+M46/M$62</f>
        <v>0.10413329499278351</v>
      </c>
      <c r="N48" s="741">
        <f>+N46/N$62</f>
        <v>9.486288389581439E-2</v>
      </c>
      <c r="O48" s="741">
        <f>+O46/O$62</f>
        <v>9.0301405213973202E-2</v>
      </c>
      <c r="P48" s="741">
        <f>+P46/P$62</f>
        <v>9.3431421031977671E-2</v>
      </c>
      <c r="Q48" s="741">
        <f>+Q46/Q$62</f>
        <v>0.11277239866670796</v>
      </c>
      <c r="R48" s="741">
        <f>+R46/R$62</f>
        <v>0.13605155644862615</v>
      </c>
      <c r="S48" s="741">
        <f>+S46/S$62</f>
        <v>0.12684517226639466</v>
      </c>
      <c r="T48" s="741">
        <f>+T46/T$62</f>
        <v>0.12383544673984791</v>
      </c>
      <c r="U48" s="741">
        <f>+U46/U$62</f>
        <v>0.12538375232741558</v>
      </c>
      <c r="V48" s="741">
        <f>+V46/V$62</f>
        <v>0.11561342547520419</v>
      </c>
      <c r="W48" s="741">
        <f>+W46/W$62</f>
        <v>0.10789013097301263</v>
      </c>
      <c r="X48" s="741">
        <f>+X46/X$62</f>
        <v>0.10055399191106192</v>
      </c>
      <c r="Y48" s="741">
        <f>+Y46/Y$62</f>
        <v>9.1296483113074714E-2</v>
      </c>
      <c r="Z48" s="741">
        <f>+Z46/Z$62</f>
        <v>8.5123598418025082E-2</v>
      </c>
      <c r="AA48" s="741">
        <f>+AA46/AA$62</f>
        <v>8.4823935530299613E-2</v>
      </c>
      <c r="AB48" s="742">
        <f>+AB46/AB$62</f>
        <v>8.9048373985564616E-2</v>
      </c>
    </row>
    <row r="49" spans="1:28" s="720" customFormat="1" ht="15" customHeight="1" x14ac:dyDescent="0.3">
      <c r="A49" s="740" t="s">
        <v>317</v>
      </c>
      <c r="B49" s="746">
        <f>+B46/B$63</f>
        <v>1.7335363455103312E-2</v>
      </c>
      <c r="C49" s="741">
        <f>+C46/C$63</f>
        <v>1.6129360244681666E-2</v>
      </c>
      <c r="D49" s="741">
        <f>+D46/D$63</f>
        <v>1.6421161873271712E-2</v>
      </c>
      <c r="E49" s="741">
        <f>+E46/E$63</f>
        <v>1.6306190943749334E-2</v>
      </c>
      <c r="F49" s="741">
        <f>+F46/F$63</f>
        <v>1.5722680878495446E-2</v>
      </c>
      <c r="G49" s="741">
        <f>+G46/G$63</f>
        <v>1.8844267559577264E-2</v>
      </c>
      <c r="H49" s="741">
        <f>+H46/H$63</f>
        <v>1.9359203483143041E-2</v>
      </c>
      <c r="I49" s="741">
        <f>+I46/I$63</f>
        <v>1.9010748909367919E-2</v>
      </c>
      <c r="J49" s="741">
        <f>+J46/J$63</f>
        <v>1.8674117413313002E-2</v>
      </c>
      <c r="K49" s="741">
        <f>+K46/K$63</f>
        <v>2.005389549917564E-2</v>
      </c>
      <c r="L49" s="741">
        <f>+L46/L$63</f>
        <v>2.1417257413592652E-2</v>
      </c>
      <c r="M49" s="741">
        <f>+M46/M$63</f>
        <v>2.1555592063506181E-2</v>
      </c>
      <c r="N49" s="741">
        <f>+N46/N$63</f>
        <v>2.1249285992662417E-2</v>
      </c>
      <c r="O49" s="741">
        <f>+O46/O$63</f>
        <v>2.0588720388785887E-2</v>
      </c>
      <c r="P49" s="741">
        <f>+P46/P$63</f>
        <v>1.9433735574651358E-2</v>
      </c>
      <c r="Q49" s="741">
        <f>+Q46/Q$63</f>
        <v>2.1990617740008055E-2</v>
      </c>
      <c r="R49" s="741">
        <f>+R46/R$63</f>
        <v>2.625795039458485E-2</v>
      </c>
      <c r="S49" s="741">
        <f>+S46/S$63</f>
        <v>2.6003260314610904E-2</v>
      </c>
      <c r="T49" s="741">
        <f>+T46/T$63</f>
        <v>2.5014760241449274E-2</v>
      </c>
      <c r="U49" s="741">
        <f>+U46/U$63</f>
        <v>2.695750675039435E-2</v>
      </c>
      <c r="V49" s="741">
        <f>+V46/V$63</f>
        <v>2.7192751598556619E-2</v>
      </c>
      <c r="W49" s="741">
        <f>+W46/W$63</f>
        <v>2.5923398741610492E-2</v>
      </c>
      <c r="X49" s="741">
        <f>+X46/X$63</f>
        <v>2.4772292508178795E-2</v>
      </c>
      <c r="Y49" s="741">
        <f>+Y46/Y$63</f>
        <v>2.2943482153113204E-2</v>
      </c>
      <c r="Z49" s="741">
        <f>+Z46/Z$63</f>
        <v>2.1975262341977362E-2</v>
      </c>
      <c r="AA49" s="741">
        <f>+AA46/AA$63</f>
        <v>2.1897902236268682E-2</v>
      </c>
      <c r="AB49" s="742">
        <f>+AB46/AB$63</f>
        <v>2.2988471068264019E-2</v>
      </c>
    </row>
    <row r="50" spans="1:28" s="720" customFormat="1" ht="15" customHeight="1" x14ac:dyDescent="0.3">
      <c r="A50" s="740" t="s">
        <v>318</v>
      </c>
      <c r="B50" s="731"/>
      <c r="C50" s="731"/>
      <c r="D50" s="731"/>
      <c r="E50" s="731"/>
      <c r="F50" s="731"/>
      <c r="G50" s="746">
        <f>+G46/G$64</f>
        <v>3.7184248326578035E-3</v>
      </c>
      <c r="H50" s="757">
        <f>+H46/H$64</f>
        <v>5.2113532246396343E-3</v>
      </c>
      <c r="I50" s="757">
        <f>+I46/I$64</f>
        <v>6.1707036104507321E-3</v>
      </c>
      <c r="J50" s="757">
        <f>+J46/J$64</f>
        <v>8.2164528412873687E-3</v>
      </c>
      <c r="K50" s="757">
        <f>+K46/K$64</f>
        <v>9.5372571045300308E-3</v>
      </c>
      <c r="L50" s="757">
        <f>+L46/L$64</f>
        <v>1.0332243519565198E-2</v>
      </c>
      <c r="M50" s="757">
        <f>+M46/M$64</f>
        <v>1.8543844455971979E-2</v>
      </c>
      <c r="N50" s="757">
        <f>+N46/N$64</f>
        <v>1.9105469175082924E-2</v>
      </c>
      <c r="O50" s="757">
        <f>+O46/O$64</f>
        <v>2.0897304194524419E-2</v>
      </c>
      <c r="P50" s="757">
        <f>+P46/P$64</f>
        <v>2.1258894530952564E-2</v>
      </c>
      <c r="Q50" s="757">
        <f>+Q46/Q$64</f>
        <v>2.768497011295927E-2</v>
      </c>
      <c r="R50" s="757">
        <f>+R46/R$64</f>
        <v>3.0027732756374367E-2</v>
      </c>
      <c r="S50" s="757">
        <f>+S46/S$64</f>
        <v>3.4861023751699499E-2</v>
      </c>
      <c r="T50" s="757">
        <f>+T46/T$64</f>
        <v>3.997990712496758E-2</v>
      </c>
      <c r="U50" s="757">
        <f>+U46/U$64</f>
        <v>4.8851785771146815E-2</v>
      </c>
      <c r="V50" s="757">
        <f>+V46/V$64</f>
        <v>5.0867106803483518E-2</v>
      </c>
      <c r="W50" s="757">
        <f>+W46/W$64</f>
        <v>5.9320932088905085E-2</v>
      </c>
      <c r="X50" s="757">
        <f>+X46/X$64</f>
        <v>7.1456156718692543E-2</v>
      </c>
      <c r="Y50" s="757">
        <f>+Y46/Y$64</f>
        <v>7.4846990996858639E-2</v>
      </c>
      <c r="Z50" s="757">
        <f>+Z46/Z$64</f>
        <v>8.1897622655943206E-2</v>
      </c>
      <c r="AA50" s="757">
        <f>+AA46/AA$64</f>
        <v>9.0185978802098249E-2</v>
      </c>
      <c r="AB50" s="758"/>
    </row>
    <row r="51" spans="1:28" s="720" customFormat="1" ht="15" customHeight="1" x14ac:dyDescent="0.3">
      <c r="A51" s="740" t="s">
        <v>338</v>
      </c>
      <c r="B51" s="745"/>
      <c r="C51" s="745"/>
      <c r="D51" s="745"/>
      <c r="E51" s="745"/>
      <c r="F51" s="745"/>
      <c r="G51" s="746">
        <f>+G50/G$65</f>
        <v>5.3890484327253545E-4</v>
      </c>
      <c r="H51" s="741">
        <f>+H50/H$65</f>
        <v>6.0435328989361353E-4</v>
      </c>
      <c r="I51" s="741">
        <f>+I50/I$65</f>
        <v>6.0691589173894145E-4</v>
      </c>
      <c r="J51" s="741">
        <f>+J50/J$65</f>
        <v>7.0591288569238754E-4</v>
      </c>
      <c r="K51" s="741">
        <f>+K50/K$65</f>
        <v>7.7170576649566829E-4</v>
      </c>
      <c r="L51" s="741">
        <f>+L50/L$65</f>
        <v>8.1228329556330171E-4</v>
      </c>
      <c r="M51" s="741">
        <f>+M50/M$65</f>
        <v>1.4151285451749068E-3</v>
      </c>
      <c r="N51" s="741">
        <f>+N50/N$65</f>
        <v>1.4343445326638832E-3</v>
      </c>
      <c r="O51" s="741">
        <f>+O50/O$65</f>
        <v>1.4885237405038913E-3</v>
      </c>
      <c r="P51" s="741">
        <f>+P50/P$65</f>
        <v>1.3884608409213217E-3</v>
      </c>
      <c r="Q51" s="741">
        <f>+Q50/Q$65</f>
        <v>1.0152887741855219E-3</v>
      </c>
      <c r="R51" s="741">
        <f>+R50/R$65</f>
        <v>8.9089419300248046E-4</v>
      </c>
      <c r="S51" s="741">
        <f>+S50/S$65</f>
        <v>9.1964254306277566E-4</v>
      </c>
      <c r="T51" s="741">
        <f>+T50/T$65</f>
        <v>8.811942541504964E-4</v>
      </c>
      <c r="U51" s="741">
        <f>+U50/U$65</f>
        <v>9.1668141130276238E-4</v>
      </c>
      <c r="V51" s="741">
        <f>+V50/V$65</f>
        <v>8.8329351259782449E-4</v>
      </c>
      <c r="W51" s="741">
        <f>+W50/W$65</f>
        <v>8.2390183456812613E-4</v>
      </c>
      <c r="X51" s="741">
        <f>+X50/X$65</f>
        <v>8.2703885091079332E-4</v>
      </c>
      <c r="Y51" s="741">
        <f>+Y50/Y$65</f>
        <v>7.8753147092654283E-4</v>
      </c>
      <c r="Z51" s="741">
        <f>+Z50/Z$65</f>
        <v>7.6169663928518606E-4</v>
      </c>
      <c r="AA51" s="741">
        <f>+AA50/AA$65</f>
        <v>7.5154982335081874E-4</v>
      </c>
      <c r="AB51" s="742"/>
    </row>
    <row r="52" spans="1:28" s="720" customFormat="1" ht="15" customHeight="1" thickBot="1" x14ac:dyDescent="0.35">
      <c r="A52" s="130" t="s">
        <v>603</v>
      </c>
      <c r="B52" s="747"/>
      <c r="C52" s="747"/>
      <c r="D52" s="747"/>
      <c r="E52" s="747"/>
      <c r="F52" s="747"/>
      <c r="G52" s="748">
        <f>+G50/G$68</f>
        <v>1.1552684711333895E-4</v>
      </c>
      <c r="H52" s="749">
        <f>+H50/H$68</f>
        <v>1.2689777408212051E-4</v>
      </c>
      <c r="I52" s="749">
        <f>+I50/I$68</f>
        <v>1.2780579475955806E-4</v>
      </c>
      <c r="J52" s="749">
        <f>+J50/J$68</f>
        <v>1.3589508043365309E-4</v>
      </c>
      <c r="K52" s="749">
        <f>+K50/K$68</f>
        <v>1.4481439563526839E-4</v>
      </c>
      <c r="L52" s="749">
        <f>+L50/L$68</f>
        <v>1.6038139250914974E-4</v>
      </c>
      <c r="M52" s="749">
        <f>+M50/M$68</f>
        <v>5.3503532548475298E-4</v>
      </c>
      <c r="N52" s="749">
        <f>+N50/N$68</f>
        <v>5.9841224672688804E-4</v>
      </c>
      <c r="O52" s="749">
        <f>+O50/O$68</f>
        <v>6.5477266499764438E-4</v>
      </c>
      <c r="P52" s="749">
        <f>+P50/P$68</f>
        <v>5.7374511054481567E-4</v>
      </c>
      <c r="Q52" s="749">
        <f>+Q50/Q$68</f>
        <v>7.3038610011110514E-4</v>
      </c>
      <c r="R52" s="749">
        <f>+R50/R$68</f>
        <v>9.5144214678087016E-4</v>
      </c>
      <c r="S52" s="749">
        <f>+S50/S$68</f>
        <v>7.82657140358351E-4</v>
      </c>
      <c r="T52" s="749">
        <f>+T50/T$68</f>
        <v>7.5258959100597041E-4</v>
      </c>
      <c r="U52" s="749">
        <f>+U50/U$68</f>
        <v>8.2413588225438981E-4</v>
      </c>
      <c r="V52" s="749">
        <f>+V50/V$68</f>
        <v>7.1167731119864245E-4</v>
      </c>
      <c r="W52" s="749">
        <f>+W50/W$68</f>
        <v>7.8769154102463176E-4</v>
      </c>
      <c r="X52" s="749">
        <f>+X50/X$68</f>
        <v>8.8064754961313964E-4</v>
      </c>
      <c r="Y52" s="749">
        <f>+Y50/Y$68</f>
        <v>8.1588810655305064E-4</v>
      </c>
      <c r="Z52" s="749">
        <f>+Z50/Z$68</f>
        <v>8.0174469836392362E-4</v>
      </c>
      <c r="AA52" s="749">
        <f>+AA50/AA$68</f>
        <v>8.0082579051210284E-4</v>
      </c>
      <c r="AB52" s="750"/>
    </row>
    <row r="53" spans="1:28" s="720" customFormat="1" ht="15" customHeight="1" x14ac:dyDescent="0.3">
      <c r="A53" s="759" t="s">
        <v>378</v>
      </c>
      <c r="B53" s="760"/>
      <c r="C53" s="760"/>
      <c r="D53" s="760"/>
      <c r="E53" s="760"/>
      <c r="F53" s="760"/>
      <c r="G53" s="760"/>
      <c r="H53" s="760"/>
      <c r="I53" s="760"/>
      <c r="J53" s="760"/>
      <c r="K53" s="760"/>
      <c r="L53" s="760"/>
      <c r="M53" s="760"/>
      <c r="N53" s="760"/>
      <c r="O53" s="760"/>
      <c r="P53" s="760"/>
      <c r="Q53" s="760"/>
      <c r="R53" s="760"/>
      <c r="S53" s="760"/>
      <c r="T53" s="760"/>
      <c r="U53" s="760"/>
      <c r="V53" s="746"/>
      <c r="W53" s="746"/>
      <c r="X53" s="746"/>
      <c r="Y53" s="746"/>
      <c r="Z53" s="746"/>
      <c r="AA53" s="746"/>
    </row>
    <row r="54" spans="1:28" s="720" customFormat="1" ht="15" customHeight="1" x14ac:dyDescent="0.3">
      <c r="A54" s="759" t="s">
        <v>379</v>
      </c>
    </row>
    <row r="55" spans="1:28" s="720" customFormat="1" ht="15" customHeight="1" x14ac:dyDescent="0.3">
      <c r="A55" s="759" t="s">
        <v>380</v>
      </c>
    </row>
    <row r="56" spans="1:28" s="720" customFormat="1" ht="15" customHeight="1" x14ac:dyDescent="0.3">
      <c r="A56" s="759" t="s">
        <v>381</v>
      </c>
      <c r="B56" s="761"/>
      <c r="C56" s="761"/>
      <c r="D56" s="761"/>
      <c r="E56" s="761"/>
      <c r="F56" s="761"/>
      <c r="G56" s="761"/>
      <c r="H56" s="761"/>
      <c r="I56" s="761"/>
      <c r="J56" s="761"/>
      <c r="K56" s="761"/>
      <c r="L56" s="761"/>
      <c r="M56" s="761"/>
      <c r="N56" s="761"/>
      <c r="O56" s="761"/>
      <c r="P56" s="761"/>
      <c r="Q56" s="761"/>
      <c r="R56" s="761"/>
      <c r="S56" s="761"/>
      <c r="T56" s="761"/>
      <c r="U56" s="761"/>
    </row>
    <row r="57" spans="1:28" s="720" customFormat="1" ht="15" customHeight="1" x14ac:dyDescent="0.3"/>
    <row r="58" spans="1:28" s="720" customFormat="1" ht="15" customHeight="1" thickBot="1" x14ac:dyDescent="0.35"/>
    <row r="59" spans="1:28" s="724" customFormat="1" ht="25.05" customHeight="1" thickBot="1" x14ac:dyDescent="0.35">
      <c r="A59" s="721" t="s">
        <v>292</v>
      </c>
      <c r="B59" s="762" t="s">
        <v>193</v>
      </c>
      <c r="C59" s="762" t="s">
        <v>194</v>
      </c>
      <c r="D59" s="762" t="s">
        <v>195</v>
      </c>
      <c r="E59" s="762" t="s">
        <v>196</v>
      </c>
      <c r="F59" s="762" t="s">
        <v>197</v>
      </c>
      <c r="G59" s="762" t="s">
        <v>198</v>
      </c>
      <c r="H59" s="762" t="s">
        <v>199</v>
      </c>
      <c r="I59" s="762" t="s">
        <v>200</v>
      </c>
      <c r="J59" s="762" t="s">
        <v>201</v>
      </c>
      <c r="K59" s="762" t="s">
        <v>171</v>
      </c>
      <c r="L59" s="762" t="s">
        <v>172</v>
      </c>
      <c r="M59" s="762" t="s">
        <v>173</v>
      </c>
      <c r="N59" s="762" t="s">
        <v>174</v>
      </c>
      <c r="O59" s="762" t="s">
        <v>175</v>
      </c>
      <c r="P59" s="762" t="s">
        <v>176</v>
      </c>
      <c r="Q59" s="762" t="s">
        <v>177</v>
      </c>
      <c r="R59" s="762" t="s">
        <v>178</v>
      </c>
      <c r="S59" s="762" t="s">
        <v>179</v>
      </c>
      <c r="T59" s="762" t="s">
        <v>180</v>
      </c>
      <c r="U59" s="762" t="s">
        <v>181</v>
      </c>
      <c r="V59" s="762" t="s">
        <v>182</v>
      </c>
      <c r="W59" s="762" t="s">
        <v>183</v>
      </c>
      <c r="X59" s="762" t="s">
        <v>184</v>
      </c>
      <c r="Y59" s="762" t="s">
        <v>185</v>
      </c>
      <c r="Z59" s="762" t="s">
        <v>186</v>
      </c>
      <c r="AA59" s="762" t="s">
        <v>187</v>
      </c>
      <c r="AB59" s="763" t="s">
        <v>188</v>
      </c>
    </row>
    <row r="60" spans="1:28" s="720" customFormat="1" ht="4.95" customHeight="1" x14ac:dyDescent="0.3">
      <c r="A60" s="724"/>
      <c r="B60" s="764"/>
      <c r="C60" s="764"/>
      <c r="D60" s="764"/>
      <c r="E60" s="764"/>
      <c r="F60" s="764"/>
      <c r="G60" s="764"/>
      <c r="H60" s="764"/>
      <c r="I60" s="764"/>
      <c r="J60" s="764"/>
      <c r="K60" s="764"/>
      <c r="L60" s="764"/>
      <c r="M60" s="764"/>
      <c r="N60" s="764"/>
      <c r="O60" s="764"/>
      <c r="P60" s="764"/>
      <c r="Q60" s="764"/>
      <c r="R60" s="764"/>
      <c r="S60" s="764"/>
      <c r="T60" s="764"/>
      <c r="U60" s="764"/>
      <c r="V60" s="764"/>
      <c r="W60" s="764"/>
      <c r="X60" s="764"/>
      <c r="Y60" s="764"/>
      <c r="Z60" s="764"/>
      <c r="AA60" s="764"/>
      <c r="AB60" s="765"/>
    </row>
    <row r="61" spans="1:28" s="720" customFormat="1" ht="15" customHeight="1" x14ac:dyDescent="0.3">
      <c r="A61" s="724" t="s">
        <v>425</v>
      </c>
      <c r="B61" s="764">
        <v>2452.4140659594759</v>
      </c>
      <c r="C61" s="764">
        <v>5200.0931928127247</v>
      </c>
      <c r="D61" s="764">
        <v>9365.6938812719236</v>
      </c>
      <c r="E61" s="764">
        <v>15492.6106252065</v>
      </c>
      <c r="F61" s="764">
        <v>22690.538006940926</v>
      </c>
      <c r="G61" s="764">
        <v>32525.524785273086</v>
      </c>
      <c r="H61" s="764">
        <v>43903.601169828806</v>
      </c>
      <c r="I61" s="764">
        <v>55601.49088165861</v>
      </c>
      <c r="J61" s="764">
        <v>68799.54395177502</v>
      </c>
      <c r="K61" s="764">
        <v>76178.026199</v>
      </c>
      <c r="L61" s="764">
        <v>75674.695103999999</v>
      </c>
      <c r="M61" s="764">
        <v>79452.217439999979</v>
      </c>
      <c r="N61" s="764">
        <v>83598.550089520766</v>
      </c>
      <c r="O61" s="764">
        <v>97189.605658312124</v>
      </c>
      <c r="P61" s="764">
        <v>108950.06477342542</v>
      </c>
      <c r="Q61" s="764">
        <v>116698.73118119608</v>
      </c>
      <c r="R61" s="764">
        <v>131188.48163036752</v>
      </c>
      <c r="S61" s="764">
        <v>154471.4791808794</v>
      </c>
      <c r="T61" s="764">
        <v>172518.69574141435</v>
      </c>
      <c r="U61" s="764">
        <v>198824.60508901082</v>
      </c>
      <c r="V61" s="764">
        <v>226353.08692072553</v>
      </c>
      <c r="W61" s="764">
        <v>255519.6983112584</v>
      </c>
      <c r="X61" s="764">
        <v>301115.62906750006</v>
      </c>
      <c r="Y61" s="764">
        <v>347173.48489183455</v>
      </c>
      <c r="Z61" s="764">
        <v>397551.59072083101</v>
      </c>
      <c r="AA61" s="764">
        <v>436942.40837975597</v>
      </c>
      <c r="AB61" s="765">
        <v>500211.86211279902</v>
      </c>
    </row>
    <row r="62" spans="1:28" s="720" customFormat="1" ht="15" customHeight="1" x14ac:dyDescent="0.3">
      <c r="A62" s="724" t="s">
        <v>426</v>
      </c>
      <c r="B62" s="764">
        <v>1825.528539049435</v>
      </c>
      <c r="C62" s="764">
        <v>3945.3602252072769</v>
      </c>
      <c r="D62" s="764">
        <v>7055.3596112346431</v>
      </c>
      <c r="E62" s="764">
        <v>11165.785755437133</v>
      </c>
      <c r="F62" s="764">
        <v>17910.850241696011</v>
      </c>
      <c r="G62" s="764">
        <v>24897.248324381482</v>
      </c>
      <c r="H62" s="764">
        <v>33595.092133371756</v>
      </c>
      <c r="I62" s="764">
        <v>44584.700152567348</v>
      </c>
      <c r="J62" s="764">
        <v>51572.746880539671</v>
      </c>
      <c r="K62" s="764">
        <v>53576.346484082816</v>
      </c>
      <c r="L62" s="764">
        <v>56335.062246613757</v>
      </c>
      <c r="M62" s="764">
        <v>57619.081931812078</v>
      </c>
      <c r="N62" s="764">
        <v>64788.249266637082</v>
      </c>
      <c r="O62" s="764">
        <v>77472.48337764715</v>
      </c>
      <c r="P62" s="764">
        <v>81712.732584167417</v>
      </c>
      <c r="Q62" s="764">
        <v>82878.597384345019</v>
      </c>
      <c r="R62" s="764">
        <v>90969.415810162172</v>
      </c>
      <c r="S62" s="764">
        <v>112641.25780656059</v>
      </c>
      <c r="T62" s="764">
        <v>128502.48351325377</v>
      </c>
      <c r="U62" s="764">
        <v>153622.54083293871</v>
      </c>
      <c r="V62" s="764">
        <v>190063.37637078669</v>
      </c>
      <c r="W62" s="764">
        <v>222581.06011788448</v>
      </c>
      <c r="X62" s="764">
        <v>256510.66774928657</v>
      </c>
      <c r="Y62" s="764">
        <v>296123.48268164118</v>
      </c>
      <c r="Z62" s="764">
        <v>343480.19594772003</v>
      </c>
      <c r="AA62" s="764">
        <v>375837.5724894724</v>
      </c>
      <c r="AB62" s="765">
        <v>408176.09999313066</v>
      </c>
    </row>
    <row r="63" spans="1:28" s="720" customFormat="1" ht="15" customHeight="1" x14ac:dyDescent="0.3">
      <c r="A63" s="720" t="s">
        <v>387</v>
      </c>
      <c r="B63" s="764">
        <v>12010.056177956811</v>
      </c>
      <c r="C63" s="764">
        <v>24970.634336754916</v>
      </c>
      <c r="D63" s="764">
        <v>43020.485434357579</v>
      </c>
      <c r="E63" s="764">
        <v>65296.992721854585</v>
      </c>
      <c r="F63" s="764">
        <v>97341.577400521812</v>
      </c>
      <c r="G63" s="764">
        <v>135311.13219772544</v>
      </c>
      <c r="H63" s="764">
        <v>180618.7749106008</v>
      </c>
      <c r="I63" s="764">
        <v>226318.2748861287</v>
      </c>
      <c r="J63" s="764">
        <v>265838.90144608082</v>
      </c>
      <c r="K63" s="764">
        <v>271961.14966539503</v>
      </c>
      <c r="L63" s="764">
        <v>276152.26591477334</v>
      </c>
      <c r="M63" s="764">
        <v>278353.05281068641</v>
      </c>
      <c r="N63" s="764">
        <v>289233.2556546299</v>
      </c>
      <c r="O63" s="764">
        <v>339791.59376161033</v>
      </c>
      <c r="P63" s="764">
        <v>392849.67588542023</v>
      </c>
      <c r="Q63" s="764">
        <v>425018.44812484621</v>
      </c>
      <c r="R63" s="764">
        <v>471344.12336871587</v>
      </c>
      <c r="S63" s="764">
        <v>549469.55027590541</v>
      </c>
      <c r="T63" s="764">
        <v>636150.90848145436</v>
      </c>
      <c r="U63" s="764">
        <v>714523.44573459879</v>
      </c>
      <c r="V63" s="764">
        <v>808078.50283073215</v>
      </c>
      <c r="W63" s="764">
        <v>926356.14517954469</v>
      </c>
      <c r="X63" s="764">
        <v>1041210.5218540838</v>
      </c>
      <c r="Y63" s="764">
        <v>1178331.7090061214</v>
      </c>
      <c r="Z63" s="764">
        <v>1330508.3602368219</v>
      </c>
      <c r="AA63" s="764">
        <v>1455848.2212012811</v>
      </c>
      <c r="AB63" s="765">
        <v>1581115.0683411804</v>
      </c>
    </row>
    <row r="64" spans="1:28" s="720" customFormat="1" ht="15" customHeight="1" x14ac:dyDescent="0.3">
      <c r="A64" s="724" t="s">
        <v>383</v>
      </c>
      <c r="B64" s="731"/>
      <c r="C64" s="731"/>
      <c r="D64" s="731"/>
      <c r="E64" s="731"/>
      <c r="F64" s="731"/>
      <c r="G64" s="731">
        <v>685731</v>
      </c>
      <c r="H64" s="731">
        <v>670965</v>
      </c>
      <c r="I64" s="731">
        <v>697243</v>
      </c>
      <c r="J64" s="731">
        <v>604191</v>
      </c>
      <c r="K64" s="731">
        <v>571850</v>
      </c>
      <c r="L64" s="731">
        <v>572424</v>
      </c>
      <c r="M64" s="731">
        <v>323561</v>
      </c>
      <c r="N64" s="731">
        <v>321688</v>
      </c>
      <c r="O64" s="731">
        <v>334774</v>
      </c>
      <c r="P64" s="731">
        <v>359122</v>
      </c>
      <c r="Q64" s="731">
        <v>337599</v>
      </c>
      <c r="R64" s="731">
        <v>412170</v>
      </c>
      <c r="S64" s="731">
        <v>409856</v>
      </c>
      <c r="T64" s="731">
        <v>398029</v>
      </c>
      <c r="U64" s="731">
        <v>394290</v>
      </c>
      <c r="V64" s="731">
        <v>431986</v>
      </c>
      <c r="W64" s="731">
        <v>404820</v>
      </c>
      <c r="X64" s="731">
        <v>360965</v>
      </c>
      <c r="Y64" s="731">
        <v>361204</v>
      </c>
      <c r="Z64" s="731">
        <v>357010</v>
      </c>
      <c r="AA64" s="731">
        <v>353492</v>
      </c>
      <c r="AB64" s="732"/>
    </row>
    <row r="65" spans="1:28" s="720" customFormat="1" ht="15" customHeight="1" x14ac:dyDescent="0.3">
      <c r="A65" s="724" t="s">
        <v>373</v>
      </c>
      <c r="B65" s="731"/>
      <c r="C65" s="731"/>
      <c r="D65" s="731"/>
      <c r="E65" s="731"/>
      <c r="F65" s="731"/>
      <c r="G65" s="731">
        <v>6.8999655116799881</v>
      </c>
      <c r="H65" s="731">
        <v>8.6230244987282312</v>
      </c>
      <c r="I65" s="731">
        <v>10.167312628394638</v>
      </c>
      <c r="J65" s="731">
        <v>11.639471396287579</v>
      </c>
      <c r="K65" s="731">
        <v>12.358670258275911</v>
      </c>
      <c r="L65" s="731">
        <v>12.72</v>
      </c>
      <c r="M65" s="731">
        <v>13.103999999999999</v>
      </c>
      <c r="N65" s="731">
        <v>13.32</v>
      </c>
      <c r="O65" s="731">
        <v>14.038945853460365</v>
      </c>
      <c r="P65" s="731">
        <v>15.311122866703316</v>
      </c>
      <c r="Q65" s="731">
        <v>27.268074676752452</v>
      </c>
      <c r="R65" s="731">
        <v>33.705161614282474</v>
      </c>
      <c r="S65" s="731">
        <v>37.907145569406147</v>
      </c>
      <c r="T65" s="731">
        <v>45.370140507225251</v>
      </c>
      <c r="U65" s="731">
        <v>53.292000000000002</v>
      </c>
      <c r="V65" s="731">
        <v>57.588000000000001</v>
      </c>
      <c r="W65" s="731">
        <v>72</v>
      </c>
      <c r="X65" s="731">
        <v>86.4</v>
      </c>
      <c r="Y65" s="731">
        <v>95.04</v>
      </c>
      <c r="Z65" s="731">
        <v>107.52</v>
      </c>
      <c r="AA65" s="731">
        <v>120</v>
      </c>
      <c r="AB65" s="732"/>
    </row>
    <row r="66" spans="1:28" s="720" customFormat="1" ht="15" customHeight="1" x14ac:dyDescent="0.3">
      <c r="A66" s="724" t="s">
        <v>375</v>
      </c>
      <c r="B66" s="731"/>
      <c r="C66" s="731"/>
      <c r="D66" s="731"/>
      <c r="E66" s="731"/>
      <c r="F66" s="731"/>
      <c r="G66" s="731">
        <v>35.940669169481794</v>
      </c>
      <c r="H66" s="731">
        <v>46.103457064912369</v>
      </c>
      <c r="I66" s="731">
        <v>54.655919099500181</v>
      </c>
      <c r="J66" s="731">
        <v>67.306851201205134</v>
      </c>
      <c r="K66" s="731">
        <v>72.337891947064662</v>
      </c>
      <c r="L66" s="731">
        <v>71.991095611803502</v>
      </c>
      <c r="M66" s="731">
        <v>73.571673478919109</v>
      </c>
      <c r="N66" s="731">
        <v>71.770861489247011</v>
      </c>
      <c r="O66" s="731">
        <v>71.941028137871768</v>
      </c>
      <c r="P66" s="731">
        <v>79.976805992004344</v>
      </c>
      <c r="Q66" s="731">
        <v>84.783536176193394</v>
      </c>
      <c r="R66" s="731">
        <v>57.40248700235405</v>
      </c>
      <c r="S66" s="731">
        <v>106.6638125564612</v>
      </c>
      <c r="T66" s="731">
        <v>125.06709141359556</v>
      </c>
      <c r="U66" s="731">
        <v>143.96826851523537</v>
      </c>
      <c r="V66" s="731">
        <v>160.95364996079465</v>
      </c>
      <c r="W66" s="731">
        <v>173.80285918740154</v>
      </c>
      <c r="X66" s="731">
        <v>189.53843482907018</v>
      </c>
      <c r="Y66" s="731">
        <v>214.53187436254339</v>
      </c>
      <c r="Z66" s="731">
        <v>244.44475694609213</v>
      </c>
      <c r="AA66" s="731">
        <v>270.72492410644861</v>
      </c>
      <c r="AB66" s="732"/>
    </row>
    <row r="67" spans="1:28" s="720" customFormat="1" ht="15" customHeight="1" x14ac:dyDescent="0.3">
      <c r="A67" s="724" t="s">
        <v>376</v>
      </c>
      <c r="B67" s="731"/>
      <c r="C67" s="731"/>
      <c r="D67" s="731"/>
      <c r="E67" s="731"/>
      <c r="F67" s="731"/>
      <c r="G67" s="731">
        <v>41.469457852447384</v>
      </c>
      <c r="H67" s="731">
        <v>53.472618302673425</v>
      </c>
      <c r="I67" s="731">
        <v>64.099888651389392</v>
      </c>
      <c r="J67" s="731">
        <v>76.574297322842298</v>
      </c>
      <c r="K67" s="731">
        <v>81.08179033172928</v>
      </c>
      <c r="L67" s="731">
        <v>82.678689936743254</v>
      </c>
      <c r="M67" s="731">
        <v>93.910668104294771</v>
      </c>
      <c r="N67" s="731">
        <v>94.092702781104023</v>
      </c>
      <c r="O67" s="731">
        <v>96.788744763256545</v>
      </c>
      <c r="P67" s="731">
        <v>107.72796273972762</v>
      </c>
      <c r="Q67" s="731">
        <v>112.61120779121214</v>
      </c>
      <c r="R67" s="731">
        <v>70.211628478796641</v>
      </c>
      <c r="S67" s="731">
        <v>136.57828493758296</v>
      </c>
      <c r="T67" s="731">
        <v>157.13221088942652</v>
      </c>
      <c r="U67" s="731">
        <v>179.82643395471112</v>
      </c>
      <c r="V67" s="731">
        <v>195.69032975821216</v>
      </c>
      <c r="W67" s="731">
        <v>208.21782446441247</v>
      </c>
      <c r="X67" s="731">
        <v>224.19925420184376</v>
      </c>
      <c r="Y67" s="731">
        <v>252.00326448026547</v>
      </c>
      <c r="Z67" s="731">
        <v>286.02085340343808</v>
      </c>
      <c r="AA67" s="731">
        <v>316.55738038787314</v>
      </c>
      <c r="AB67" s="732"/>
    </row>
    <row r="68" spans="1:28" s="720" customFormat="1" ht="15" customHeight="1" x14ac:dyDescent="0.3">
      <c r="A68" s="766" t="s">
        <v>377</v>
      </c>
      <c r="B68" s="737"/>
      <c r="C68" s="737"/>
      <c r="D68" s="737"/>
      <c r="E68" s="737"/>
      <c r="F68" s="737"/>
      <c r="G68" s="737">
        <v>32.186672843324459</v>
      </c>
      <c r="H68" s="737">
        <v>41.067333626097842</v>
      </c>
      <c r="I68" s="737">
        <v>48.2818765929958</v>
      </c>
      <c r="J68" s="737">
        <v>60.461738681547182</v>
      </c>
      <c r="K68" s="737">
        <v>65.858487774590472</v>
      </c>
      <c r="L68" s="737">
        <v>64.422956790175917</v>
      </c>
      <c r="M68" s="737">
        <v>34.65910300253703</v>
      </c>
      <c r="N68" s="737">
        <v>31.926935452246106</v>
      </c>
      <c r="O68" s="737">
        <v>31.915358278738776</v>
      </c>
      <c r="P68" s="737">
        <v>37.0528552491987</v>
      </c>
      <c r="Q68" s="737">
        <v>37.904568705165495</v>
      </c>
      <c r="R68" s="737">
        <v>31.560229760654227</v>
      </c>
      <c r="S68" s="737">
        <v>44.541884247983567</v>
      </c>
      <c r="T68" s="737">
        <v>53.123119961740755</v>
      </c>
      <c r="U68" s="737">
        <v>59.276372771823461</v>
      </c>
      <c r="V68" s="737">
        <v>71.47495923090564</v>
      </c>
      <c r="W68" s="737">
        <v>75.309850365715775</v>
      </c>
      <c r="X68" s="737">
        <v>81.14047072530046</v>
      </c>
      <c r="Y68" s="737">
        <v>91.736833023673867</v>
      </c>
      <c r="Z68" s="737">
        <v>102.14925377500741</v>
      </c>
      <c r="AA68" s="737">
        <v>112.61622673818628</v>
      </c>
      <c r="AB68" s="738"/>
    </row>
    <row r="69" spans="1:28" s="716" customFormat="1" x14ac:dyDescent="0.3">
      <c r="A69" s="759" t="s">
        <v>380</v>
      </c>
    </row>
    <row r="70" spans="1:28" s="716" customFormat="1" x14ac:dyDescent="0.3">
      <c r="A70" s="759" t="s">
        <v>381</v>
      </c>
    </row>
    <row r="71" spans="1:28" s="716" customFormat="1" x14ac:dyDescent="0.3">
      <c r="A71" s="760"/>
    </row>
    <row r="72" spans="1:28" s="716" customFormat="1" x14ac:dyDescent="0.3"/>
    <row r="73" spans="1:28" s="716" customFormat="1" x14ac:dyDescent="0.3"/>
    <row r="74" spans="1:28" s="716" customFormat="1" x14ac:dyDescent="0.3"/>
    <row r="75" spans="1:28" s="716" customFormat="1" x14ac:dyDescent="0.3"/>
    <row r="76" spans="1:28" s="716" customFormat="1" x14ac:dyDescent="0.3"/>
    <row r="77" spans="1:28" s="716" customFormat="1" x14ac:dyDescent="0.3"/>
    <row r="78" spans="1:28" s="716" customFormat="1" x14ac:dyDescent="0.3"/>
    <row r="79" spans="1:28" s="716" customFormat="1" x14ac:dyDescent="0.3"/>
    <row r="80" spans="1:28" s="716" customFormat="1" x14ac:dyDescent="0.3"/>
    <row r="81" s="716" customFormat="1" x14ac:dyDescent="0.3"/>
    <row r="82" s="716" customFormat="1" x14ac:dyDescent="0.3"/>
    <row r="83" s="716" customFormat="1" x14ac:dyDescent="0.3"/>
    <row r="84" s="716" customFormat="1" x14ac:dyDescent="0.3"/>
    <row r="85" s="716" customFormat="1" x14ac:dyDescent="0.3"/>
    <row r="86" s="716" customFormat="1" x14ac:dyDescent="0.3"/>
    <row r="87" s="716" customFormat="1" x14ac:dyDescent="0.3"/>
    <row r="88" s="716" customFormat="1" x14ac:dyDescent="0.3"/>
    <row r="89" s="716" customFormat="1" x14ac:dyDescent="0.3"/>
    <row r="90" s="716" customFormat="1" x14ac:dyDescent="0.3"/>
    <row r="91" s="716" customFormat="1" x14ac:dyDescent="0.3"/>
    <row r="92" s="716" customFormat="1" x14ac:dyDescent="0.3"/>
    <row r="93" s="716" customFormat="1" x14ac:dyDescent="0.3"/>
    <row r="94" s="716" customFormat="1" x14ac:dyDescent="0.3"/>
    <row r="95" s="716" customFormat="1" x14ac:dyDescent="0.3"/>
    <row r="96" s="716" customFormat="1" x14ac:dyDescent="0.3"/>
    <row r="97" s="716" customFormat="1" x14ac:dyDescent="0.3"/>
    <row r="98" s="716" customFormat="1" x14ac:dyDescent="0.3"/>
    <row r="99" s="716" customFormat="1" x14ac:dyDescent="0.3"/>
    <row r="100" s="716" customFormat="1" x14ac:dyDescent="0.3"/>
    <row r="101" s="716" customFormat="1" x14ac:dyDescent="0.3"/>
    <row r="102" s="716" customFormat="1" x14ac:dyDescent="0.3"/>
    <row r="103" s="716" customFormat="1" x14ac:dyDescent="0.3"/>
    <row r="104" s="716" customFormat="1" x14ac:dyDescent="0.3"/>
    <row r="105" s="716" customFormat="1" x14ac:dyDescent="0.3"/>
    <row r="106" s="716" customFormat="1" x14ac:dyDescent="0.3"/>
    <row r="107" s="716" customFormat="1" x14ac:dyDescent="0.3"/>
    <row r="108" s="716" customFormat="1" x14ac:dyDescent="0.3"/>
    <row r="109" s="716" customFormat="1" x14ac:dyDescent="0.3"/>
    <row r="110" s="716" customFormat="1" x14ac:dyDescent="0.3"/>
    <row r="111" s="716" customFormat="1" x14ac:dyDescent="0.3"/>
    <row r="112" s="716" customFormat="1" x14ac:dyDescent="0.3"/>
    <row r="113" s="716" customFormat="1" x14ac:dyDescent="0.3"/>
    <row r="114" s="716" customFormat="1" x14ac:dyDescent="0.3"/>
    <row r="115" s="716" customFormat="1" x14ac:dyDescent="0.3"/>
    <row r="116" s="716" customFormat="1" x14ac:dyDescent="0.3"/>
    <row r="117" s="716" customFormat="1" x14ac:dyDescent="0.3"/>
    <row r="118" s="716" customFormat="1" x14ac:dyDescent="0.3"/>
    <row r="119" s="716" customFormat="1" x14ac:dyDescent="0.3"/>
    <row r="120" s="716" customFormat="1" x14ac:dyDescent="0.3"/>
    <row r="121" s="716" customFormat="1" x14ac:dyDescent="0.3"/>
    <row r="122" s="716" customFormat="1" x14ac:dyDescent="0.3"/>
    <row r="123" s="716" customFormat="1" x14ac:dyDescent="0.3"/>
    <row r="124" s="716" customFormat="1" x14ac:dyDescent="0.3"/>
    <row r="125" s="716" customFormat="1" x14ac:dyDescent="0.3"/>
    <row r="126" s="716" customFormat="1" x14ac:dyDescent="0.3"/>
    <row r="127" s="716" customFormat="1" x14ac:dyDescent="0.3"/>
    <row r="128" s="716" customFormat="1" x14ac:dyDescent="0.3"/>
    <row r="129" s="716" customFormat="1" x14ac:dyDescent="0.3"/>
    <row r="130" s="716" customFormat="1" x14ac:dyDescent="0.3"/>
    <row r="131" s="716" customFormat="1" x14ac:dyDescent="0.3"/>
    <row r="132" s="716" customFormat="1" x14ac:dyDescent="0.3"/>
    <row r="133" s="716" customFormat="1" x14ac:dyDescent="0.3"/>
    <row r="134" s="716" customFormat="1" x14ac:dyDescent="0.3"/>
    <row r="135" s="716" customFormat="1" x14ac:dyDescent="0.3"/>
    <row r="136" s="716" customFormat="1" x14ac:dyDescent="0.3"/>
    <row r="137" s="716" customFormat="1" x14ac:dyDescent="0.3"/>
    <row r="138" s="716" customFormat="1" x14ac:dyDescent="0.3"/>
    <row r="139" s="716" customFormat="1" x14ac:dyDescent="0.3"/>
    <row r="140" s="716" customFormat="1" x14ac:dyDescent="0.3"/>
    <row r="141" s="716" customFormat="1" x14ac:dyDescent="0.3"/>
    <row r="142" s="716" customFormat="1" x14ac:dyDescent="0.3"/>
    <row r="143" s="716" customFormat="1" x14ac:dyDescent="0.3"/>
    <row r="144" s="716" customFormat="1" x14ac:dyDescent="0.3"/>
    <row r="145" s="716" customFormat="1" x14ac:dyDescent="0.3"/>
    <row r="146" s="716" customFormat="1" x14ac:dyDescent="0.3"/>
    <row r="147" s="716" customFormat="1" x14ac:dyDescent="0.3"/>
    <row r="148" s="716" customFormat="1" x14ac:dyDescent="0.3"/>
    <row r="149" s="716" customFormat="1" x14ac:dyDescent="0.3"/>
    <row r="150" s="716" customFormat="1" x14ac:dyDescent="0.3"/>
    <row r="151" s="716" customFormat="1" x14ac:dyDescent="0.3"/>
    <row r="152" s="716" customFormat="1" x14ac:dyDescent="0.3"/>
    <row r="153" s="716" customFormat="1" x14ac:dyDescent="0.3"/>
    <row r="154" s="716" customFormat="1" x14ac:dyDescent="0.3"/>
    <row r="155" s="716" customFormat="1" x14ac:dyDescent="0.3"/>
    <row r="156" s="716" customFormat="1" x14ac:dyDescent="0.3"/>
    <row r="157" s="716" customFormat="1" x14ac:dyDescent="0.3"/>
    <row r="158" s="716" customFormat="1" x14ac:dyDescent="0.3"/>
    <row r="159" s="716" customFormat="1" x14ac:dyDescent="0.3"/>
    <row r="160" s="716" customFormat="1" x14ac:dyDescent="0.3"/>
    <row r="161" s="716" customFormat="1" x14ac:dyDescent="0.3"/>
    <row r="162" s="716" customFormat="1" x14ac:dyDescent="0.3"/>
    <row r="163" s="716" customFormat="1" x14ac:dyDescent="0.3"/>
    <row r="164" s="716" customFormat="1" x14ac:dyDescent="0.3"/>
    <row r="165" s="716" customFormat="1" x14ac:dyDescent="0.3"/>
    <row r="166" s="716" customFormat="1" x14ac:dyDescent="0.3"/>
    <row r="167" s="716" customFormat="1" x14ac:dyDescent="0.3"/>
    <row r="168" s="716" customFormat="1" x14ac:dyDescent="0.3"/>
    <row r="169" s="716" customFormat="1" x14ac:dyDescent="0.3"/>
    <row r="170" s="716" customFormat="1" x14ac:dyDescent="0.3"/>
    <row r="171" s="716" customFormat="1" x14ac:dyDescent="0.3"/>
    <row r="172" s="716" customFormat="1" x14ac:dyDescent="0.3"/>
    <row r="173" s="716" customFormat="1" x14ac:dyDescent="0.3"/>
    <row r="174" s="716" customFormat="1" x14ac:dyDescent="0.3"/>
    <row r="175" s="716" customFormat="1" x14ac:dyDescent="0.3"/>
    <row r="176" s="716" customFormat="1" x14ac:dyDescent="0.3"/>
    <row r="177" s="716" customFormat="1" x14ac:dyDescent="0.3"/>
    <row r="178" s="716" customFormat="1" x14ac:dyDescent="0.3"/>
    <row r="179" s="716" customFormat="1" x14ac:dyDescent="0.3"/>
    <row r="180" s="716" customFormat="1" x14ac:dyDescent="0.3"/>
    <row r="181" s="716" customFormat="1" x14ac:dyDescent="0.3"/>
    <row r="182" s="716" customFormat="1" x14ac:dyDescent="0.3"/>
    <row r="183" s="716" customFormat="1" x14ac:dyDescent="0.3"/>
    <row r="184" s="716" customFormat="1" x14ac:dyDescent="0.3"/>
    <row r="185" s="716" customFormat="1" x14ac:dyDescent="0.3"/>
    <row r="186" s="716" customFormat="1" x14ac:dyDescent="0.3"/>
    <row r="187" s="716" customFormat="1" x14ac:dyDescent="0.3"/>
    <row r="188" s="716" customFormat="1" x14ac:dyDescent="0.3"/>
    <row r="189" s="716" customFormat="1" x14ac:dyDescent="0.3"/>
    <row r="190" s="716" customFormat="1" x14ac:dyDescent="0.3"/>
    <row r="191" s="716" customFormat="1" x14ac:dyDescent="0.3"/>
    <row r="192" s="716" customFormat="1" x14ac:dyDescent="0.3"/>
    <row r="193" s="716" customFormat="1" x14ac:dyDescent="0.3"/>
    <row r="194" s="716" customFormat="1" x14ac:dyDescent="0.3"/>
    <row r="195" s="716" customFormat="1" x14ac:dyDescent="0.3"/>
    <row r="196" s="716" customFormat="1" x14ac:dyDescent="0.3"/>
    <row r="197" s="716" customFormat="1" x14ac:dyDescent="0.3"/>
    <row r="198" s="716" customFormat="1" x14ac:dyDescent="0.3"/>
    <row r="199" s="716" customFormat="1" x14ac:dyDescent="0.3"/>
    <row r="200" s="716" customFormat="1" x14ac:dyDescent="0.3"/>
    <row r="201" s="716" customFormat="1" x14ac:dyDescent="0.3"/>
    <row r="202" s="716" customFormat="1" x14ac:dyDescent="0.3"/>
    <row r="203" s="716" customFormat="1" x14ac:dyDescent="0.3"/>
    <row r="204" s="716" customFormat="1" x14ac:dyDescent="0.3"/>
    <row r="205" s="716" customFormat="1" x14ac:dyDescent="0.3"/>
    <row r="206" s="716" customFormat="1" x14ac:dyDescent="0.3"/>
    <row r="207" s="716" customFormat="1" x14ac:dyDescent="0.3"/>
    <row r="208" s="716" customFormat="1" x14ac:dyDescent="0.3"/>
    <row r="209" s="716" customFormat="1" x14ac:dyDescent="0.3"/>
    <row r="210" s="716" customFormat="1" x14ac:dyDescent="0.3"/>
    <row r="211" s="716" customFormat="1" x14ac:dyDescent="0.3"/>
    <row r="212" s="716" customFormat="1" x14ac:dyDescent="0.3"/>
    <row r="213" s="716" customFormat="1" x14ac:dyDescent="0.3"/>
    <row r="214" s="716" customFormat="1" x14ac:dyDescent="0.3"/>
    <row r="215" s="716" customFormat="1" x14ac:dyDescent="0.3"/>
    <row r="216" s="716" customFormat="1" x14ac:dyDescent="0.3"/>
    <row r="217" s="716" customFormat="1" x14ac:dyDescent="0.3"/>
    <row r="218" s="716" customFormat="1" x14ac:dyDescent="0.3"/>
    <row r="219" s="716" customFormat="1" x14ac:dyDescent="0.3"/>
    <row r="220" s="716" customFormat="1" x14ac:dyDescent="0.3"/>
    <row r="221" s="716" customFormat="1" x14ac:dyDescent="0.3"/>
    <row r="222" s="716" customFormat="1" x14ac:dyDescent="0.3"/>
    <row r="223" s="716" customFormat="1" x14ac:dyDescent="0.3"/>
    <row r="224" s="716" customFormat="1" x14ac:dyDescent="0.3"/>
    <row r="225" s="716" customFormat="1" x14ac:dyDescent="0.3"/>
    <row r="226" s="716" customFormat="1" x14ac:dyDescent="0.3"/>
    <row r="227" s="716" customFormat="1" x14ac:dyDescent="0.3"/>
    <row r="228" s="716" customFormat="1" x14ac:dyDescent="0.3"/>
    <row r="229" s="716" customFormat="1" x14ac:dyDescent="0.3"/>
    <row r="230" s="716" customFormat="1" x14ac:dyDescent="0.3"/>
    <row r="231" s="716" customFormat="1" x14ac:dyDescent="0.3"/>
    <row r="232" s="716" customFormat="1" x14ac:dyDescent="0.3"/>
    <row r="233" s="716" customFormat="1" x14ac:dyDescent="0.3"/>
    <row r="234" s="716" customFormat="1" x14ac:dyDescent="0.3"/>
    <row r="235" s="716" customFormat="1" x14ac:dyDescent="0.3"/>
    <row r="236" s="716" customFormat="1" x14ac:dyDescent="0.3"/>
    <row r="237" s="716" customFormat="1" x14ac:dyDescent="0.3"/>
    <row r="238" s="716" customFormat="1" x14ac:dyDescent="0.3"/>
    <row r="239" s="716" customFormat="1" x14ac:dyDescent="0.3"/>
    <row r="240" s="716" customFormat="1" x14ac:dyDescent="0.3"/>
    <row r="241" s="716" customFormat="1" x14ac:dyDescent="0.3"/>
    <row r="242" s="716" customFormat="1" x14ac:dyDescent="0.3"/>
    <row r="243" s="716" customFormat="1" x14ac:dyDescent="0.3"/>
    <row r="244" s="716" customFormat="1" x14ac:dyDescent="0.3"/>
    <row r="245" s="716" customFormat="1" x14ac:dyDescent="0.3"/>
    <row r="246" s="716" customFormat="1" x14ac:dyDescent="0.3"/>
    <row r="247" s="716" customFormat="1" x14ac:dyDescent="0.3"/>
    <row r="248" s="716" customFormat="1" x14ac:dyDescent="0.3"/>
    <row r="249" s="716" customFormat="1" x14ac:dyDescent="0.3"/>
    <row r="250" s="716" customFormat="1" x14ac:dyDescent="0.3"/>
    <row r="251" s="716" customFormat="1" x14ac:dyDescent="0.3"/>
    <row r="252" s="716" customFormat="1" x14ac:dyDescent="0.3"/>
    <row r="253" s="716" customFormat="1" x14ac:dyDescent="0.3"/>
    <row r="254" s="716" customFormat="1" x14ac:dyDescent="0.3"/>
    <row r="255" s="716" customFormat="1" x14ac:dyDescent="0.3"/>
    <row r="256" s="716" customFormat="1" x14ac:dyDescent="0.3"/>
    <row r="257" s="716" customFormat="1" x14ac:dyDescent="0.3"/>
    <row r="258" s="716" customFormat="1" x14ac:dyDescent="0.3"/>
    <row r="259" s="716" customFormat="1" x14ac:dyDescent="0.3"/>
    <row r="260" s="716" customFormat="1" x14ac:dyDescent="0.3"/>
    <row r="261" s="716" customFormat="1" x14ac:dyDescent="0.3"/>
    <row r="262" s="716" customFormat="1" x14ac:dyDescent="0.3"/>
    <row r="263" s="716" customFormat="1" x14ac:dyDescent="0.3"/>
    <row r="264" s="716" customFormat="1" x14ac:dyDescent="0.3"/>
    <row r="265" s="716" customFormat="1" x14ac:dyDescent="0.3"/>
    <row r="266" s="716" customFormat="1" x14ac:dyDescent="0.3"/>
    <row r="267" s="716" customFormat="1" x14ac:dyDescent="0.3"/>
    <row r="268" s="716" customFormat="1" x14ac:dyDescent="0.3"/>
    <row r="269" s="716" customFormat="1" x14ac:dyDescent="0.3"/>
    <row r="270" s="716" customFormat="1" x14ac:dyDescent="0.3"/>
    <row r="271" s="716" customFormat="1" x14ac:dyDescent="0.3"/>
    <row r="272" s="716" customFormat="1" x14ac:dyDescent="0.3"/>
    <row r="273" s="716" customFormat="1" x14ac:dyDescent="0.3"/>
    <row r="274" s="716" customFormat="1" x14ac:dyDescent="0.3"/>
    <row r="275" s="716" customFormat="1" x14ac:dyDescent="0.3"/>
    <row r="276" s="716" customFormat="1" x14ac:dyDescent="0.3"/>
    <row r="277" s="716" customFormat="1" x14ac:dyDescent="0.3"/>
    <row r="278" s="716" customFormat="1" x14ac:dyDescent="0.3"/>
    <row r="279" s="716" customFormat="1" x14ac:dyDescent="0.3"/>
    <row r="280" s="716" customFormat="1" x14ac:dyDescent="0.3"/>
    <row r="281" s="716" customFormat="1" x14ac:dyDescent="0.3"/>
    <row r="282" s="716" customFormat="1" x14ac:dyDescent="0.3"/>
    <row r="283" s="716" customFormat="1" x14ac:dyDescent="0.3"/>
    <row r="284" s="716" customFormat="1" x14ac:dyDescent="0.3"/>
    <row r="285" s="716" customFormat="1" x14ac:dyDescent="0.3"/>
    <row r="286" s="716" customFormat="1" x14ac:dyDescent="0.3"/>
    <row r="287" s="716" customFormat="1" x14ac:dyDescent="0.3"/>
    <row r="288" s="716" customFormat="1" x14ac:dyDescent="0.3"/>
    <row r="289" s="716" customFormat="1" x14ac:dyDescent="0.3"/>
    <row r="290" s="716" customFormat="1" x14ac:dyDescent="0.3"/>
    <row r="291" s="716" customFormat="1" x14ac:dyDescent="0.3"/>
    <row r="292" s="716" customFormat="1" x14ac:dyDescent="0.3"/>
    <row r="293" s="716" customFormat="1" x14ac:dyDescent="0.3"/>
    <row r="294" s="716" customFormat="1" x14ac:dyDescent="0.3"/>
    <row r="295" s="716" customFormat="1" x14ac:dyDescent="0.3"/>
    <row r="296" s="716" customFormat="1" x14ac:dyDescent="0.3"/>
    <row r="297" s="716" customFormat="1" x14ac:dyDescent="0.3"/>
    <row r="298" s="716" customFormat="1" x14ac:dyDescent="0.3"/>
    <row r="299" s="716" customFormat="1" x14ac:dyDescent="0.3"/>
    <row r="300" s="716" customFormat="1" x14ac:dyDescent="0.3"/>
    <row r="301" s="716" customFormat="1" x14ac:dyDescent="0.3"/>
    <row r="302" s="716" customFormat="1" x14ac:dyDescent="0.3"/>
    <row r="303" s="716" customFormat="1" x14ac:dyDescent="0.3"/>
    <row r="304" s="716" customFormat="1" x14ac:dyDescent="0.3"/>
    <row r="305" s="716" customFormat="1" x14ac:dyDescent="0.3"/>
    <row r="306" s="716" customFormat="1" x14ac:dyDescent="0.3"/>
    <row r="307" s="716" customFormat="1" x14ac:dyDescent="0.3"/>
    <row r="308" s="716" customFormat="1" x14ac:dyDescent="0.3"/>
    <row r="309" s="716" customFormat="1" x14ac:dyDescent="0.3"/>
    <row r="310" s="716" customFormat="1" x14ac:dyDescent="0.3"/>
    <row r="311" s="716" customFormat="1" x14ac:dyDescent="0.3"/>
    <row r="312" s="716" customFormat="1" x14ac:dyDescent="0.3"/>
    <row r="313" s="716" customFormat="1" x14ac:dyDescent="0.3"/>
    <row r="314" s="716" customFormat="1" x14ac:dyDescent="0.3"/>
    <row r="315" s="716" customFormat="1" x14ac:dyDescent="0.3"/>
    <row r="316" s="716" customFormat="1" x14ac:dyDescent="0.3"/>
    <row r="317" s="716" customFormat="1" x14ac:dyDescent="0.3"/>
    <row r="318" s="716" customFormat="1" x14ac:dyDescent="0.3"/>
    <row r="319" s="716" customFormat="1" x14ac:dyDescent="0.3"/>
    <row r="320" s="716" customFormat="1" x14ac:dyDescent="0.3"/>
    <row r="321" s="716" customFormat="1" x14ac:dyDescent="0.3"/>
    <row r="322" s="716" customFormat="1" x14ac:dyDescent="0.3"/>
    <row r="323" s="716" customFormat="1" x14ac:dyDescent="0.3"/>
    <row r="324" s="716" customFormat="1" x14ac:dyDescent="0.3"/>
    <row r="325" s="716" customFormat="1" x14ac:dyDescent="0.3"/>
    <row r="326" s="716" customFormat="1" x14ac:dyDescent="0.3"/>
    <row r="327" s="716" customFormat="1" x14ac:dyDescent="0.3"/>
    <row r="328" s="716" customFormat="1" x14ac:dyDescent="0.3"/>
    <row r="329" s="716" customFormat="1" x14ac:dyDescent="0.3"/>
    <row r="330" s="716" customFormat="1" x14ac:dyDescent="0.3"/>
    <row r="331" s="716" customFormat="1" x14ac:dyDescent="0.3"/>
    <row r="332" s="716" customFormat="1" x14ac:dyDescent="0.3"/>
    <row r="333" s="716" customFormat="1" x14ac:dyDescent="0.3"/>
    <row r="334" s="716" customFormat="1" x14ac:dyDescent="0.3"/>
    <row r="335" s="716" customFormat="1" x14ac:dyDescent="0.3"/>
    <row r="336" s="716" customFormat="1" x14ac:dyDescent="0.3"/>
    <row r="337" s="716" customFormat="1" x14ac:dyDescent="0.3"/>
    <row r="338" s="716" customFormat="1" x14ac:dyDescent="0.3"/>
    <row r="339" s="716" customFormat="1" x14ac:dyDescent="0.3"/>
    <row r="340" s="716" customFormat="1" x14ac:dyDescent="0.3"/>
    <row r="341" s="716" customFormat="1" x14ac:dyDescent="0.3"/>
    <row r="342" s="716" customFormat="1" x14ac:dyDescent="0.3"/>
    <row r="343" s="716" customFormat="1" x14ac:dyDescent="0.3"/>
    <row r="344" s="716" customFormat="1" x14ac:dyDescent="0.3"/>
    <row r="345" s="716" customFormat="1" x14ac:dyDescent="0.3"/>
    <row r="346" s="716" customFormat="1" x14ac:dyDescent="0.3"/>
    <row r="347" s="716" customFormat="1" x14ac:dyDescent="0.3"/>
    <row r="348" s="716" customFormat="1" x14ac:dyDescent="0.3"/>
    <row r="349" s="716" customFormat="1" x14ac:dyDescent="0.3"/>
    <row r="350" s="716" customFormat="1" x14ac:dyDescent="0.3"/>
    <row r="351" s="716" customFormat="1" x14ac:dyDescent="0.3"/>
    <row r="352" s="716" customFormat="1" x14ac:dyDescent="0.3"/>
    <row r="353" s="716" customFormat="1" x14ac:dyDescent="0.3"/>
    <row r="354" s="716" customFormat="1" x14ac:dyDescent="0.3"/>
    <row r="355" s="716" customFormat="1" x14ac:dyDescent="0.3"/>
    <row r="356" s="716" customFormat="1" x14ac:dyDescent="0.3"/>
    <row r="357" s="716" customFormat="1" x14ac:dyDescent="0.3"/>
    <row r="358" s="716" customFormat="1" x14ac:dyDescent="0.3"/>
    <row r="359" s="716" customFormat="1" x14ac:dyDescent="0.3"/>
    <row r="360" s="716" customFormat="1" x14ac:dyDescent="0.3"/>
    <row r="361" s="716" customFormat="1" x14ac:dyDescent="0.3"/>
    <row r="362" s="716" customFormat="1" x14ac:dyDescent="0.3"/>
    <row r="363" s="716" customFormat="1" x14ac:dyDescent="0.3"/>
    <row r="364" s="716" customFormat="1" x14ac:dyDescent="0.3"/>
    <row r="365" s="716" customFormat="1" x14ac:dyDescent="0.3"/>
    <row r="366" s="716" customFormat="1" x14ac:dyDescent="0.3"/>
    <row r="367" s="716" customFormat="1" x14ac:dyDescent="0.3"/>
    <row r="368" s="716" customFormat="1" x14ac:dyDescent="0.3"/>
    <row r="369" s="716" customFormat="1" x14ac:dyDescent="0.3"/>
    <row r="370" s="716" customFormat="1" x14ac:dyDescent="0.3"/>
    <row r="371" s="716" customFormat="1" x14ac:dyDescent="0.3"/>
    <row r="372" s="716" customFormat="1" x14ac:dyDescent="0.3"/>
    <row r="373" s="716" customFormat="1" x14ac:dyDescent="0.3"/>
    <row r="374" s="716" customFormat="1" x14ac:dyDescent="0.3"/>
    <row r="375" s="716" customFormat="1" x14ac:dyDescent="0.3"/>
    <row r="376" s="716" customFormat="1" x14ac:dyDescent="0.3"/>
    <row r="377" s="716" customFormat="1" x14ac:dyDescent="0.3"/>
    <row r="378" s="716" customFormat="1" x14ac:dyDescent="0.3"/>
    <row r="379" s="716" customFormat="1" x14ac:dyDescent="0.3"/>
    <row r="380" s="716" customFormat="1" x14ac:dyDescent="0.3"/>
    <row r="381" s="716" customFormat="1" x14ac:dyDescent="0.3"/>
    <row r="382" s="716" customFormat="1" x14ac:dyDescent="0.3"/>
    <row r="383" s="716" customFormat="1" x14ac:dyDescent="0.3"/>
    <row r="384" s="716" customFormat="1" x14ac:dyDescent="0.3"/>
    <row r="385" s="716" customFormat="1" x14ac:dyDescent="0.3"/>
    <row r="386" s="716" customFormat="1" x14ac:dyDescent="0.3"/>
    <row r="387" s="716" customFormat="1" x14ac:dyDescent="0.3"/>
    <row r="388" s="716" customFormat="1" x14ac:dyDescent="0.3"/>
    <row r="389" s="716" customFormat="1" x14ac:dyDescent="0.3"/>
    <row r="390" s="716" customFormat="1" x14ac:dyDescent="0.3"/>
    <row r="391" s="716" customFormat="1" x14ac:dyDescent="0.3"/>
    <row r="392" s="716" customFormat="1" x14ac:dyDescent="0.3"/>
    <row r="393" s="716" customFormat="1" x14ac:dyDescent="0.3"/>
    <row r="394" s="716" customFormat="1" x14ac:dyDescent="0.3"/>
    <row r="395" s="716" customFormat="1" x14ac:dyDescent="0.3"/>
    <row r="396" s="716" customFormat="1" x14ac:dyDescent="0.3"/>
    <row r="397" s="716" customFormat="1" x14ac:dyDescent="0.3"/>
    <row r="398" s="716" customFormat="1" x14ac:dyDescent="0.3"/>
    <row r="399" s="716" customFormat="1" x14ac:dyDescent="0.3"/>
    <row r="400" s="716" customFormat="1" x14ac:dyDescent="0.3"/>
    <row r="401" s="716" customFormat="1" x14ac:dyDescent="0.3"/>
    <row r="402" s="716" customFormat="1" x14ac:dyDescent="0.3"/>
    <row r="403" s="716" customFormat="1" x14ac:dyDescent="0.3"/>
    <row r="404" s="716" customFormat="1" x14ac:dyDescent="0.3"/>
    <row r="405" s="716" customFormat="1" x14ac:dyDescent="0.3"/>
    <row r="406" s="716" customFormat="1" x14ac:dyDescent="0.3"/>
    <row r="407" s="716" customFormat="1" x14ac:dyDescent="0.3"/>
    <row r="408" s="716" customFormat="1" x14ac:dyDescent="0.3"/>
    <row r="409" s="716" customFormat="1" x14ac:dyDescent="0.3"/>
    <row r="410" s="716" customFormat="1" x14ac:dyDescent="0.3"/>
    <row r="411" s="716" customFormat="1" x14ac:dyDescent="0.3"/>
    <row r="412" s="716" customFormat="1" x14ac:dyDescent="0.3"/>
    <row r="413" s="716" customFormat="1" x14ac:dyDescent="0.3"/>
    <row r="414" s="716" customFormat="1" x14ac:dyDescent="0.3"/>
    <row r="415" s="716" customFormat="1" x14ac:dyDescent="0.3"/>
    <row r="416" s="716" customFormat="1" x14ac:dyDescent="0.3"/>
    <row r="417" s="716" customFormat="1" x14ac:dyDescent="0.3"/>
    <row r="418" s="716" customFormat="1" x14ac:dyDescent="0.3"/>
    <row r="419" s="716" customFormat="1" x14ac:dyDescent="0.3"/>
    <row r="420" s="716" customFormat="1" x14ac:dyDescent="0.3"/>
    <row r="421" s="716" customFormat="1" x14ac:dyDescent="0.3"/>
    <row r="422" s="716" customFormat="1" x14ac:dyDescent="0.3"/>
    <row r="423" s="716" customFormat="1" x14ac:dyDescent="0.3"/>
    <row r="424" s="716" customFormat="1" x14ac:dyDescent="0.3"/>
    <row r="425" s="716" customFormat="1" x14ac:dyDescent="0.3"/>
    <row r="426" s="716" customFormat="1" x14ac:dyDescent="0.3"/>
    <row r="427" s="716" customFormat="1" x14ac:dyDescent="0.3"/>
    <row r="428" s="716" customFormat="1" x14ac:dyDescent="0.3"/>
    <row r="429" s="716" customFormat="1" x14ac:dyDescent="0.3"/>
    <row r="430" s="716" customFormat="1" x14ac:dyDescent="0.3"/>
    <row r="431" s="716" customFormat="1" x14ac:dyDescent="0.3"/>
    <row r="432" s="716" customFormat="1" x14ac:dyDescent="0.3"/>
    <row r="433" s="716" customFormat="1" x14ac:dyDescent="0.3"/>
    <row r="434" s="716" customFormat="1" x14ac:dyDescent="0.3"/>
    <row r="435" s="716" customFormat="1" x14ac:dyDescent="0.3"/>
    <row r="436" s="716" customFormat="1" x14ac:dyDescent="0.3"/>
    <row r="437" s="716" customFormat="1" x14ac:dyDescent="0.3"/>
    <row r="438" s="716" customFormat="1" x14ac:dyDescent="0.3"/>
    <row r="439" s="716" customFormat="1" x14ac:dyDescent="0.3"/>
    <row r="440" s="716" customFormat="1" x14ac:dyDescent="0.3"/>
    <row r="441" s="716" customFormat="1" x14ac:dyDescent="0.3"/>
    <row r="442" s="716" customFormat="1" x14ac:dyDescent="0.3"/>
    <row r="443" s="716" customFormat="1" x14ac:dyDescent="0.3"/>
    <row r="444" s="716" customFormat="1" x14ac:dyDescent="0.3"/>
    <row r="445" s="716" customFormat="1" x14ac:dyDescent="0.3"/>
    <row r="446" s="716" customFormat="1" x14ac:dyDescent="0.3"/>
    <row r="447" s="716" customFormat="1" x14ac:dyDescent="0.3"/>
    <row r="448" s="716" customFormat="1" x14ac:dyDescent="0.3"/>
    <row r="449" s="716" customFormat="1" x14ac:dyDescent="0.3"/>
    <row r="450" s="716" customFormat="1" x14ac:dyDescent="0.3"/>
    <row r="451" s="716" customFormat="1" x14ac:dyDescent="0.3"/>
    <row r="452" s="716" customFormat="1" x14ac:dyDescent="0.3"/>
    <row r="453" s="716" customFormat="1" x14ac:dyDescent="0.3"/>
    <row r="454" s="716" customFormat="1" x14ac:dyDescent="0.3"/>
    <row r="455" s="716" customFormat="1" x14ac:dyDescent="0.3"/>
    <row r="456" s="716" customFormat="1" x14ac:dyDescent="0.3"/>
    <row r="457" s="716" customFormat="1" x14ac:dyDescent="0.3"/>
    <row r="458" s="716" customFormat="1" x14ac:dyDescent="0.3"/>
    <row r="459" s="716" customFormat="1" x14ac:dyDescent="0.3"/>
    <row r="460" s="716" customFormat="1" x14ac:dyDescent="0.3"/>
    <row r="461" s="716" customFormat="1" x14ac:dyDescent="0.3"/>
    <row r="462" s="716" customFormat="1" x14ac:dyDescent="0.3"/>
    <row r="463" s="716" customFormat="1" x14ac:dyDescent="0.3"/>
    <row r="464" s="716" customFormat="1" x14ac:dyDescent="0.3"/>
    <row r="465" s="716" customFormat="1" x14ac:dyDescent="0.3"/>
    <row r="466" s="716" customFormat="1" x14ac:dyDescent="0.3"/>
    <row r="467" s="716" customFormat="1" x14ac:dyDescent="0.3"/>
    <row r="468" s="716" customFormat="1" x14ac:dyDescent="0.3"/>
    <row r="469" s="716" customFormat="1" x14ac:dyDescent="0.3"/>
    <row r="470" s="716" customFormat="1" x14ac:dyDescent="0.3"/>
    <row r="471" s="716" customFormat="1" x14ac:dyDescent="0.3"/>
    <row r="472" s="716" customFormat="1" x14ac:dyDescent="0.3"/>
    <row r="473" s="716" customFormat="1" x14ac:dyDescent="0.3"/>
    <row r="474" s="716" customFormat="1" x14ac:dyDescent="0.3"/>
    <row r="475" s="716" customFormat="1" x14ac:dyDescent="0.3"/>
    <row r="476" s="716" customFormat="1" x14ac:dyDescent="0.3"/>
    <row r="477" s="716" customFormat="1" x14ac:dyDescent="0.3"/>
    <row r="478" s="716" customFormat="1" x14ac:dyDescent="0.3"/>
    <row r="479" s="716" customFormat="1" x14ac:dyDescent="0.3"/>
    <row r="480" s="716" customFormat="1" x14ac:dyDescent="0.3"/>
    <row r="481" s="716" customFormat="1" x14ac:dyDescent="0.3"/>
    <row r="482" s="716" customFormat="1" x14ac:dyDescent="0.3"/>
    <row r="483" s="716" customFormat="1" x14ac:dyDescent="0.3"/>
    <row r="484" s="716" customFormat="1" x14ac:dyDescent="0.3"/>
    <row r="485" s="716" customFormat="1" x14ac:dyDescent="0.3"/>
    <row r="486" s="716" customFormat="1" x14ac:dyDescent="0.3"/>
    <row r="487" s="716" customFormat="1" x14ac:dyDescent="0.3"/>
    <row r="488" s="716" customFormat="1" x14ac:dyDescent="0.3"/>
    <row r="489" s="716" customFormat="1" x14ac:dyDescent="0.3"/>
    <row r="490" s="716" customFormat="1" x14ac:dyDescent="0.3"/>
    <row r="491" s="716" customFormat="1" x14ac:dyDescent="0.3"/>
    <row r="492" s="716" customFormat="1" x14ac:dyDescent="0.3"/>
    <row r="493" s="716" customFormat="1" x14ac:dyDescent="0.3"/>
    <row r="494" s="716" customFormat="1" x14ac:dyDescent="0.3"/>
    <row r="495" s="716" customFormat="1" x14ac:dyDescent="0.3"/>
    <row r="496" s="716" customFormat="1" x14ac:dyDescent="0.3"/>
    <row r="497" s="716" customFormat="1" x14ac:dyDescent="0.3"/>
    <row r="498" s="716" customFormat="1" x14ac:dyDescent="0.3"/>
    <row r="499" s="716" customFormat="1" x14ac:dyDescent="0.3"/>
    <row r="500" s="716" customFormat="1" x14ac:dyDescent="0.3"/>
    <row r="501" s="716" customFormat="1" x14ac:dyDescent="0.3"/>
    <row r="502" s="716" customFormat="1" x14ac:dyDescent="0.3"/>
    <row r="503" s="716" customFormat="1" x14ac:dyDescent="0.3"/>
    <row r="504" s="716" customFormat="1" x14ac:dyDescent="0.3"/>
    <row r="505" s="716" customFormat="1" x14ac:dyDescent="0.3"/>
    <row r="506" s="716" customFormat="1" x14ac:dyDescent="0.3"/>
    <row r="507" s="716" customFormat="1" x14ac:dyDescent="0.3"/>
    <row r="508" s="716" customFormat="1" x14ac:dyDescent="0.3"/>
    <row r="509" s="716" customFormat="1" x14ac:dyDescent="0.3"/>
    <row r="510" s="716" customFormat="1" x14ac:dyDescent="0.3"/>
    <row r="511" s="716" customFormat="1" x14ac:dyDescent="0.3"/>
    <row r="512" s="716" customFormat="1" x14ac:dyDescent="0.3"/>
    <row r="513" s="716" customFormat="1" x14ac:dyDescent="0.3"/>
    <row r="514" s="716" customFormat="1" x14ac:dyDescent="0.3"/>
    <row r="515" s="716" customFormat="1" x14ac:dyDescent="0.3"/>
    <row r="516" s="716" customFormat="1" x14ac:dyDescent="0.3"/>
  </sheetData>
  <printOptions horizontalCentered="1" verticalCentered="1"/>
  <pageMargins left="0.31496062992125984" right="0.31496062992125984" top="0.35433070866141736" bottom="0.35433070866141736" header="0.31496062992125984" footer="0.31496062992125984"/>
  <pageSetup scale="30" orientation="landscape" r:id="rId1"/>
  <ignoredErrors>
    <ignoredError sqref="B59:AB59"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114"/>
  <sheetViews>
    <sheetView zoomScale="85" zoomScaleNormal="85" workbookViewId="0">
      <pane xSplit="1" topLeftCell="B1" activePane="topRight" state="frozen"/>
      <selection pane="topRight" activeCell="A45" sqref="A45"/>
    </sheetView>
  </sheetViews>
  <sheetFormatPr defaultColWidth="11.44140625" defaultRowHeight="14.4" x14ac:dyDescent="0.3"/>
  <cols>
    <col min="1" max="1" width="84.33203125" style="302" customWidth="1"/>
    <col min="2" max="32" width="12.77734375" style="302" customWidth="1"/>
    <col min="33" max="44" width="11.44140625" style="302"/>
    <col min="45" max="16384" width="11.44140625" style="303"/>
  </cols>
  <sheetData>
    <row r="1" spans="1:44" ht="30" customHeight="1" x14ac:dyDescent="0.3">
      <c r="A1" s="55" t="s">
        <v>417</v>
      </c>
      <c r="B1" s="300"/>
      <c r="C1" s="300"/>
      <c r="D1" s="300"/>
      <c r="E1" s="300"/>
      <c r="F1" s="300"/>
      <c r="G1" s="300"/>
      <c r="H1" s="300"/>
      <c r="I1" s="300"/>
      <c r="J1" s="300"/>
      <c r="K1" s="300"/>
      <c r="L1" s="300"/>
      <c r="M1" s="300"/>
      <c r="N1" s="300"/>
      <c r="O1" s="300"/>
      <c r="P1" s="300"/>
      <c r="Q1" s="300"/>
      <c r="R1" s="300"/>
      <c r="S1" s="300"/>
      <c r="T1" s="300"/>
      <c r="U1" s="300"/>
      <c r="V1" s="301"/>
      <c r="W1" s="301"/>
    </row>
    <row r="2" spans="1:44" ht="30" customHeight="1" x14ac:dyDescent="0.3">
      <c r="A2" s="300"/>
      <c r="B2" s="300"/>
      <c r="C2" s="300"/>
      <c r="D2" s="300"/>
      <c r="E2" s="300"/>
      <c r="F2" s="300"/>
      <c r="G2" s="300"/>
      <c r="H2" s="300"/>
      <c r="I2" s="300"/>
      <c r="J2" s="300"/>
      <c r="K2" s="300"/>
      <c r="L2" s="300"/>
      <c r="M2" s="300"/>
      <c r="N2" s="300"/>
      <c r="O2" s="300"/>
      <c r="P2" s="300"/>
      <c r="Q2" s="300"/>
      <c r="R2" s="300"/>
      <c r="S2" s="300"/>
      <c r="T2" s="300"/>
      <c r="U2" s="300"/>
      <c r="V2" s="301"/>
      <c r="W2" s="301"/>
    </row>
    <row r="3" spans="1:44" ht="19.95" customHeight="1" thickBot="1" x14ac:dyDescent="0.35">
      <c r="A3" s="246" t="s">
        <v>418</v>
      </c>
      <c r="B3" s="304"/>
      <c r="C3" s="304"/>
      <c r="D3" s="304"/>
      <c r="E3" s="304"/>
      <c r="F3" s="304"/>
      <c r="G3" s="304"/>
      <c r="H3" s="304"/>
      <c r="I3" s="304"/>
      <c r="J3" s="304"/>
      <c r="K3" s="304"/>
      <c r="L3" s="304"/>
      <c r="M3" s="304"/>
      <c r="N3" s="304"/>
      <c r="O3" s="304"/>
      <c r="P3" s="304"/>
      <c r="Q3" s="304"/>
      <c r="R3" s="304"/>
      <c r="S3" s="305"/>
      <c r="T3" s="305"/>
      <c r="U3" s="305"/>
      <c r="V3" s="306"/>
      <c r="W3" s="306"/>
      <c r="Y3" s="307"/>
    </row>
    <row r="4" spans="1:44" s="373" customFormat="1" ht="25.05" customHeight="1" thickBot="1" x14ac:dyDescent="0.35">
      <c r="A4" s="713" t="s">
        <v>260</v>
      </c>
      <c r="B4" s="371">
        <f t="shared" ref="B4:N4" si="0">C4-1</f>
        <v>1996</v>
      </c>
      <c r="C4" s="371">
        <f t="shared" si="0"/>
        <v>1997</v>
      </c>
      <c r="D4" s="371">
        <f t="shared" si="0"/>
        <v>1998</v>
      </c>
      <c r="E4" s="371">
        <f t="shared" si="0"/>
        <v>1999</v>
      </c>
      <c r="F4" s="371">
        <f t="shared" si="0"/>
        <v>2000</v>
      </c>
      <c r="G4" s="371">
        <f t="shared" si="0"/>
        <v>2001</v>
      </c>
      <c r="H4" s="371">
        <f t="shared" si="0"/>
        <v>2002</v>
      </c>
      <c r="I4" s="371">
        <f t="shared" si="0"/>
        <v>2003</v>
      </c>
      <c r="J4" s="371">
        <f t="shared" si="0"/>
        <v>2004</v>
      </c>
      <c r="K4" s="371">
        <f t="shared" si="0"/>
        <v>2005</v>
      </c>
      <c r="L4" s="371">
        <f t="shared" si="0"/>
        <v>2006</v>
      </c>
      <c r="M4" s="371">
        <f t="shared" si="0"/>
        <v>2007</v>
      </c>
      <c r="N4" s="371">
        <f t="shared" si="0"/>
        <v>2008</v>
      </c>
      <c r="O4" s="371">
        <f>P4-1</f>
        <v>2009</v>
      </c>
      <c r="P4" s="371">
        <v>2010</v>
      </c>
      <c r="Q4" s="371">
        <v>2011</v>
      </c>
      <c r="R4" s="371">
        <v>2012</v>
      </c>
      <c r="S4" s="371">
        <v>2013</v>
      </c>
      <c r="T4" s="371">
        <v>2014</v>
      </c>
      <c r="U4" s="371">
        <v>2015</v>
      </c>
      <c r="V4" s="371">
        <f>U4+1</f>
        <v>2016</v>
      </c>
      <c r="W4" s="372">
        <f>V4+1</f>
        <v>2017</v>
      </c>
      <c r="X4" s="308"/>
      <c r="Y4" s="308"/>
      <c r="Z4" s="308"/>
      <c r="AA4" s="308"/>
      <c r="AB4" s="308"/>
      <c r="AC4" s="308"/>
      <c r="AD4" s="308"/>
      <c r="AE4" s="308"/>
      <c r="AF4" s="308"/>
      <c r="AG4" s="308"/>
      <c r="AH4" s="308"/>
      <c r="AI4" s="308"/>
      <c r="AJ4" s="308"/>
      <c r="AK4" s="308"/>
      <c r="AL4" s="308"/>
      <c r="AM4" s="308"/>
      <c r="AN4" s="308"/>
      <c r="AO4" s="308"/>
      <c r="AP4" s="308"/>
      <c r="AQ4" s="308"/>
      <c r="AR4" s="308"/>
    </row>
    <row r="5" spans="1:44" s="312" customFormat="1" ht="4.95" customHeight="1" x14ac:dyDescent="0.3">
      <c r="A5" s="308"/>
      <c r="B5" s="309"/>
      <c r="C5" s="309"/>
      <c r="D5" s="309"/>
      <c r="E5" s="309"/>
      <c r="F5" s="309"/>
      <c r="G5" s="309"/>
      <c r="H5" s="309"/>
      <c r="I5" s="309"/>
      <c r="J5" s="309"/>
      <c r="K5" s="309"/>
      <c r="L5" s="309"/>
      <c r="M5" s="309"/>
      <c r="N5" s="309"/>
      <c r="O5" s="309"/>
      <c r="P5" s="309"/>
      <c r="Q5" s="309"/>
      <c r="R5" s="309"/>
      <c r="S5" s="309"/>
      <c r="T5" s="309"/>
      <c r="U5" s="309"/>
      <c r="V5" s="309"/>
      <c r="W5" s="310"/>
      <c r="X5" s="311"/>
      <c r="Y5" s="302"/>
      <c r="Z5" s="302"/>
      <c r="AA5" s="302"/>
      <c r="AB5" s="302"/>
      <c r="AC5" s="302"/>
      <c r="AD5" s="302"/>
      <c r="AE5" s="302"/>
      <c r="AF5" s="302"/>
      <c r="AG5" s="302"/>
      <c r="AH5" s="302"/>
      <c r="AI5" s="302"/>
      <c r="AJ5" s="302"/>
      <c r="AK5" s="302"/>
      <c r="AL5" s="302"/>
      <c r="AM5" s="302"/>
      <c r="AN5" s="302"/>
      <c r="AO5" s="302"/>
      <c r="AP5" s="302"/>
      <c r="AQ5" s="302"/>
      <c r="AR5" s="302"/>
    </row>
    <row r="6" spans="1:44" s="312" customFormat="1" ht="15" customHeight="1" x14ac:dyDescent="0.3">
      <c r="A6" s="109" t="s">
        <v>262</v>
      </c>
      <c r="B6" s="334"/>
      <c r="C6" s="334"/>
      <c r="D6" s="334"/>
      <c r="E6" s="334"/>
      <c r="F6" s="334"/>
      <c r="G6" s="334"/>
      <c r="H6" s="334"/>
      <c r="I6" s="334"/>
      <c r="J6" s="334"/>
      <c r="K6" s="334"/>
      <c r="L6" s="334"/>
      <c r="M6" s="334"/>
      <c r="N6" s="334"/>
      <c r="O6" s="334"/>
      <c r="P6" s="334"/>
      <c r="Q6" s="334"/>
      <c r="R6" s="334"/>
      <c r="S6" s="334"/>
      <c r="T6" s="334"/>
      <c r="U6" s="334"/>
      <c r="V6" s="334"/>
      <c r="W6" s="335"/>
      <c r="X6" s="311"/>
      <c r="Y6" s="302"/>
      <c r="Z6" s="302"/>
      <c r="AA6" s="302"/>
      <c r="AB6" s="302"/>
      <c r="AC6" s="302"/>
      <c r="AD6" s="302"/>
      <c r="AE6" s="302"/>
      <c r="AF6" s="302"/>
      <c r="AG6" s="302"/>
      <c r="AH6" s="302"/>
      <c r="AI6" s="302"/>
      <c r="AJ6" s="302"/>
      <c r="AK6" s="302"/>
      <c r="AL6" s="302"/>
      <c r="AM6" s="302"/>
      <c r="AN6" s="302"/>
      <c r="AO6" s="302"/>
      <c r="AP6" s="302"/>
      <c r="AQ6" s="302"/>
      <c r="AR6" s="302"/>
    </row>
    <row r="7" spans="1:44" s="312" customFormat="1" ht="15" customHeight="1" x14ac:dyDescent="0.3">
      <c r="A7" s="308" t="s">
        <v>210</v>
      </c>
      <c r="B7" s="309">
        <v>5979.3297644577005</v>
      </c>
      <c r="C7" s="309">
        <v>7302.3874713711612</v>
      </c>
      <c r="D7" s="309">
        <v>6743.8138007373</v>
      </c>
      <c r="E7" s="309">
        <v>7774.7682179378398</v>
      </c>
      <c r="F7" s="309">
        <v>8229.6691506848001</v>
      </c>
      <c r="G7" s="309">
        <v>9595.3464288549021</v>
      </c>
      <c r="H7" s="309">
        <v>10326.463662837841</v>
      </c>
      <c r="I7" s="309">
        <v>11031.770307544841</v>
      </c>
      <c r="J7" s="309">
        <v>13386.991671530823</v>
      </c>
      <c r="K7" s="309">
        <v>14812.20656376258</v>
      </c>
      <c r="L7" s="309">
        <v>16132.907163166923</v>
      </c>
      <c r="M7" s="309">
        <v>16010.13132842382</v>
      </c>
      <c r="N7" s="309">
        <v>17715.173544038884</v>
      </c>
      <c r="O7" s="309">
        <v>19765.149403480322</v>
      </c>
      <c r="P7" s="309">
        <v>19635.001898346</v>
      </c>
      <c r="Q7" s="309">
        <v>22543.8159892068</v>
      </c>
      <c r="R7" s="309">
        <v>25311.785232491995</v>
      </c>
      <c r="S7" s="309">
        <v>27293.2162082496</v>
      </c>
      <c r="T7" s="309">
        <v>30647.124389444398</v>
      </c>
      <c r="U7" s="309">
        <v>33175.480316134621</v>
      </c>
      <c r="V7" s="309">
        <v>35458.136236510785</v>
      </c>
      <c r="W7" s="313">
        <v>41575.336045559998</v>
      </c>
      <c r="X7" s="311"/>
      <c r="Y7" s="302"/>
      <c r="Z7" s="302"/>
      <c r="AA7" s="302"/>
      <c r="AB7" s="302"/>
      <c r="AC7" s="302"/>
      <c r="AD7" s="302"/>
      <c r="AE7" s="302"/>
      <c r="AF7" s="302"/>
      <c r="AG7" s="302"/>
      <c r="AH7" s="302"/>
      <c r="AI7" s="302"/>
      <c r="AJ7" s="302"/>
      <c r="AK7" s="302"/>
      <c r="AL7" s="302"/>
      <c r="AM7" s="302"/>
      <c r="AN7" s="302"/>
      <c r="AO7" s="302"/>
      <c r="AP7" s="302"/>
      <c r="AQ7" s="302"/>
      <c r="AR7" s="302"/>
    </row>
    <row r="8" spans="1:44" s="312" customFormat="1" ht="15" customHeight="1" x14ac:dyDescent="0.3">
      <c r="A8" s="109" t="s">
        <v>263</v>
      </c>
      <c r="B8" s="334"/>
      <c r="C8" s="334"/>
      <c r="D8" s="334"/>
      <c r="E8" s="334"/>
      <c r="F8" s="334"/>
      <c r="G8" s="334"/>
      <c r="H8" s="334"/>
      <c r="I8" s="334"/>
      <c r="J8" s="334"/>
      <c r="K8" s="334"/>
      <c r="L8" s="334"/>
      <c r="M8" s="334"/>
      <c r="N8" s="334"/>
      <c r="O8" s="334"/>
      <c r="P8" s="334"/>
      <c r="Q8" s="334"/>
      <c r="R8" s="334"/>
      <c r="S8" s="334"/>
      <c r="T8" s="334"/>
      <c r="U8" s="334"/>
      <c r="V8" s="334"/>
      <c r="W8" s="335"/>
      <c r="X8" s="311"/>
      <c r="Y8" s="302"/>
      <c r="Z8" s="302"/>
      <c r="AA8" s="302"/>
      <c r="AB8" s="302"/>
      <c r="AC8" s="302"/>
      <c r="AD8" s="302"/>
      <c r="AE8" s="302"/>
      <c r="AF8" s="302"/>
      <c r="AG8" s="302"/>
      <c r="AH8" s="302"/>
      <c r="AI8" s="302"/>
      <c r="AJ8" s="302"/>
      <c r="AK8" s="302"/>
      <c r="AL8" s="302"/>
      <c r="AM8" s="302"/>
      <c r="AN8" s="302"/>
      <c r="AO8" s="302"/>
      <c r="AP8" s="302"/>
      <c r="AQ8" s="302"/>
      <c r="AR8" s="302"/>
    </row>
    <row r="9" spans="1:44" ht="15" customHeight="1" x14ac:dyDescent="0.3">
      <c r="A9" s="308" t="s">
        <v>205</v>
      </c>
      <c r="B9" s="309">
        <v>0</v>
      </c>
      <c r="C9" s="309">
        <v>0</v>
      </c>
      <c r="D9" s="309">
        <v>0</v>
      </c>
      <c r="E9" s="309">
        <v>0</v>
      </c>
      <c r="F9" s="309">
        <v>0</v>
      </c>
      <c r="G9" s="309">
        <v>0</v>
      </c>
      <c r="H9" s="309">
        <v>455</v>
      </c>
      <c r="I9" s="309">
        <v>1710.7324599999999</v>
      </c>
      <c r="J9" s="309">
        <v>782.40358100000003</v>
      </c>
      <c r="K9" s="309">
        <v>5691.6670409999997</v>
      </c>
      <c r="L9" s="309">
        <v>7524.6613219999999</v>
      </c>
      <c r="M9" s="309">
        <v>8965.4996080000001</v>
      </c>
      <c r="N9" s="309">
        <v>10606.500193</v>
      </c>
      <c r="O9" s="309">
        <v>12454.702501</v>
      </c>
      <c r="P9" s="309">
        <v>14372.702864999999</v>
      </c>
      <c r="Q9" s="309">
        <v>17360.387445</v>
      </c>
      <c r="R9" s="309">
        <v>21156.744695000001</v>
      </c>
      <c r="S9" s="309">
        <v>24890.107091000002</v>
      </c>
      <c r="T9" s="309">
        <v>27185.773069999999</v>
      </c>
      <c r="U9" s="309">
        <v>25379.505411999999</v>
      </c>
      <c r="V9" s="309">
        <v>28506.168795000001</v>
      </c>
      <c r="W9" s="313">
        <v>29775.546008000001</v>
      </c>
      <c r="X9" s="311"/>
    </row>
    <row r="10" spans="1:44" ht="15" customHeight="1" x14ac:dyDescent="0.3">
      <c r="A10" s="308" t="s">
        <v>206</v>
      </c>
      <c r="B10" s="309">
        <v>172.34294</v>
      </c>
      <c r="C10" s="309">
        <v>769.73267799999996</v>
      </c>
      <c r="D10" s="309">
        <v>1134.1992990000001</v>
      </c>
      <c r="E10" s="309">
        <v>1533.1224219999999</v>
      </c>
      <c r="F10" s="309">
        <v>2001.4682190000001</v>
      </c>
      <c r="G10" s="309">
        <v>2694.0215119999998</v>
      </c>
      <c r="H10" s="309">
        <v>3428.1002250000001</v>
      </c>
      <c r="I10" s="309">
        <v>4533.2215079999996</v>
      </c>
      <c r="J10" s="309">
        <v>5814.238018</v>
      </c>
      <c r="K10" s="309">
        <v>7523.8614440000001</v>
      </c>
      <c r="L10" s="309">
        <v>9718.7875810000005</v>
      </c>
      <c r="M10" s="309">
        <v>11548.344924999999</v>
      </c>
      <c r="N10" s="309">
        <v>13785.789000000001</v>
      </c>
      <c r="O10" s="309">
        <v>16859.413</v>
      </c>
      <c r="P10" s="309">
        <v>20104.032999999999</v>
      </c>
      <c r="Q10" s="309">
        <v>22854.839</v>
      </c>
      <c r="R10" s="309">
        <v>27434.935000000001</v>
      </c>
      <c r="S10" s="309">
        <v>31412.336945350002</v>
      </c>
      <c r="T10" s="309">
        <v>35121.429410999997</v>
      </c>
      <c r="U10" s="309">
        <v>36580.345781999997</v>
      </c>
      <c r="V10" s="309">
        <v>45637.596914590227</v>
      </c>
      <c r="W10" s="313">
        <v>49931.469562999999</v>
      </c>
      <c r="X10" s="311"/>
    </row>
    <row r="11" spans="1:44" ht="15" customHeight="1" x14ac:dyDescent="0.3">
      <c r="A11" s="109" t="s">
        <v>264</v>
      </c>
      <c r="B11" s="334"/>
      <c r="C11" s="334"/>
      <c r="D11" s="334"/>
      <c r="E11" s="334"/>
      <c r="F11" s="334"/>
      <c r="G11" s="334"/>
      <c r="H11" s="334"/>
      <c r="I11" s="334"/>
      <c r="J11" s="334"/>
      <c r="K11" s="334"/>
      <c r="L11" s="334"/>
      <c r="M11" s="334"/>
      <c r="N11" s="334"/>
      <c r="O11" s="334"/>
      <c r="P11" s="334"/>
      <c r="Q11" s="334"/>
      <c r="R11" s="334"/>
      <c r="S11" s="334"/>
      <c r="T11" s="334"/>
      <c r="U11" s="334"/>
      <c r="V11" s="334"/>
      <c r="W11" s="335"/>
      <c r="X11" s="311"/>
    </row>
    <row r="12" spans="1:44" ht="15" customHeight="1" x14ac:dyDescent="0.3">
      <c r="A12" s="308" t="s">
        <v>207</v>
      </c>
      <c r="B12" s="309">
        <v>0</v>
      </c>
      <c r="C12" s="309">
        <v>0</v>
      </c>
      <c r="D12" s="309">
        <v>0</v>
      </c>
      <c r="E12" s="309">
        <v>0</v>
      </c>
      <c r="F12" s="309">
        <v>0</v>
      </c>
      <c r="G12" s="309">
        <v>0</v>
      </c>
      <c r="H12" s="309">
        <v>0</v>
      </c>
      <c r="I12" s="309">
        <v>0</v>
      </c>
      <c r="J12" s="309">
        <v>0</v>
      </c>
      <c r="K12" s="309">
        <v>0</v>
      </c>
      <c r="L12" s="309">
        <v>0</v>
      </c>
      <c r="M12" s="309">
        <v>0</v>
      </c>
      <c r="N12" s="309">
        <v>0</v>
      </c>
      <c r="O12" s="309">
        <v>0</v>
      </c>
      <c r="P12" s="309">
        <v>3624.9064950699999</v>
      </c>
      <c r="Q12" s="309">
        <v>5396.6981109899998</v>
      </c>
      <c r="R12" s="309">
        <v>7575.9665781000003</v>
      </c>
      <c r="S12" s="309">
        <v>9567.9057664299999</v>
      </c>
      <c r="T12" s="309">
        <v>12121.129252160001</v>
      </c>
      <c r="U12" s="309">
        <v>11435.51975503</v>
      </c>
      <c r="V12" s="309">
        <v>12223.988086900001</v>
      </c>
      <c r="W12" s="313">
        <v>12992.87693756601</v>
      </c>
      <c r="X12" s="311"/>
    </row>
    <row r="13" spans="1:44" x14ac:dyDescent="0.3">
      <c r="A13" s="168" t="s">
        <v>261</v>
      </c>
      <c r="B13" s="333"/>
      <c r="C13" s="333"/>
      <c r="D13" s="333"/>
      <c r="E13" s="333"/>
      <c r="F13" s="333"/>
      <c r="G13" s="333"/>
      <c r="H13" s="333"/>
      <c r="I13" s="333"/>
      <c r="J13" s="333"/>
      <c r="K13" s="333"/>
      <c r="L13" s="333"/>
      <c r="M13" s="333"/>
      <c r="N13" s="333"/>
      <c r="O13" s="333"/>
      <c r="P13" s="333"/>
      <c r="Q13" s="333"/>
      <c r="R13" s="333"/>
      <c r="S13" s="333"/>
      <c r="T13" s="333"/>
      <c r="U13" s="333"/>
      <c r="V13" s="333"/>
      <c r="W13" s="336"/>
    </row>
    <row r="14" spans="1:44" ht="15" customHeight="1" x14ac:dyDescent="0.3">
      <c r="A14" s="308" t="s">
        <v>209</v>
      </c>
      <c r="B14" s="309">
        <v>9081.7130300000008</v>
      </c>
      <c r="C14" s="309">
        <v>8970.1029869999984</v>
      </c>
      <c r="D14" s="309">
        <v>9877.1153500000019</v>
      </c>
      <c r="E14" s="309">
        <v>10811.663459000001</v>
      </c>
      <c r="F14" s="309">
        <v>12302.100930000001</v>
      </c>
      <c r="G14" s="309">
        <v>14889.125779999998</v>
      </c>
      <c r="H14" s="309">
        <v>17231.327067000002</v>
      </c>
      <c r="I14" s="309">
        <v>20911.562920000004</v>
      </c>
      <c r="J14" s="309">
        <v>23505.157950000001</v>
      </c>
      <c r="K14" s="309">
        <v>26698.186839999998</v>
      </c>
      <c r="L14" s="309">
        <v>30965.808418000001</v>
      </c>
      <c r="M14" s="309">
        <v>34229.689201000008</v>
      </c>
      <c r="N14" s="309">
        <v>38276.271102999999</v>
      </c>
      <c r="O14" s="309">
        <v>44664.050053000006</v>
      </c>
      <c r="P14" s="309">
        <v>50147.498850000004</v>
      </c>
      <c r="Q14" s="309">
        <v>54355.870565000012</v>
      </c>
      <c r="R14" s="309">
        <v>63259.012999999999</v>
      </c>
      <c r="S14" s="309">
        <v>70669.146999999997</v>
      </c>
      <c r="T14" s="309">
        <v>77637.59797599999</v>
      </c>
      <c r="U14" s="309">
        <v>86167.979920849975</v>
      </c>
      <c r="V14" s="309">
        <v>97734.950213909833</v>
      </c>
      <c r="W14" s="313">
        <v>113437.82637111218</v>
      </c>
      <c r="X14" s="311"/>
    </row>
    <row r="15" spans="1:44" ht="15" customHeight="1" x14ac:dyDescent="0.3">
      <c r="A15" s="314" t="s">
        <v>208</v>
      </c>
      <c r="B15" s="315">
        <v>15.662188</v>
      </c>
      <c r="C15" s="315">
        <v>20.801935</v>
      </c>
      <c r="D15" s="315">
        <v>14.809426</v>
      </c>
      <c r="E15" s="315">
        <v>14.0227</v>
      </c>
      <c r="F15" s="315">
        <v>16.086666000000001</v>
      </c>
      <c r="G15" s="315">
        <v>25.487960999999999</v>
      </c>
      <c r="H15" s="315">
        <v>31.562224000000001</v>
      </c>
      <c r="I15" s="315">
        <v>46.323487</v>
      </c>
      <c r="J15" s="315">
        <v>61.567177000000001</v>
      </c>
      <c r="K15" s="315">
        <v>91.032120000000006</v>
      </c>
      <c r="L15" s="315">
        <v>108.467355</v>
      </c>
      <c r="M15" s="315">
        <v>121.913641</v>
      </c>
      <c r="N15" s="315">
        <v>140.506</v>
      </c>
      <c r="O15" s="315">
        <v>174.10300000000001</v>
      </c>
      <c r="P15" s="315">
        <v>214.29499999999999</v>
      </c>
      <c r="Q15" s="315">
        <v>257.57900000000001</v>
      </c>
      <c r="R15" s="315">
        <v>317.68400000000003</v>
      </c>
      <c r="S15" s="315">
        <v>382.70544358000001</v>
      </c>
      <c r="T15" s="315">
        <v>435.13558399999999</v>
      </c>
      <c r="U15" s="315">
        <v>452.70679500000006</v>
      </c>
      <c r="V15" s="315">
        <v>517.89964553000107</v>
      </c>
      <c r="W15" s="316">
        <v>601.11</v>
      </c>
      <c r="X15" s="311"/>
    </row>
    <row r="16" spans="1:44" ht="15" customHeight="1" x14ac:dyDescent="0.3">
      <c r="A16" s="143" t="s">
        <v>307</v>
      </c>
      <c r="B16" s="317">
        <f t="shared" ref="B16:V16" si="1">SUM(B10,B14:B15)</f>
        <v>9269.7181580000015</v>
      </c>
      <c r="C16" s="317">
        <f t="shared" si="1"/>
        <v>9760.6375999999982</v>
      </c>
      <c r="D16" s="317">
        <f t="shared" si="1"/>
        <v>11026.124075000002</v>
      </c>
      <c r="E16" s="317">
        <f t="shared" si="1"/>
        <v>12358.808581000001</v>
      </c>
      <c r="F16" s="317">
        <f t="shared" si="1"/>
        <v>14319.655815</v>
      </c>
      <c r="G16" s="317">
        <f t="shared" si="1"/>
        <v>17608.635252999997</v>
      </c>
      <c r="H16" s="317">
        <f t="shared" si="1"/>
        <v>20690.989516000001</v>
      </c>
      <c r="I16" s="317">
        <f t="shared" si="1"/>
        <v>25491.107915000004</v>
      </c>
      <c r="J16" s="317">
        <f t="shared" si="1"/>
        <v>29380.963145000002</v>
      </c>
      <c r="K16" s="317">
        <f t="shared" si="1"/>
        <v>34313.080404</v>
      </c>
      <c r="L16" s="317">
        <f t="shared" si="1"/>
        <v>40793.063353999998</v>
      </c>
      <c r="M16" s="317">
        <f t="shared" si="1"/>
        <v>45899.947767000005</v>
      </c>
      <c r="N16" s="317">
        <f t="shared" si="1"/>
        <v>52202.566102999997</v>
      </c>
      <c r="O16" s="317">
        <f t="shared" si="1"/>
        <v>61697.56605300001</v>
      </c>
      <c r="P16" s="317">
        <f t="shared" si="1"/>
        <v>70465.826849999998</v>
      </c>
      <c r="Q16" s="317">
        <f t="shared" si="1"/>
        <v>77468.28856500001</v>
      </c>
      <c r="R16" s="317">
        <f t="shared" si="1"/>
        <v>91011.631999999998</v>
      </c>
      <c r="S16" s="317">
        <f t="shared" si="1"/>
        <v>102464.18938893</v>
      </c>
      <c r="T16" s="317">
        <f t="shared" si="1"/>
        <v>113194.16297099998</v>
      </c>
      <c r="U16" s="317">
        <f t="shared" si="1"/>
        <v>123201.03249784998</v>
      </c>
      <c r="V16" s="317">
        <f t="shared" si="1"/>
        <v>143890.44677403008</v>
      </c>
      <c r="W16" s="318">
        <f>SUM(W10,W14:W15)</f>
        <v>163970.40593411218</v>
      </c>
      <c r="X16" s="324"/>
    </row>
    <row r="17" spans="1:44" ht="15" customHeight="1" x14ac:dyDescent="0.3">
      <c r="A17" s="19" t="s">
        <v>312</v>
      </c>
      <c r="B17" s="319">
        <f>(B16/B79)</f>
        <v>3.2163854127927431E-2</v>
      </c>
      <c r="C17" s="319">
        <f>(C16/C79)</f>
        <v>2.4990162566489501E-2</v>
      </c>
      <c r="D17" s="319">
        <f>(D16/D79)</f>
        <v>2.2044206531187025E-2</v>
      </c>
      <c r="E17" s="319">
        <f>(E16/E79)</f>
        <v>2.0999252024984573E-2</v>
      </c>
      <c r="F17" s="319">
        <f>(F16/F79)</f>
        <v>2.3231768348761717E-2</v>
      </c>
      <c r="G17" s="319">
        <f>(G16/G79)</f>
        <v>2.9180672674409776E-2</v>
      </c>
      <c r="H17" s="319">
        <f>(H16/H79)</f>
        <v>3.0656583754313828E-2</v>
      </c>
      <c r="I17" s="319">
        <f>(I16/I79)</f>
        <v>2.9084276841126983E-2</v>
      </c>
      <c r="J17" s="319">
        <f>(J16/J79)</f>
        <v>3.2351555115584289E-2</v>
      </c>
      <c r="K17" s="319">
        <f>(K16/K79)</f>
        <v>3.1002390935732625E-2</v>
      </c>
      <c r="L17" s="319">
        <f>(L16/L79)</f>
        <v>3.4727301800302472E-2</v>
      </c>
      <c r="M17" s="319">
        <f>(M16/M79)</f>
        <v>3.9382404339032395E-2</v>
      </c>
      <c r="N17" s="319">
        <f>(N16/N79)</f>
        <v>4.3670203755510791E-2</v>
      </c>
      <c r="O17" s="319">
        <f>(O16/O79)</f>
        <v>4.6217797384607601E-2</v>
      </c>
      <c r="P17" s="319">
        <f>(P16/P79)</f>
        <v>4.9709221815072403E-2</v>
      </c>
      <c r="Q17" s="319">
        <f>(Q16/Q79)</f>
        <v>4.9205201816319613E-2</v>
      </c>
      <c r="R17" s="319">
        <f>(R16/R79)</f>
        <v>5.3150745513727359E-2</v>
      </c>
      <c r="S17" s="319">
        <f>(S16/S79)</f>
        <v>6.0719138478779071E-2</v>
      </c>
      <c r="T17" s="319">
        <f>(T16/T79)</f>
        <v>5.5487897390209651E-2</v>
      </c>
      <c r="U17" s="319">
        <f>(U16/U79)</f>
        <v>5.5542280680213094E-2</v>
      </c>
      <c r="V17" s="319">
        <f>(V16/V79)</f>
        <v>5.6897358667914788E-2</v>
      </c>
      <c r="W17" s="320">
        <f>(W16/W79)</f>
        <v>6.1000473966037715E-2</v>
      </c>
    </row>
    <row r="18" spans="1:44" ht="15" customHeight="1" x14ac:dyDescent="0.3">
      <c r="A18" s="19" t="s">
        <v>271</v>
      </c>
      <c r="B18" s="319">
        <f>(B16/B80)</f>
        <v>8.6344004149366244E-2</v>
      </c>
      <c r="C18" s="319">
        <f>(C16/C80)</f>
        <v>8.1606957887729037E-2</v>
      </c>
      <c r="D18" s="319">
        <f>(D16/D80)</f>
        <v>8.1757865205313307E-2</v>
      </c>
      <c r="E18" s="319">
        <f>(E16/E80)</f>
        <v>8.4562273071183539E-2</v>
      </c>
      <c r="F18" s="319">
        <f>(F16/F80)</f>
        <v>0.10025648939707799</v>
      </c>
      <c r="G18" s="319">
        <f>(G16/G80)</f>
        <v>0.10751475732311845</v>
      </c>
      <c r="H18" s="319">
        <f>(H16/H80)</f>
        <v>0.11158600566015889</v>
      </c>
      <c r="I18" s="319">
        <f>(I16/I80)</f>
        <v>0.12072336463414385</v>
      </c>
      <c r="J18" s="319">
        <f>(J16/J80)</f>
        <v>0.11926091719893654</v>
      </c>
      <c r="K18" s="319">
        <f>(K16/K80)</f>
        <v>0.12119313210462206</v>
      </c>
      <c r="L18" s="319">
        <f>(L16/L80)</f>
        <v>0.12648338355308911</v>
      </c>
      <c r="M18" s="319">
        <f>(M16/M80)</f>
        <v>0.13212500521663842</v>
      </c>
      <c r="N18" s="319">
        <f>(N16/N80)</f>
        <v>0.13551276709523472</v>
      </c>
      <c r="O18" s="319">
        <f>(O16/O80)</f>
        <v>0.13841199743413821</v>
      </c>
      <c r="P18" s="319">
        <f>(P16/P80)</f>
        <v>0.13810762103295837</v>
      </c>
      <c r="Q18" s="319">
        <f>(Q16/Q80)</f>
        <v>0.13729438578844977</v>
      </c>
      <c r="R18" s="319">
        <f>(R16/R80)</f>
        <v>0.1424117608625689</v>
      </c>
      <c r="S18" s="319">
        <f>(S16/S80)</f>
        <v>0.14055620035085131</v>
      </c>
      <c r="T18" s="319">
        <f>(T16/T80)</f>
        <v>0.13920263882814241</v>
      </c>
      <c r="U18" s="319">
        <f>(U16/U80)</f>
        <v>0.14711273709121195</v>
      </c>
      <c r="V18" s="319">
        <f>(V16/V80)</f>
        <v>0.15467290204842243</v>
      </c>
      <c r="W18" s="320">
        <f>(W16/W80)</f>
        <v>0.16582703583350855</v>
      </c>
    </row>
    <row r="19" spans="1:44" ht="15" customHeight="1" x14ac:dyDescent="0.3">
      <c r="A19" s="19" t="s">
        <v>309</v>
      </c>
      <c r="B19" s="319">
        <f>(B16/B81)</f>
        <v>1.0844774009183721E-2</v>
      </c>
      <c r="C19" s="319">
        <f>(C16/C81)</f>
        <v>1.0251810061595873E-2</v>
      </c>
      <c r="D19" s="319">
        <f>(D16/D81)</f>
        <v>1.1000262247103753E-2</v>
      </c>
      <c r="E19" s="319">
        <f>(E16/E81)</f>
        <v>1.1362222834407064E-2</v>
      </c>
      <c r="F19" s="319">
        <f>(F16/F81)</f>
        <v>1.1942081981888125E-2</v>
      </c>
      <c r="G19" s="319">
        <f>(G16/G81)</f>
        <v>1.3382908666173711E-2</v>
      </c>
      <c r="H19" s="319">
        <f>(H16/H81)</f>
        <v>1.3897881946738603E-2</v>
      </c>
      <c r="I19" s="319">
        <f>(I16/I81)</f>
        <v>1.4838093095152081E-2</v>
      </c>
      <c r="J19" s="319">
        <f>(J16/J81)</f>
        <v>1.5007506035733385E-2</v>
      </c>
      <c r="K19" s="319">
        <f>(K16/K81)</f>
        <v>1.5808221427914923E-2</v>
      </c>
      <c r="L19" s="319">
        <f>(L16/L81)</f>
        <v>1.6930446520918369E-2</v>
      </c>
      <c r="M19" s="319">
        <f>(M16/M81)</f>
        <v>1.6873349726895703E-2</v>
      </c>
      <c r="N19" s="319">
        <f>(N16/N81)</f>
        <v>1.6786453812140053E-2</v>
      </c>
      <c r="O19" s="319">
        <f>(O16/O81)</f>
        <v>1.8510902384935832E-2</v>
      </c>
      <c r="P19" s="319">
        <f>(P16/P81)</f>
        <v>1.8133968437254469E-2</v>
      </c>
      <c r="Q19" s="319">
        <f>(Q16/Q81)</f>
        <v>1.7701445752450314E-2</v>
      </c>
      <c r="R19" s="319">
        <f>(R16/R81)</f>
        <v>1.8902631076107634E-2</v>
      </c>
      <c r="S19" s="319">
        <f>(S16/S81)</f>
        <v>1.9218212964754199E-2</v>
      </c>
      <c r="T19" s="319">
        <f>(T16/T81)</f>
        <v>1.9587313302426929E-2</v>
      </c>
      <c r="U19" s="319">
        <f>(U16/U81)</f>
        <v>2.0531553344312704E-2</v>
      </c>
      <c r="V19" s="319">
        <f>(V16/V81)</f>
        <v>2.2960405882879172E-2</v>
      </c>
      <c r="W19" s="320">
        <f>(W16/W81)</f>
        <v>2.5085846666797414E-2</v>
      </c>
    </row>
    <row r="20" spans="1:44" ht="15" customHeight="1" x14ac:dyDescent="0.3">
      <c r="A20" s="19" t="s">
        <v>310</v>
      </c>
      <c r="B20" s="309">
        <f>+B16*1000/B82</f>
        <v>276.3486195236369</v>
      </c>
      <c r="C20" s="309">
        <f>+C16*1000/C82</f>
        <v>285.75106121333505</v>
      </c>
      <c r="D20" s="309">
        <f>+D16*1000/D82</f>
        <v>321.80211578570174</v>
      </c>
      <c r="E20" s="309">
        <f>+E16*1000/E82</f>
        <v>347.5974895698044</v>
      </c>
      <c r="F20" s="309">
        <f>+F16*1000/F82</f>
        <v>537.74163195514825</v>
      </c>
      <c r="G20" s="309">
        <f>+G16*1000/G82</f>
        <v>478.33308490320536</v>
      </c>
      <c r="H20" s="309">
        <f>+H16*1000/H82</f>
        <v>535.28638886657563</v>
      </c>
      <c r="I20" s="309">
        <f>+I16*1000/I82</f>
        <v>662.6914166863595</v>
      </c>
      <c r="J20" s="309">
        <f>+J16*1000/J82</f>
        <v>749.66100881672469</v>
      </c>
      <c r="K20" s="309">
        <f>+K16*1000/K82</f>
        <v>867.57749669093528</v>
      </c>
      <c r="L20" s="309">
        <f>+L16*1000/L82</f>
        <v>1002.9712754518041</v>
      </c>
      <c r="M20" s="309">
        <f>+M16*1000/M82</f>
        <v>1154.8058726851496</v>
      </c>
      <c r="N20" s="309">
        <f>+N16*1000/N82</f>
        <v>1314.8511153671236</v>
      </c>
      <c r="O20" s="309">
        <f>+O16*1000/O82</f>
        <v>1600.0876284305764</v>
      </c>
      <c r="P20" s="309">
        <f>+P16*1000/P82</f>
        <v>2474.6727633543842</v>
      </c>
      <c r="Q20" s="309">
        <f>+Q16*1000/Q82</f>
        <v>2223.6556306862417</v>
      </c>
      <c r="R20" s="309">
        <f>+R16*1000/R82</f>
        <v>2624.7862009956648</v>
      </c>
      <c r="S20" s="309">
        <f>+S16*1000/S82</f>
        <v>3038.0404991934515</v>
      </c>
      <c r="T20" s="309">
        <f>+T16*1000/T82</f>
        <v>3307.4498296809252</v>
      </c>
      <c r="U20" s="309">
        <f>+U16*1000/U82</f>
        <v>3759.9129104607127</v>
      </c>
      <c r="V20" s="309">
        <f>+V16*1000/V82</f>
        <v>4675.9820571413729</v>
      </c>
      <c r="W20" s="313">
        <f>+W16*1000/W82</f>
        <v>5414.6619891211085</v>
      </c>
      <c r="X20" s="321"/>
      <c r="Y20" s="303"/>
      <c r="Z20" s="303"/>
      <c r="AA20" s="303"/>
      <c r="AB20" s="303"/>
      <c r="AC20" s="303"/>
      <c r="AD20" s="303"/>
      <c r="AE20" s="303"/>
      <c r="AF20" s="303"/>
      <c r="AG20" s="303"/>
      <c r="AH20" s="303"/>
      <c r="AI20" s="303"/>
      <c r="AJ20" s="303"/>
      <c r="AK20" s="303"/>
      <c r="AL20" s="303"/>
      <c r="AM20" s="303"/>
      <c r="AN20" s="303"/>
      <c r="AO20" s="303"/>
      <c r="AP20" s="303"/>
      <c r="AQ20" s="303"/>
      <c r="AR20" s="303"/>
    </row>
    <row r="21" spans="1:44" ht="15" customHeight="1" x14ac:dyDescent="0.3">
      <c r="A21" s="19" t="s">
        <v>311</v>
      </c>
      <c r="B21" s="319">
        <f>B20/B83</f>
        <v>0.19682950108521147</v>
      </c>
      <c r="C21" s="319">
        <f>C20/C83</f>
        <v>0.18733679712412701</v>
      </c>
      <c r="D21" s="319">
        <f>D20/D83</f>
        <v>0.19542638610467716</v>
      </c>
      <c r="E21" s="319">
        <f>E20/E83</f>
        <v>0.19953931663019769</v>
      </c>
      <c r="F21" s="319">
        <f>F20/F83</f>
        <v>0.28091504869016493</v>
      </c>
      <c r="G21" s="319">
        <f>G20/G83</f>
        <v>0.2129948057010822</v>
      </c>
      <c r="H21" s="319">
        <f>H20/H83</f>
        <v>0.21115833880338289</v>
      </c>
      <c r="I21" s="319">
        <f>I20/I83</f>
        <v>0.2216359253131637</v>
      </c>
      <c r="J21" s="319">
        <f>J20/J83</f>
        <v>0.22762986097673826</v>
      </c>
      <c r="K21" s="319">
        <f>K20/K83</f>
        <v>0.2328025483070488</v>
      </c>
      <c r="L21" s="319">
        <f>L20/L83</f>
        <v>0.22859744169841689</v>
      </c>
      <c r="M21" s="319">
        <f>M20/M83</f>
        <v>0.23847307644504895</v>
      </c>
      <c r="N21" s="319">
        <f>N20/N83</f>
        <v>0.24719118571840015</v>
      </c>
      <c r="O21" s="319">
        <f>O20/O83</f>
        <v>0.26708932453980966</v>
      </c>
      <c r="P21" s="319">
        <f>P20/P83</f>
        <v>0.37325381046069145</v>
      </c>
      <c r="Q21" s="319">
        <f>Q20/Q83</f>
        <v>0.31433463974832021</v>
      </c>
      <c r="R21" s="319">
        <f>R20/R83</f>
        <v>0.3246087312633768</v>
      </c>
      <c r="S21" s="319">
        <f>S20/S83</f>
        <v>0.34468351477121073</v>
      </c>
      <c r="T21" s="319">
        <f>T20/T83</f>
        <v>0.35140775920961809</v>
      </c>
      <c r="U21" s="319">
        <f>U20/U83</f>
        <v>0.36703562187238509</v>
      </c>
      <c r="V21" s="319">
        <f>V20/V83</f>
        <v>0.40873969030956059</v>
      </c>
      <c r="W21" s="320">
        <f>W20/W83</f>
        <v>0.44451703383310964</v>
      </c>
      <c r="X21" s="321"/>
      <c r="Y21" s="303"/>
      <c r="Z21" s="303"/>
      <c r="AA21" s="303"/>
      <c r="AB21" s="303"/>
      <c r="AC21" s="303"/>
      <c r="AD21" s="303"/>
      <c r="AE21" s="303"/>
      <c r="AF21" s="303"/>
      <c r="AG21" s="303"/>
      <c r="AH21" s="303"/>
      <c r="AI21" s="303"/>
      <c r="AJ21" s="303"/>
      <c r="AK21" s="303"/>
      <c r="AL21" s="303"/>
      <c r="AM21" s="303"/>
      <c r="AN21" s="303"/>
      <c r="AO21" s="303"/>
      <c r="AP21" s="303"/>
      <c r="AQ21" s="303"/>
      <c r="AR21" s="303"/>
    </row>
    <row r="22" spans="1:44" ht="15" customHeight="1" thickBot="1" x14ac:dyDescent="0.35">
      <c r="A22" s="123" t="s">
        <v>602</v>
      </c>
      <c r="B22" s="325">
        <f>B20/B86</f>
        <v>2.6953057635912457E-2</v>
      </c>
      <c r="C22" s="325">
        <f>C20/C86</f>
        <v>2.5631340839404191E-2</v>
      </c>
      <c r="D22" s="325">
        <f>D20/D86</f>
        <v>2.8405850285502087E-2</v>
      </c>
      <c r="E22" s="325">
        <f>E20/E86</f>
        <v>3.0568241548362438E-2</v>
      </c>
      <c r="F22" s="325">
        <f>F20/F86</f>
        <v>4.4552714467782702E-2</v>
      </c>
      <c r="G22" s="325">
        <f>G20/G86</f>
        <v>3.7487935614896828E-2</v>
      </c>
      <c r="H22" s="325">
        <f>H20/H86</f>
        <v>3.6013752394470758E-2</v>
      </c>
      <c r="I22" s="325">
        <f>I20/I86</f>
        <v>4.5236879041308832E-2</v>
      </c>
      <c r="J22" s="325">
        <f>J20/J86</f>
        <v>5.1062865549811098E-2</v>
      </c>
      <c r="K22" s="325">
        <f>K20/K86</f>
        <v>5.6811665804036564E-2</v>
      </c>
      <c r="L22" s="325">
        <f>L20/L86</f>
        <v>6.3201178293666824E-2</v>
      </c>
      <c r="M22" s="325">
        <f>M20/M86</f>
        <v>6.8596351976717124E-2</v>
      </c>
      <c r="N22" s="325">
        <f>N20/N86</f>
        <v>7.5481089610630117E-2</v>
      </c>
      <c r="O22" s="325">
        <f>O20/O86</f>
        <v>8.8179510872413658E-2</v>
      </c>
      <c r="P22" s="325">
        <f>P20/P86</f>
        <v>0.12729997820916056</v>
      </c>
      <c r="Q22" s="325">
        <f>Q20/Q86</f>
        <v>0.10816041037213159</v>
      </c>
      <c r="R22" s="325">
        <f>R20/R86</f>
        <v>0.13537055475845777</v>
      </c>
      <c r="S22" s="325">
        <f>S20/S86</f>
        <v>0.1783077130748329</v>
      </c>
      <c r="T22" s="325">
        <f>T20/T86</f>
        <v>0.19087449233107587</v>
      </c>
      <c r="U22" s="325">
        <f>U20/U86</f>
        <v>0.2204227999844926</v>
      </c>
      <c r="V22" s="325">
        <f>V20/V86</f>
        <v>0.28058573964395384</v>
      </c>
      <c r="W22" s="326">
        <f>W20/W86</f>
        <v>0.32490599609981335</v>
      </c>
      <c r="Y22" s="303"/>
      <c r="Z22" s="303"/>
      <c r="AA22" s="303"/>
      <c r="AB22" s="303"/>
      <c r="AC22" s="303"/>
      <c r="AD22" s="303"/>
      <c r="AE22" s="303"/>
      <c r="AF22" s="303"/>
      <c r="AG22" s="303"/>
      <c r="AH22" s="303"/>
      <c r="AI22" s="303"/>
      <c r="AJ22" s="303"/>
      <c r="AK22" s="303"/>
      <c r="AL22" s="303"/>
      <c r="AM22" s="303"/>
      <c r="AN22" s="303"/>
      <c r="AO22" s="303"/>
      <c r="AP22" s="303"/>
      <c r="AQ22" s="303"/>
      <c r="AR22" s="303"/>
    </row>
    <row r="23" spans="1:44" ht="15" customHeight="1" x14ac:dyDescent="0.3">
      <c r="B23" s="327"/>
      <c r="C23" s="327"/>
      <c r="D23" s="327"/>
      <c r="E23" s="327"/>
      <c r="G23" s="327"/>
      <c r="H23" s="327"/>
      <c r="I23" s="327"/>
      <c r="J23" s="327"/>
      <c r="K23" s="327"/>
      <c r="L23" s="327"/>
      <c r="M23" s="327"/>
      <c r="N23" s="327"/>
      <c r="O23" s="327"/>
      <c r="Q23" s="327"/>
      <c r="R23" s="327"/>
      <c r="S23" s="327"/>
      <c r="T23" s="327"/>
      <c r="U23" s="327"/>
      <c r="V23" s="319"/>
      <c r="W23" s="319"/>
      <c r="Y23" s="303"/>
      <c r="Z23" s="303"/>
      <c r="AA23" s="303"/>
      <c r="AB23" s="303"/>
      <c r="AC23" s="303"/>
      <c r="AD23" s="303"/>
      <c r="AE23" s="303"/>
      <c r="AF23" s="303"/>
      <c r="AG23" s="303"/>
      <c r="AH23" s="303"/>
      <c r="AI23" s="303"/>
      <c r="AJ23" s="303"/>
      <c r="AK23" s="303"/>
      <c r="AL23" s="303"/>
      <c r="AM23" s="303"/>
      <c r="AN23" s="303"/>
      <c r="AO23" s="303"/>
      <c r="AP23" s="303"/>
      <c r="AQ23" s="303"/>
      <c r="AR23" s="303"/>
    </row>
    <row r="24" spans="1:44" ht="15" customHeight="1" x14ac:dyDescent="0.3">
      <c r="A24" s="328"/>
      <c r="B24" s="328"/>
      <c r="C24" s="328"/>
      <c r="D24" s="328"/>
      <c r="E24" s="328"/>
      <c r="F24" s="328"/>
      <c r="G24" s="328"/>
      <c r="H24" s="328"/>
      <c r="I24" s="328"/>
      <c r="J24" s="328"/>
      <c r="K24" s="328"/>
      <c r="L24" s="328"/>
      <c r="M24" s="328"/>
      <c r="N24" s="328"/>
      <c r="O24" s="328"/>
      <c r="P24" s="328"/>
      <c r="Q24" s="328"/>
      <c r="R24" s="328"/>
      <c r="S24" s="328"/>
      <c r="T24" s="328"/>
      <c r="U24" s="328"/>
      <c r="Y24" s="303"/>
      <c r="Z24" s="303"/>
      <c r="AA24" s="303"/>
      <c r="AB24" s="303"/>
      <c r="AC24" s="303"/>
      <c r="AD24" s="303"/>
      <c r="AE24" s="303"/>
      <c r="AF24" s="303"/>
      <c r="AG24" s="303"/>
      <c r="AH24" s="303"/>
      <c r="AI24" s="303"/>
      <c r="AJ24" s="303"/>
      <c r="AK24" s="303"/>
      <c r="AL24" s="303"/>
      <c r="AM24" s="303"/>
      <c r="AN24" s="303"/>
      <c r="AO24" s="303"/>
      <c r="AP24" s="303"/>
      <c r="AQ24" s="303"/>
      <c r="AR24" s="303"/>
    </row>
    <row r="25" spans="1:44" ht="19.95" customHeight="1" thickBot="1" x14ac:dyDescent="0.35">
      <c r="A25" s="246" t="s">
        <v>419</v>
      </c>
      <c r="B25" s="305"/>
      <c r="C25" s="305"/>
      <c r="D25" s="305"/>
      <c r="E25" s="305"/>
      <c r="F25" s="305"/>
      <c r="G25" s="305"/>
      <c r="H25" s="305"/>
      <c r="I25" s="305"/>
      <c r="J25" s="305"/>
      <c r="K25" s="305"/>
      <c r="L25" s="305"/>
      <c r="M25" s="305"/>
      <c r="N25" s="305"/>
      <c r="O25" s="305"/>
      <c r="P25" s="305"/>
      <c r="Q25" s="305"/>
      <c r="R25" s="305"/>
      <c r="S25" s="305"/>
      <c r="T25" s="305"/>
      <c r="U25" s="305"/>
      <c r="Y25" s="303"/>
      <c r="Z25" s="303"/>
      <c r="AA25" s="303"/>
      <c r="AB25" s="303"/>
      <c r="AC25" s="303"/>
      <c r="AD25" s="303"/>
      <c r="AE25" s="303"/>
      <c r="AF25" s="303"/>
      <c r="AG25" s="303"/>
      <c r="AH25" s="303"/>
      <c r="AI25" s="303"/>
      <c r="AJ25" s="303"/>
      <c r="AK25" s="303"/>
      <c r="AL25" s="303"/>
      <c r="AM25" s="303"/>
      <c r="AN25" s="303"/>
      <c r="AO25" s="303"/>
      <c r="AP25" s="303"/>
      <c r="AQ25" s="303"/>
      <c r="AR25" s="303"/>
    </row>
    <row r="26" spans="1:44" s="373" customFormat="1" ht="25.05" customHeight="1" thickBot="1" x14ac:dyDescent="0.35">
      <c r="A26" s="713" t="s">
        <v>260</v>
      </c>
      <c r="B26" s="371">
        <f t="shared" ref="B26" si="2">C26-1</f>
        <v>1996</v>
      </c>
      <c r="C26" s="371">
        <f t="shared" ref="C26" si="3">D26-1</f>
        <v>1997</v>
      </c>
      <c r="D26" s="371">
        <f t="shared" ref="D26" si="4">E26-1</f>
        <v>1998</v>
      </c>
      <c r="E26" s="371">
        <f t="shared" ref="E26" si="5">F26-1</f>
        <v>1999</v>
      </c>
      <c r="F26" s="371">
        <f t="shared" ref="F26" si="6">G26-1</f>
        <v>2000</v>
      </c>
      <c r="G26" s="371">
        <f t="shared" ref="G26" si="7">H26-1</f>
        <v>2001</v>
      </c>
      <c r="H26" s="371">
        <f t="shared" ref="H26" si="8">I26-1</f>
        <v>2002</v>
      </c>
      <c r="I26" s="371">
        <f t="shared" ref="I26" si="9">J26-1</f>
        <v>2003</v>
      </c>
      <c r="J26" s="371">
        <f t="shared" ref="J26" si="10">K26-1</f>
        <v>2004</v>
      </c>
      <c r="K26" s="371">
        <f t="shared" ref="K26" si="11">L26-1</f>
        <v>2005</v>
      </c>
      <c r="L26" s="371">
        <f t="shared" ref="L26" si="12">M26-1</f>
        <v>2006</v>
      </c>
      <c r="M26" s="371">
        <f t="shared" ref="M26" si="13">N26-1</f>
        <v>2007</v>
      </c>
      <c r="N26" s="371">
        <f t="shared" ref="N26" si="14">O26-1</f>
        <v>2008</v>
      </c>
      <c r="O26" s="371">
        <f>P26-1</f>
        <v>2009</v>
      </c>
      <c r="P26" s="371">
        <v>2010</v>
      </c>
      <c r="Q26" s="371">
        <v>2011</v>
      </c>
      <c r="R26" s="371">
        <v>2012</v>
      </c>
      <c r="S26" s="371">
        <v>2013</v>
      </c>
      <c r="T26" s="371">
        <v>2014</v>
      </c>
      <c r="U26" s="371">
        <v>2015</v>
      </c>
      <c r="V26" s="371">
        <f>U26+1</f>
        <v>2016</v>
      </c>
      <c r="W26" s="372">
        <f>V26+1</f>
        <v>2017</v>
      </c>
      <c r="X26" s="308"/>
    </row>
    <row r="27" spans="1:44" ht="4.95" customHeight="1" x14ac:dyDescent="0.3">
      <c r="A27" s="308"/>
      <c r="B27" s="309"/>
      <c r="C27" s="309"/>
      <c r="D27" s="309"/>
      <c r="E27" s="309"/>
      <c r="F27" s="309"/>
      <c r="G27" s="309"/>
      <c r="H27" s="309"/>
      <c r="I27" s="309"/>
      <c r="J27" s="309"/>
      <c r="K27" s="309"/>
      <c r="L27" s="309"/>
      <c r="M27" s="309"/>
      <c r="N27" s="309"/>
      <c r="O27" s="309"/>
      <c r="P27" s="309"/>
      <c r="Q27" s="309"/>
      <c r="R27" s="309"/>
      <c r="S27" s="309"/>
      <c r="T27" s="309"/>
      <c r="U27" s="338"/>
      <c r="V27" s="309"/>
      <c r="W27" s="310"/>
      <c r="Y27" s="303"/>
      <c r="Z27" s="303"/>
      <c r="AA27" s="303"/>
      <c r="AB27" s="303"/>
      <c r="AC27" s="303"/>
      <c r="AD27" s="303"/>
      <c r="AE27" s="303"/>
      <c r="AF27" s="303"/>
      <c r="AG27" s="303"/>
      <c r="AH27" s="303"/>
      <c r="AI27" s="303"/>
      <c r="AJ27" s="303"/>
      <c r="AK27" s="303"/>
      <c r="AL27" s="303"/>
      <c r="AM27" s="303"/>
      <c r="AN27" s="303"/>
      <c r="AO27" s="303"/>
      <c r="AP27" s="303"/>
      <c r="AQ27" s="303"/>
      <c r="AR27" s="303"/>
    </row>
    <row r="28" spans="1:44" ht="15" customHeight="1" x14ac:dyDescent="0.3">
      <c r="A28" s="109" t="s">
        <v>262</v>
      </c>
      <c r="B28" s="334"/>
      <c r="C28" s="334"/>
      <c r="D28" s="334"/>
      <c r="E28" s="334"/>
      <c r="F28" s="334"/>
      <c r="G28" s="334"/>
      <c r="H28" s="334"/>
      <c r="I28" s="334"/>
      <c r="J28" s="334"/>
      <c r="K28" s="334"/>
      <c r="L28" s="334"/>
      <c r="M28" s="334"/>
      <c r="N28" s="334"/>
      <c r="O28" s="334"/>
      <c r="P28" s="334"/>
      <c r="Q28" s="334"/>
      <c r="R28" s="334"/>
      <c r="S28" s="334"/>
      <c r="T28" s="334"/>
      <c r="U28" s="334"/>
      <c r="V28" s="334"/>
      <c r="W28" s="335"/>
      <c r="Y28" s="303"/>
      <c r="Z28" s="303"/>
      <c r="AA28" s="303"/>
      <c r="AB28" s="303"/>
      <c r="AC28" s="303"/>
      <c r="AD28" s="303"/>
      <c r="AE28" s="303"/>
      <c r="AF28" s="303"/>
      <c r="AG28" s="303"/>
      <c r="AH28" s="303"/>
      <c r="AI28" s="303"/>
      <c r="AJ28" s="303"/>
      <c r="AK28" s="303"/>
      <c r="AL28" s="303"/>
      <c r="AM28" s="303"/>
      <c r="AN28" s="303"/>
      <c r="AO28" s="303"/>
      <c r="AP28" s="303"/>
      <c r="AQ28" s="303"/>
      <c r="AR28" s="303"/>
    </row>
    <row r="29" spans="1:44" ht="15" customHeight="1" x14ac:dyDescent="0.3">
      <c r="A29" s="308" t="s">
        <v>210</v>
      </c>
      <c r="B29" s="309">
        <v>5979.3297644577005</v>
      </c>
      <c r="C29" s="309">
        <v>7302.3874713711612</v>
      </c>
      <c r="D29" s="309">
        <v>6743.8138007373</v>
      </c>
      <c r="E29" s="309">
        <v>7774.7682179378398</v>
      </c>
      <c r="F29" s="309">
        <v>8229.6691506848001</v>
      </c>
      <c r="G29" s="309">
        <v>9595.3464288549021</v>
      </c>
      <c r="H29" s="309">
        <v>10326.463662837841</v>
      </c>
      <c r="I29" s="309">
        <v>11031.770307544841</v>
      </c>
      <c r="J29" s="309">
        <v>13386.991671530823</v>
      </c>
      <c r="K29" s="309">
        <v>14812.20656376258</v>
      </c>
      <c r="L29" s="309">
        <v>16132.907163166923</v>
      </c>
      <c r="M29" s="309">
        <v>16010.13132842382</v>
      </c>
      <c r="N29" s="309">
        <v>17715.173544038884</v>
      </c>
      <c r="O29" s="309">
        <v>19765.149403480322</v>
      </c>
      <c r="P29" s="309">
        <v>19635.001898346</v>
      </c>
      <c r="Q29" s="309">
        <v>22543.8159892068</v>
      </c>
      <c r="R29" s="309">
        <v>25311.785232491995</v>
      </c>
      <c r="S29" s="309">
        <v>27293.2162082496</v>
      </c>
      <c r="T29" s="309">
        <v>30647.124389444398</v>
      </c>
      <c r="U29" s="309">
        <v>33175.480316134621</v>
      </c>
      <c r="V29" s="309">
        <v>35458.136236510785</v>
      </c>
      <c r="W29" s="313">
        <v>41575.336045559998</v>
      </c>
      <c r="Y29" s="303"/>
      <c r="Z29" s="303"/>
      <c r="AA29" s="303"/>
      <c r="AB29" s="303"/>
      <c r="AC29" s="303"/>
      <c r="AD29" s="303"/>
      <c r="AE29" s="303"/>
      <c r="AF29" s="303"/>
      <c r="AG29" s="303"/>
      <c r="AH29" s="303"/>
      <c r="AI29" s="303"/>
      <c r="AJ29" s="303"/>
      <c r="AK29" s="303"/>
      <c r="AL29" s="303"/>
      <c r="AM29" s="303"/>
      <c r="AN29" s="303"/>
      <c r="AO29" s="303"/>
      <c r="AP29" s="303"/>
      <c r="AQ29" s="303"/>
      <c r="AR29" s="303"/>
    </row>
    <row r="30" spans="1:44" ht="15" customHeight="1" x14ac:dyDescent="0.3">
      <c r="A30" s="109" t="s">
        <v>263</v>
      </c>
      <c r="B30" s="334"/>
      <c r="C30" s="334"/>
      <c r="D30" s="334"/>
      <c r="E30" s="334"/>
      <c r="F30" s="334"/>
      <c r="G30" s="334"/>
      <c r="H30" s="334"/>
      <c r="I30" s="334"/>
      <c r="J30" s="334"/>
      <c r="K30" s="334"/>
      <c r="L30" s="334"/>
      <c r="M30" s="334"/>
      <c r="N30" s="334"/>
      <c r="O30" s="334"/>
      <c r="P30" s="334"/>
      <c r="Q30" s="334"/>
      <c r="R30" s="334"/>
      <c r="S30" s="334"/>
      <c r="T30" s="334"/>
      <c r="U30" s="334"/>
      <c r="V30" s="334"/>
      <c r="W30" s="335"/>
      <c r="Y30" s="303"/>
      <c r="Z30" s="303"/>
      <c r="AA30" s="303"/>
      <c r="AB30" s="303"/>
      <c r="AC30" s="303"/>
      <c r="AD30" s="303"/>
      <c r="AE30" s="303"/>
      <c r="AF30" s="303"/>
      <c r="AG30" s="303"/>
      <c r="AH30" s="303"/>
      <c r="AI30" s="303"/>
      <c r="AJ30" s="303"/>
      <c r="AK30" s="303"/>
      <c r="AL30" s="303"/>
      <c r="AM30" s="303"/>
      <c r="AN30" s="303"/>
      <c r="AO30" s="303"/>
      <c r="AP30" s="303"/>
      <c r="AQ30" s="303"/>
      <c r="AR30" s="303"/>
    </row>
    <row r="31" spans="1:44" ht="15" customHeight="1" x14ac:dyDescent="0.3">
      <c r="A31" s="308" t="s">
        <v>205</v>
      </c>
      <c r="B31" s="309">
        <v>0</v>
      </c>
      <c r="C31" s="309">
        <v>0</v>
      </c>
      <c r="D31" s="309">
        <v>0</v>
      </c>
      <c r="E31" s="309">
        <v>0</v>
      </c>
      <c r="F31" s="309">
        <v>0</v>
      </c>
      <c r="G31" s="309">
        <v>0</v>
      </c>
      <c r="H31" s="309">
        <v>455</v>
      </c>
      <c r="I31" s="309">
        <v>1710.7324599999999</v>
      </c>
      <c r="J31" s="309">
        <v>782.40358100000003</v>
      </c>
      <c r="K31" s="309">
        <v>5691.6670409999997</v>
      </c>
      <c r="L31" s="309">
        <v>7524.6613219999999</v>
      </c>
      <c r="M31" s="309">
        <v>8965.4996080000001</v>
      </c>
      <c r="N31" s="309">
        <v>10606.500193</v>
      </c>
      <c r="O31" s="309">
        <v>12454.702501</v>
      </c>
      <c r="P31" s="309">
        <v>14372.702864999999</v>
      </c>
      <c r="Q31" s="309">
        <v>17360.387445</v>
      </c>
      <c r="R31" s="309">
        <v>21156.744695000001</v>
      </c>
      <c r="S31" s="309">
        <v>24890.107091000002</v>
      </c>
      <c r="T31" s="309">
        <v>27185.773069999999</v>
      </c>
      <c r="U31" s="309">
        <v>25379.505411999999</v>
      </c>
      <c r="V31" s="309">
        <v>28506.168795000001</v>
      </c>
      <c r="W31" s="313">
        <v>29775.546008000001</v>
      </c>
      <c r="Y31" s="303"/>
      <c r="Z31" s="303"/>
      <c r="AA31" s="303"/>
      <c r="AB31" s="303"/>
      <c r="AC31" s="303"/>
      <c r="AD31" s="303"/>
      <c r="AE31" s="303"/>
      <c r="AF31" s="303"/>
      <c r="AG31" s="303"/>
      <c r="AH31" s="303"/>
      <c r="AI31" s="303"/>
      <c r="AJ31" s="303"/>
      <c r="AK31" s="303"/>
      <c r="AL31" s="303"/>
      <c r="AM31" s="303"/>
      <c r="AN31" s="303"/>
      <c r="AO31" s="303"/>
      <c r="AP31" s="303"/>
      <c r="AQ31" s="303"/>
      <c r="AR31" s="303"/>
    </row>
    <row r="32" spans="1:44" ht="15" customHeight="1" x14ac:dyDescent="0.3">
      <c r="A32" s="308" t="s">
        <v>206</v>
      </c>
      <c r="B32" s="309">
        <v>172.34294</v>
      </c>
      <c r="C32" s="309">
        <v>769.73267799999996</v>
      </c>
      <c r="D32" s="309">
        <v>1134.1992990000001</v>
      </c>
      <c r="E32" s="309">
        <v>1533.1224219999999</v>
      </c>
      <c r="F32" s="309">
        <v>2001.4682190000001</v>
      </c>
      <c r="G32" s="309">
        <v>2694.0215119999998</v>
      </c>
      <c r="H32" s="309">
        <v>3428.1002250000001</v>
      </c>
      <c r="I32" s="309">
        <v>4533.2215079999996</v>
      </c>
      <c r="J32" s="309">
        <v>5814.238018</v>
      </c>
      <c r="K32" s="309">
        <v>7523.8614440000001</v>
      </c>
      <c r="L32" s="309">
        <v>9718.7875810000005</v>
      </c>
      <c r="M32" s="309">
        <v>11548.344924999999</v>
      </c>
      <c r="N32" s="309">
        <v>13785.789000000001</v>
      </c>
      <c r="O32" s="309">
        <v>16859.413</v>
      </c>
      <c r="P32" s="309">
        <v>20104.032999999999</v>
      </c>
      <c r="Q32" s="309">
        <v>22854.839</v>
      </c>
      <c r="R32" s="309">
        <v>27434.935000000001</v>
      </c>
      <c r="S32" s="309">
        <v>31412.336945350002</v>
      </c>
      <c r="T32" s="309">
        <v>35121.429410999997</v>
      </c>
      <c r="U32" s="309">
        <v>36580.345781999997</v>
      </c>
      <c r="V32" s="309">
        <v>45637.596914590227</v>
      </c>
      <c r="W32" s="313">
        <v>49931.469562999999</v>
      </c>
      <c r="X32" s="303"/>
      <c r="Y32" s="303"/>
      <c r="Z32" s="303"/>
      <c r="AA32" s="303"/>
      <c r="AB32" s="303"/>
      <c r="AC32" s="303"/>
      <c r="AD32" s="303"/>
      <c r="AE32" s="303"/>
      <c r="AF32" s="303"/>
      <c r="AG32" s="303"/>
      <c r="AH32" s="303"/>
      <c r="AI32" s="303"/>
      <c r="AJ32" s="303"/>
      <c r="AK32" s="303"/>
      <c r="AL32" s="303"/>
      <c r="AM32" s="303"/>
      <c r="AN32" s="303"/>
      <c r="AO32" s="303"/>
      <c r="AP32" s="303"/>
      <c r="AQ32" s="303"/>
      <c r="AR32" s="303"/>
    </row>
    <row r="33" spans="1:44" ht="15" customHeight="1" x14ac:dyDescent="0.3">
      <c r="A33" s="109" t="s">
        <v>264</v>
      </c>
      <c r="B33" s="334"/>
      <c r="C33" s="334"/>
      <c r="D33" s="334"/>
      <c r="E33" s="334"/>
      <c r="F33" s="334"/>
      <c r="G33" s="334"/>
      <c r="H33" s="334"/>
      <c r="I33" s="334"/>
      <c r="J33" s="334"/>
      <c r="K33" s="334"/>
      <c r="L33" s="334"/>
      <c r="M33" s="334"/>
      <c r="N33" s="334"/>
      <c r="O33" s="334"/>
      <c r="P33" s="334"/>
      <c r="Q33" s="334"/>
      <c r="R33" s="334"/>
      <c r="S33" s="334"/>
      <c r="T33" s="334"/>
      <c r="U33" s="334"/>
      <c r="V33" s="334"/>
      <c r="W33" s="335"/>
      <c r="X33" s="303"/>
      <c r="Y33" s="303"/>
      <c r="Z33" s="303"/>
      <c r="AA33" s="303"/>
      <c r="AB33" s="303"/>
      <c r="AC33" s="303"/>
      <c r="AD33" s="303"/>
      <c r="AE33" s="303"/>
      <c r="AF33" s="303"/>
      <c r="AG33" s="303"/>
      <c r="AH33" s="303"/>
      <c r="AI33" s="303"/>
      <c r="AJ33" s="303"/>
      <c r="AK33" s="303"/>
      <c r="AL33" s="303"/>
      <c r="AM33" s="303"/>
      <c r="AN33" s="303"/>
      <c r="AO33" s="303"/>
      <c r="AP33" s="303"/>
      <c r="AQ33" s="303"/>
      <c r="AR33" s="303"/>
    </row>
    <row r="34" spans="1:44" ht="15" customHeight="1" x14ac:dyDescent="0.3">
      <c r="A34" s="308" t="s">
        <v>207</v>
      </c>
      <c r="B34" s="309">
        <v>0</v>
      </c>
      <c r="C34" s="309">
        <v>0</v>
      </c>
      <c r="D34" s="309">
        <v>0</v>
      </c>
      <c r="E34" s="309">
        <v>0</v>
      </c>
      <c r="F34" s="309">
        <v>0</v>
      </c>
      <c r="G34" s="309">
        <v>0</v>
      </c>
      <c r="H34" s="309">
        <v>0</v>
      </c>
      <c r="I34" s="309">
        <v>0</v>
      </c>
      <c r="J34" s="309">
        <v>0</v>
      </c>
      <c r="K34" s="309">
        <v>0</v>
      </c>
      <c r="L34" s="309">
        <v>0</v>
      </c>
      <c r="M34" s="309">
        <v>0</v>
      </c>
      <c r="N34" s="309">
        <v>0</v>
      </c>
      <c r="O34" s="309">
        <v>0</v>
      </c>
      <c r="P34" s="309">
        <v>3624.9064950699999</v>
      </c>
      <c r="Q34" s="309">
        <v>5396.6981109899998</v>
      </c>
      <c r="R34" s="309">
        <v>7575.9665781000003</v>
      </c>
      <c r="S34" s="309">
        <v>9567.9057664299999</v>
      </c>
      <c r="T34" s="309">
        <v>12121.129252160001</v>
      </c>
      <c r="U34" s="309">
        <v>11435.51975503</v>
      </c>
      <c r="V34" s="309">
        <v>12223.988086900001</v>
      </c>
      <c r="W34" s="313">
        <v>12992.87693756601</v>
      </c>
      <c r="X34" s="303"/>
      <c r="Y34" s="303"/>
      <c r="Z34" s="303"/>
      <c r="AA34" s="303"/>
      <c r="AB34" s="303"/>
      <c r="AC34" s="303"/>
      <c r="AD34" s="303"/>
      <c r="AE34" s="303"/>
      <c r="AF34" s="303"/>
      <c r="AG34" s="303"/>
      <c r="AH34" s="303"/>
      <c r="AI34" s="303"/>
      <c r="AJ34" s="303"/>
      <c r="AK34" s="303"/>
      <c r="AL34" s="303"/>
      <c r="AM34" s="303"/>
      <c r="AN34" s="303"/>
      <c r="AO34" s="303"/>
      <c r="AP34" s="303"/>
      <c r="AQ34" s="303"/>
      <c r="AR34" s="303"/>
    </row>
    <row r="35" spans="1:44" x14ac:dyDescent="0.3">
      <c r="A35" s="168" t="s">
        <v>261</v>
      </c>
      <c r="B35" s="333"/>
      <c r="C35" s="333"/>
      <c r="D35" s="333"/>
      <c r="E35" s="333"/>
      <c r="F35" s="333"/>
      <c r="G35" s="333"/>
      <c r="H35" s="333"/>
      <c r="I35" s="333"/>
      <c r="J35" s="333"/>
      <c r="K35" s="333"/>
      <c r="L35" s="333"/>
      <c r="M35" s="333"/>
      <c r="N35" s="333"/>
      <c r="O35" s="333"/>
      <c r="P35" s="333"/>
      <c r="Q35" s="333"/>
      <c r="R35" s="333"/>
      <c r="S35" s="333"/>
      <c r="T35" s="333"/>
      <c r="U35" s="333"/>
      <c r="V35" s="333"/>
      <c r="W35" s="336"/>
    </row>
    <row r="36" spans="1:44" ht="15" customHeight="1" x14ac:dyDescent="0.3">
      <c r="A36" s="308" t="s">
        <v>209</v>
      </c>
      <c r="B36" s="309">
        <v>9081.7130300000008</v>
      </c>
      <c r="C36" s="309">
        <v>8970.1029869999984</v>
      </c>
      <c r="D36" s="309">
        <v>9877.1153500000019</v>
      </c>
      <c r="E36" s="309">
        <v>10811.663459000001</v>
      </c>
      <c r="F36" s="309">
        <v>12302.100930000001</v>
      </c>
      <c r="G36" s="309">
        <v>14889.125779999998</v>
      </c>
      <c r="H36" s="309">
        <v>17231.327067000002</v>
      </c>
      <c r="I36" s="309">
        <v>20911.562920000004</v>
      </c>
      <c r="J36" s="309">
        <v>23505.157950000001</v>
      </c>
      <c r="K36" s="309">
        <v>26698.186839999998</v>
      </c>
      <c r="L36" s="309">
        <v>30965.808418000001</v>
      </c>
      <c r="M36" s="309">
        <v>34229.689201000008</v>
      </c>
      <c r="N36" s="309">
        <v>38276.271102999999</v>
      </c>
      <c r="O36" s="309">
        <v>44664.050053000006</v>
      </c>
      <c r="P36" s="309">
        <v>50147.498850000004</v>
      </c>
      <c r="Q36" s="309">
        <v>54355.870565000012</v>
      </c>
      <c r="R36" s="309">
        <v>63259.012999999999</v>
      </c>
      <c r="S36" s="309">
        <v>70669.146999999997</v>
      </c>
      <c r="T36" s="309">
        <v>77637.59797599999</v>
      </c>
      <c r="U36" s="309">
        <v>86167.979920849975</v>
      </c>
      <c r="V36" s="309">
        <v>97734.950213909833</v>
      </c>
      <c r="W36" s="313">
        <v>113437.82637111218</v>
      </c>
      <c r="X36" s="303"/>
      <c r="Y36" s="303"/>
      <c r="Z36" s="303"/>
      <c r="AA36" s="303"/>
      <c r="AB36" s="303"/>
      <c r="AC36" s="303"/>
      <c r="AD36" s="303"/>
      <c r="AE36" s="303"/>
      <c r="AF36" s="303"/>
      <c r="AG36" s="303"/>
      <c r="AH36" s="303"/>
      <c r="AI36" s="303"/>
      <c r="AJ36" s="303"/>
      <c r="AK36" s="303"/>
      <c r="AL36" s="303"/>
      <c r="AM36" s="303"/>
      <c r="AN36" s="303"/>
      <c r="AO36" s="303"/>
      <c r="AP36" s="303"/>
      <c r="AQ36" s="303"/>
      <c r="AR36" s="303"/>
    </row>
    <row r="37" spans="1:44" ht="15" customHeight="1" x14ac:dyDescent="0.3">
      <c r="A37" s="314" t="s">
        <v>208</v>
      </c>
      <c r="B37" s="315">
        <v>15.662188</v>
      </c>
      <c r="C37" s="315">
        <v>20.801935</v>
      </c>
      <c r="D37" s="315">
        <v>14.809426</v>
      </c>
      <c r="E37" s="315">
        <v>14.0227</v>
      </c>
      <c r="F37" s="315">
        <v>16.086666000000001</v>
      </c>
      <c r="G37" s="315">
        <v>25.487960999999999</v>
      </c>
      <c r="H37" s="315">
        <v>31.562224000000001</v>
      </c>
      <c r="I37" s="315">
        <v>46.323487</v>
      </c>
      <c r="J37" s="315">
        <v>61.567177000000001</v>
      </c>
      <c r="K37" s="315">
        <v>91.032120000000006</v>
      </c>
      <c r="L37" s="315">
        <v>108.467355</v>
      </c>
      <c r="M37" s="315">
        <v>121.913641</v>
      </c>
      <c r="N37" s="315">
        <v>140.506</v>
      </c>
      <c r="O37" s="315">
        <v>174.10300000000001</v>
      </c>
      <c r="P37" s="315">
        <v>214.29499999999999</v>
      </c>
      <c r="Q37" s="315">
        <v>257.57900000000001</v>
      </c>
      <c r="R37" s="315">
        <v>317.68400000000003</v>
      </c>
      <c r="S37" s="315">
        <v>382.70544358000001</v>
      </c>
      <c r="T37" s="315">
        <v>435.13558399999999</v>
      </c>
      <c r="U37" s="315">
        <v>452.70679500000006</v>
      </c>
      <c r="V37" s="315">
        <v>517.89964553000107</v>
      </c>
      <c r="W37" s="316">
        <v>601.11</v>
      </c>
      <c r="X37" s="303"/>
      <c r="Y37" s="303"/>
      <c r="Z37" s="303"/>
      <c r="AA37" s="303"/>
      <c r="AB37" s="303"/>
      <c r="AC37" s="303"/>
      <c r="AD37" s="303"/>
      <c r="AE37" s="303"/>
      <c r="AF37" s="303"/>
      <c r="AG37" s="303"/>
      <c r="AH37" s="303"/>
      <c r="AI37" s="303"/>
      <c r="AJ37" s="303"/>
      <c r="AK37" s="303"/>
      <c r="AL37" s="303"/>
      <c r="AM37" s="303"/>
      <c r="AN37" s="303"/>
      <c r="AO37" s="303"/>
      <c r="AP37" s="303"/>
      <c r="AQ37" s="303"/>
      <c r="AR37" s="303"/>
    </row>
    <row r="38" spans="1:44" ht="15" customHeight="1" x14ac:dyDescent="0.3">
      <c r="A38" s="143" t="s">
        <v>308</v>
      </c>
      <c r="B38" s="315">
        <f t="shared" ref="B38:W38" si="15">SUM(B29:B37)</f>
        <v>15249.047922457701</v>
      </c>
      <c r="C38" s="315">
        <f t="shared" si="15"/>
        <v>17063.025071371161</v>
      </c>
      <c r="D38" s="315">
        <f t="shared" si="15"/>
        <v>17769.937875737302</v>
      </c>
      <c r="E38" s="315">
        <f t="shared" si="15"/>
        <v>20133.576798937844</v>
      </c>
      <c r="F38" s="315">
        <f t="shared" si="15"/>
        <v>22549.324965684802</v>
      </c>
      <c r="G38" s="315">
        <f t="shared" si="15"/>
        <v>27203.981681854901</v>
      </c>
      <c r="H38" s="315">
        <f t="shared" si="15"/>
        <v>31472.453178837844</v>
      </c>
      <c r="I38" s="315">
        <f t="shared" si="15"/>
        <v>38233.610682544844</v>
      </c>
      <c r="J38" s="315">
        <f t="shared" si="15"/>
        <v>43550.358397530821</v>
      </c>
      <c r="K38" s="315">
        <f t="shared" si="15"/>
        <v>54816.954008762579</v>
      </c>
      <c r="L38" s="315">
        <f t="shared" si="15"/>
        <v>64450.631839166919</v>
      </c>
      <c r="M38" s="315">
        <f t="shared" si="15"/>
        <v>70875.578703423831</v>
      </c>
      <c r="N38" s="315">
        <f t="shared" si="15"/>
        <v>80524.239840038877</v>
      </c>
      <c r="O38" s="315">
        <f t="shared" si="15"/>
        <v>93917.417957480327</v>
      </c>
      <c r="P38" s="315">
        <f t="shared" si="15"/>
        <v>108098.438108416</v>
      </c>
      <c r="Q38" s="315">
        <f t="shared" si="15"/>
        <v>122769.1901101968</v>
      </c>
      <c r="R38" s="315">
        <f t="shared" si="15"/>
        <v>145056.128505592</v>
      </c>
      <c r="S38" s="315">
        <f t="shared" si="15"/>
        <v>164215.41845460961</v>
      </c>
      <c r="T38" s="315">
        <f t="shared" si="15"/>
        <v>183148.1896826044</v>
      </c>
      <c r="U38" s="315">
        <f t="shared" si="15"/>
        <v>193191.53798101458</v>
      </c>
      <c r="V38" s="317">
        <f t="shared" si="15"/>
        <v>220078.73989244088</v>
      </c>
      <c r="W38" s="318">
        <f t="shared" si="15"/>
        <v>248314.16492523818</v>
      </c>
      <c r="X38" s="337"/>
      <c r="Y38" s="303"/>
      <c r="Z38" s="303"/>
      <c r="AA38" s="303"/>
      <c r="AB38" s="303"/>
      <c r="AC38" s="303"/>
      <c r="AD38" s="303"/>
      <c r="AE38" s="303"/>
      <c r="AF38" s="303"/>
      <c r="AG38" s="303"/>
      <c r="AH38" s="303"/>
      <c r="AI38" s="303"/>
      <c r="AJ38" s="303"/>
      <c r="AK38" s="303"/>
      <c r="AL38" s="303"/>
      <c r="AM38" s="303"/>
      <c r="AN38" s="303"/>
      <c r="AO38" s="303"/>
      <c r="AP38" s="303"/>
      <c r="AQ38" s="303"/>
      <c r="AR38" s="303"/>
    </row>
    <row r="39" spans="1:44" ht="15" customHeight="1" x14ac:dyDescent="0.3">
      <c r="A39" s="229" t="s">
        <v>319</v>
      </c>
      <c r="B39" s="319">
        <f>(B38/B79)</f>
        <v>5.2910794547126327E-2</v>
      </c>
      <c r="C39" s="319">
        <f>(C38/C79)</f>
        <v>4.3686466794920394E-2</v>
      </c>
      <c r="D39" s="319">
        <f>(D38/D79)</f>
        <v>3.5526915706244298E-2</v>
      </c>
      <c r="E39" s="319">
        <f>(E38/E79)</f>
        <v>3.4209612568582098E-2</v>
      </c>
      <c r="F39" s="319">
        <f>(F38/F79)</f>
        <v>3.658332999002592E-2</v>
      </c>
      <c r="G39" s="319">
        <f>(G38/G79)</f>
        <v>4.5081885875488385E-2</v>
      </c>
      <c r="H39" s="319">
        <f>(H38/H79)</f>
        <v>4.6630824305655828E-2</v>
      </c>
      <c r="I39" s="319">
        <f>(I38/I79)</f>
        <v>4.3622933982899188E-2</v>
      </c>
      <c r="J39" s="319">
        <f>(J38/J79)</f>
        <v>4.7953561394427441E-2</v>
      </c>
      <c r="K39" s="319">
        <f>(K38/K79)</f>
        <v>4.952795313263747E-2</v>
      </c>
      <c r="L39" s="319">
        <f>(L38/L79)</f>
        <v>5.4867086682752517E-2</v>
      </c>
      <c r="M39" s="319">
        <f>(M38/M79)</f>
        <v>6.0811631255666354E-2</v>
      </c>
      <c r="N39" s="319">
        <f>(N38/N79)</f>
        <v>6.7362779717260471E-2</v>
      </c>
      <c r="O39" s="319">
        <f>(O38/O79)</f>
        <v>7.0353767121308849E-2</v>
      </c>
      <c r="P39" s="319">
        <f>(P38/P79)</f>
        <v>7.6256669055095691E-2</v>
      </c>
      <c r="Q39" s="319">
        <f>(Q38/Q79)</f>
        <v>7.7978781874466246E-2</v>
      </c>
      <c r="R39" s="319">
        <f>(R38/R79)</f>
        <v>8.4712703222454611E-2</v>
      </c>
      <c r="S39" s="319">
        <f>(S38/S79)</f>
        <v>9.731222969664502E-2</v>
      </c>
      <c r="T39" s="319">
        <f>(T38/T79)</f>
        <v>8.9779434642001915E-2</v>
      </c>
      <c r="U39" s="319">
        <f>(U38/U79)</f>
        <v>8.7095849848261769E-2</v>
      </c>
      <c r="V39" s="319">
        <f>(V38/V79)</f>
        <v>8.7023838479754714E-2</v>
      </c>
      <c r="W39" s="320">
        <f>(W38/W79)</f>
        <v>9.2378143889007516E-2</v>
      </c>
      <c r="X39" s="303"/>
      <c r="Y39" s="303"/>
      <c r="Z39" s="303"/>
      <c r="AA39" s="303"/>
      <c r="AB39" s="303"/>
      <c r="AC39" s="303"/>
      <c r="AD39" s="303"/>
      <c r="AE39" s="303"/>
      <c r="AF39" s="303"/>
      <c r="AG39" s="303"/>
      <c r="AH39" s="303"/>
      <c r="AI39" s="303"/>
      <c r="AJ39" s="303"/>
      <c r="AK39" s="303"/>
      <c r="AL39" s="303"/>
      <c r="AM39" s="303"/>
      <c r="AN39" s="303"/>
      <c r="AO39" s="303"/>
      <c r="AP39" s="303"/>
      <c r="AQ39" s="303"/>
      <c r="AR39" s="303"/>
    </row>
    <row r="40" spans="1:44" ht="15" customHeight="1" x14ac:dyDescent="0.3">
      <c r="A40" s="229" t="s">
        <v>316</v>
      </c>
      <c r="B40" s="319">
        <f>(B38/B80)</f>
        <v>0.14203925455427771</v>
      </c>
      <c r="C40" s="319">
        <f>(C38/C80)</f>
        <v>0.14266092293362592</v>
      </c>
      <c r="D40" s="319">
        <f>(D38/D80)</f>
        <v>0.13176272783338161</v>
      </c>
      <c r="E40" s="319">
        <f>(E38/E80)</f>
        <v>0.13775931620049964</v>
      </c>
      <c r="F40" s="319">
        <f>(F38/F80)</f>
        <v>0.15787503474527081</v>
      </c>
      <c r="G40" s="319">
        <f>(G38/G80)</f>
        <v>0.16610199749857865</v>
      </c>
      <c r="H40" s="319">
        <f>(H38/H80)</f>
        <v>0.1697301782419445</v>
      </c>
      <c r="I40" s="319">
        <f>(I38/I80)</f>
        <v>0.18107059681751608</v>
      </c>
      <c r="J40" s="319">
        <f>(J38/J80)</f>
        <v>0.1767762227943101</v>
      </c>
      <c r="K40" s="319">
        <f>(K38/K80)</f>
        <v>0.19361241458177289</v>
      </c>
      <c r="L40" s="319">
        <f>(L38/L80)</f>
        <v>0.19983627893816761</v>
      </c>
      <c r="M40" s="319">
        <f>(M38/M80)</f>
        <v>0.20401845016160888</v>
      </c>
      <c r="N40" s="319">
        <f>(N38/N80)</f>
        <v>0.20903306817204356</v>
      </c>
      <c r="O40" s="319">
        <f>(O38/O80)</f>
        <v>0.21069384491091395</v>
      </c>
      <c r="P40" s="319">
        <f>(P38/P80)</f>
        <v>0.21186465542101024</v>
      </c>
      <c r="Q40" s="319">
        <f>(Q38/Q80)</f>
        <v>0.2175796169265081</v>
      </c>
      <c r="R40" s="319">
        <f>(R38/R80)</f>
        <v>0.22697866448970427</v>
      </c>
      <c r="S40" s="319">
        <f>(S38/S80)</f>
        <v>0.22526402048029737</v>
      </c>
      <c r="T40" s="319">
        <f>(T38/T80)</f>
        <v>0.22522991143056878</v>
      </c>
      <c r="U40" s="319">
        <f>(U38/U80)</f>
        <v>0.23068748174447212</v>
      </c>
      <c r="V40" s="319">
        <f>(V38/V80)</f>
        <v>0.23657037796109937</v>
      </c>
      <c r="W40" s="320">
        <f>(W38/W80)</f>
        <v>0.25112581560340441</v>
      </c>
      <c r="X40" s="303"/>
      <c r="Y40" s="303"/>
      <c r="Z40" s="303"/>
      <c r="AA40" s="303"/>
      <c r="AB40" s="303"/>
      <c r="AC40" s="303"/>
      <c r="AD40" s="303"/>
      <c r="AE40" s="303"/>
      <c r="AF40" s="303"/>
      <c r="AG40" s="303"/>
      <c r="AH40" s="303"/>
      <c r="AI40" s="303"/>
      <c r="AJ40" s="303"/>
      <c r="AK40" s="303"/>
      <c r="AL40" s="303"/>
      <c r="AM40" s="303"/>
      <c r="AN40" s="303"/>
      <c r="AO40" s="303"/>
      <c r="AP40" s="303"/>
      <c r="AQ40" s="303"/>
      <c r="AR40" s="303"/>
    </row>
    <row r="41" spans="1:44" ht="15" customHeight="1" x14ac:dyDescent="0.3">
      <c r="A41" s="229" t="s">
        <v>317</v>
      </c>
      <c r="B41" s="319">
        <f>(B38/B81)</f>
        <v>1.7840076230531958E-2</v>
      </c>
      <c r="C41" s="319">
        <f>(C38/C81)</f>
        <v>1.7921666521861803E-2</v>
      </c>
      <c r="D41" s="319">
        <f>(D38/D81)</f>
        <v>1.772825839961828E-2</v>
      </c>
      <c r="E41" s="319">
        <f>(E38/E81)</f>
        <v>1.8510051720913523E-2</v>
      </c>
      <c r="F41" s="319">
        <f>(F38/F81)</f>
        <v>1.8805332394537345E-2</v>
      </c>
      <c r="G41" s="319">
        <f>(G38/G81)</f>
        <v>2.067556042666624E-2</v>
      </c>
      <c r="H41" s="319">
        <f>(H38/H81)</f>
        <v>2.1139657845532806E-2</v>
      </c>
      <c r="I41" s="319">
        <f>(I38/I81)</f>
        <v>2.2255363578668579E-2</v>
      </c>
      <c r="J41" s="319">
        <f>(J38/J81)</f>
        <v>2.2245093303570662E-2</v>
      </c>
      <c r="K41" s="319">
        <f>(K38/K81)</f>
        <v>2.5254466715653123E-2</v>
      </c>
      <c r="L41" s="319">
        <f>(L38/L81)</f>
        <v>2.674910599685125E-2</v>
      </c>
      <c r="M41" s="319">
        <f>(M38/M81)</f>
        <v>2.605467946564409E-2</v>
      </c>
      <c r="N41" s="319">
        <f>(N38/N81)</f>
        <v>2.5893677911646176E-2</v>
      </c>
      <c r="O41" s="319">
        <f>(O38/O81)</f>
        <v>2.8177710520423435E-2</v>
      </c>
      <c r="P41" s="319">
        <f>(P38/P81)</f>
        <v>2.7818500859250493E-2</v>
      </c>
      <c r="Q41" s="319">
        <f>(Q38/Q81)</f>
        <v>2.8052667731061135E-2</v>
      </c>
      <c r="R41" s="319">
        <f>(R38/R81)</f>
        <v>3.0127385062929824E-2</v>
      </c>
      <c r="S41" s="319">
        <f>(S38/S81)</f>
        <v>3.0800291328883275E-2</v>
      </c>
      <c r="T41" s="319">
        <f>(T38/T81)</f>
        <v>3.1692278805971329E-2</v>
      </c>
      <c r="U41" s="319">
        <f>(U38/U81)</f>
        <v>3.219552861942318E-2</v>
      </c>
      <c r="V41" s="319">
        <f>(V38/V81)</f>
        <v>3.5117669778721113E-2</v>
      </c>
      <c r="W41" s="320">
        <f>(W38/W81)</f>
        <v>3.798960569147717E-2</v>
      </c>
      <c r="X41" s="303"/>
      <c r="Y41" s="303"/>
      <c r="Z41" s="303"/>
      <c r="AA41" s="303"/>
      <c r="AB41" s="303"/>
      <c r="AC41" s="303"/>
      <c r="AD41" s="303"/>
      <c r="AE41" s="303"/>
      <c r="AF41" s="303"/>
      <c r="AG41" s="303"/>
      <c r="AH41" s="303"/>
      <c r="AI41" s="303"/>
      <c r="AJ41" s="303"/>
      <c r="AK41" s="303"/>
      <c r="AL41" s="303"/>
      <c r="AM41" s="303"/>
      <c r="AN41" s="303"/>
      <c r="AO41" s="303"/>
      <c r="AP41" s="303"/>
      <c r="AQ41" s="303"/>
      <c r="AR41" s="303"/>
    </row>
    <row r="42" spans="1:44" ht="15" customHeight="1" x14ac:dyDescent="0.3">
      <c r="A42" s="229" t="s">
        <v>318</v>
      </c>
      <c r="B42" s="322">
        <f>+B38*1000/B82</f>
        <v>454.60425771242393</v>
      </c>
      <c r="C42" s="322">
        <f>+C38*1000/C82</f>
        <v>499.53473548224474</v>
      </c>
      <c r="D42" s="322">
        <f>+D38*1000/D82</f>
        <v>518.62318679673854</v>
      </c>
      <c r="E42" s="322">
        <f>+E38*1000/E82</f>
        <v>566.26661910847281</v>
      </c>
      <c r="F42" s="322">
        <f>+F38*1000/F82</f>
        <v>846.78786719388154</v>
      </c>
      <c r="G42" s="322">
        <f>+G38*1000/G82</f>
        <v>738.98767806636147</v>
      </c>
      <c r="H42" s="322">
        <f>+H38*1000/H82</f>
        <v>814.2083198991113</v>
      </c>
      <c r="I42" s="322">
        <f>+I38*1000/I82</f>
        <v>993.95780335389031</v>
      </c>
      <c r="J42" s="322">
        <f>+J38*1000/J82</f>
        <v>1111.1958940726165</v>
      </c>
      <c r="K42" s="322">
        <f>+K38*1000/K82</f>
        <v>1386.0007663316746</v>
      </c>
      <c r="L42" s="322">
        <f>+L38*1000/L82</f>
        <v>1584.6354037803676</v>
      </c>
      <c r="M42" s="322">
        <f>+M38*1000/M82</f>
        <v>1783.1727158416736</v>
      </c>
      <c r="N42" s="322">
        <f>+N38*1000/N82</f>
        <v>2028.2027201279725</v>
      </c>
      <c r="O42" s="322">
        <f>+O38*1000/O82</f>
        <v>2435.6892529409729</v>
      </c>
      <c r="P42" s="322">
        <f>+P38*1000/P82</f>
        <v>3796.2835676006357</v>
      </c>
      <c r="Q42" s="322">
        <f>+Q38*1000/Q82</f>
        <v>3523.976144564886</v>
      </c>
      <c r="R42" s="322">
        <f>+R38*1000/R82</f>
        <v>4183.4358543458684</v>
      </c>
      <c r="S42" s="322">
        <f>+S38*1000/S82</f>
        <v>4868.9507508171728</v>
      </c>
      <c r="T42" s="322">
        <f>+T38*1000/T82</f>
        <v>5351.4548177479082</v>
      </c>
      <c r="U42" s="322">
        <f>+U38*1000/U82</f>
        <v>5895.9194019681136</v>
      </c>
      <c r="V42" s="309">
        <f>+V38*1000/V82</f>
        <v>7151.8593622232747</v>
      </c>
      <c r="W42" s="313">
        <f>+W38*1000/W82</f>
        <v>8199.8776701285315</v>
      </c>
      <c r="X42" s="303"/>
      <c r="Y42" s="303"/>
      <c r="Z42" s="303"/>
      <c r="AA42" s="303"/>
      <c r="AB42" s="303"/>
      <c r="AC42" s="303"/>
      <c r="AD42" s="303"/>
      <c r="AE42" s="303"/>
      <c r="AF42" s="303"/>
      <c r="AG42" s="303"/>
      <c r="AH42" s="303"/>
      <c r="AI42" s="303"/>
      <c r="AJ42" s="303"/>
      <c r="AK42" s="303"/>
      <c r="AL42" s="303"/>
      <c r="AM42" s="303"/>
      <c r="AN42" s="303"/>
      <c r="AO42" s="303"/>
      <c r="AP42" s="303"/>
      <c r="AQ42" s="303"/>
      <c r="AR42" s="303"/>
    </row>
    <row r="43" spans="1:44" ht="15" customHeight="1" x14ac:dyDescent="0.3">
      <c r="A43" s="229" t="s">
        <v>338</v>
      </c>
      <c r="B43" s="319">
        <f>B42/B83</f>
        <v>0.32379220634788031</v>
      </c>
      <c r="C43" s="319">
        <f>C42/C83</f>
        <v>0.3274921779822409</v>
      </c>
      <c r="D43" s="319">
        <f>D42/D83</f>
        <v>0.31495335230571164</v>
      </c>
      <c r="E43" s="319">
        <f>E42/E83</f>
        <v>0.3250669455272519</v>
      </c>
      <c r="F43" s="319">
        <f>F42/F83</f>
        <v>0.44236012390956331</v>
      </c>
      <c r="G43" s="319">
        <f>G42/G83</f>
        <v>0.32906052680234288</v>
      </c>
      <c r="H43" s="319">
        <f>H42/H83</f>
        <v>0.3211867139641465</v>
      </c>
      <c r="I43" s="319">
        <f>I42/I83</f>
        <v>0.33242735898123421</v>
      </c>
      <c r="J43" s="319">
        <f>J42/J83</f>
        <v>0.33740766014350704</v>
      </c>
      <c r="K43" s="319">
        <f>K42/K83</f>
        <v>0.37191433801386614</v>
      </c>
      <c r="L43" s="319">
        <f>L42/L83</f>
        <v>0.36117046240008377</v>
      </c>
      <c r="M43" s="319">
        <f>M42/M83</f>
        <v>0.36823391137670081</v>
      </c>
      <c r="N43" s="319">
        <f>N42/N83</f>
        <v>0.38130084038125756</v>
      </c>
      <c r="O43" s="319">
        <f>O42/O83</f>
        <v>0.40656935645140735</v>
      </c>
      <c r="P43" s="319">
        <f>P42/P83</f>
        <v>0.57259178998501292</v>
      </c>
      <c r="Q43" s="319">
        <f>Q42/Q83</f>
        <v>0.49814717557755489</v>
      </c>
      <c r="R43" s="319">
        <f>R42/R83</f>
        <v>0.51736777817782198</v>
      </c>
      <c r="S43" s="319">
        <f>S42/S83</f>
        <v>0.55241102233006267</v>
      </c>
      <c r="T43" s="319">
        <f>T42/T83</f>
        <v>0.56857785993921672</v>
      </c>
      <c r="U43" s="319">
        <f>U42/U83</f>
        <v>0.57554855544397832</v>
      </c>
      <c r="V43" s="319">
        <f>V42/V83</f>
        <v>0.62516253166287361</v>
      </c>
      <c r="W43" s="320">
        <f>W42/W83</f>
        <v>0.67316949923064862</v>
      </c>
      <c r="X43" s="303"/>
      <c r="Y43" s="303"/>
      <c r="Z43" s="303"/>
      <c r="AA43" s="303"/>
      <c r="AB43" s="303"/>
      <c r="AC43" s="303"/>
      <c r="AD43" s="303"/>
      <c r="AE43" s="303"/>
      <c r="AF43" s="303"/>
      <c r="AG43" s="303"/>
      <c r="AH43" s="303"/>
      <c r="AI43" s="303"/>
      <c r="AJ43" s="303"/>
      <c r="AK43" s="303"/>
      <c r="AL43" s="303"/>
      <c r="AM43" s="303"/>
      <c r="AN43" s="303"/>
      <c r="AO43" s="303"/>
      <c r="AP43" s="303"/>
      <c r="AQ43" s="303"/>
      <c r="AR43" s="303"/>
    </row>
    <row r="44" spans="1:44" ht="15" customHeight="1" thickBot="1" x14ac:dyDescent="0.35">
      <c r="A44" s="241" t="s">
        <v>603</v>
      </c>
      <c r="B44" s="325">
        <f>B42/B86</f>
        <v>4.4338831077844885E-2</v>
      </c>
      <c r="C44" s="325">
        <f>C42/C86</f>
        <v>4.4807340388871041E-2</v>
      </c>
      <c r="D44" s="325">
        <f>D42/D86</f>
        <v>4.5779477126087632E-2</v>
      </c>
      <c r="E44" s="325">
        <f>E42/E86</f>
        <v>4.9798330865695746E-2</v>
      </c>
      <c r="F44" s="325">
        <f>F42/F86</f>
        <v>7.0157666470239743E-2</v>
      </c>
      <c r="G44" s="325">
        <f>G42/G86</f>
        <v>5.7915965610365043E-2</v>
      </c>
      <c r="H44" s="325">
        <f>H42/H86</f>
        <v>5.4779455335027295E-2</v>
      </c>
      <c r="I44" s="325">
        <f>I42/I86</f>
        <v>6.7849903877305606E-2</v>
      </c>
      <c r="J44" s="325">
        <f>J42/J86</f>
        <v>7.568867244155153E-2</v>
      </c>
      <c r="K44" s="325">
        <f>K42/K86</f>
        <v>9.0759629706052961E-2</v>
      </c>
      <c r="L44" s="325">
        <f>L42/L86</f>
        <v>9.9854130557891829E-2</v>
      </c>
      <c r="M44" s="325">
        <f>M42/M86</f>
        <v>0.10592182300453504</v>
      </c>
      <c r="N44" s="325">
        <f>N42/N86</f>
        <v>0.11643215682541992</v>
      </c>
      <c r="O44" s="325">
        <f>O42/O86</f>
        <v>0.1342288279374996</v>
      </c>
      <c r="P44" s="325">
        <f>P42/P86</f>
        <v>0.19528513934759353</v>
      </c>
      <c r="Q44" s="325">
        <f>Q42/Q86</f>
        <v>0.1714090530376379</v>
      </c>
      <c r="R44" s="325">
        <f>R42/R86</f>
        <v>0.21575625176039176</v>
      </c>
      <c r="S44" s="325">
        <f>S42/S86</f>
        <v>0.28576691906598534</v>
      </c>
      <c r="T44" s="325">
        <f>T42/T86</f>
        <v>0.30883498591688796</v>
      </c>
      <c r="U44" s="325">
        <f>U42/U86</f>
        <v>0.34564499072545374</v>
      </c>
      <c r="V44" s="325">
        <f>V42/V86</f>
        <v>0.42915257681842789</v>
      </c>
      <c r="W44" s="326">
        <f>W42/W86</f>
        <v>0.49203245330225504</v>
      </c>
      <c r="X44" s="303"/>
      <c r="Y44" s="303"/>
      <c r="Z44" s="303"/>
      <c r="AA44" s="303"/>
      <c r="AB44" s="303"/>
      <c r="AC44" s="303"/>
      <c r="AD44" s="303"/>
      <c r="AE44" s="303"/>
      <c r="AF44" s="303"/>
      <c r="AG44" s="303"/>
      <c r="AH44" s="303"/>
      <c r="AI44" s="303"/>
      <c r="AJ44" s="303"/>
      <c r="AK44" s="303"/>
      <c r="AL44" s="303"/>
      <c r="AM44" s="303"/>
      <c r="AN44" s="303"/>
      <c r="AO44" s="303"/>
      <c r="AP44" s="303"/>
      <c r="AQ44" s="303"/>
      <c r="AR44" s="303"/>
    </row>
    <row r="45" spans="1:44" ht="15" customHeight="1" x14ac:dyDescent="0.3">
      <c r="A45" s="242" t="s">
        <v>126</v>
      </c>
      <c r="B45" s="327"/>
      <c r="C45" s="327"/>
      <c r="D45" s="327"/>
      <c r="E45" s="327"/>
      <c r="G45" s="327"/>
      <c r="H45" s="327"/>
      <c r="I45" s="327"/>
      <c r="J45" s="327"/>
      <c r="K45" s="327"/>
      <c r="L45" s="327"/>
      <c r="M45" s="327"/>
      <c r="N45" s="327"/>
      <c r="O45" s="327"/>
      <c r="Q45" s="327"/>
      <c r="R45" s="327"/>
      <c r="S45" s="327"/>
      <c r="T45" s="327"/>
      <c r="U45" s="327"/>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row>
    <row r="46" spans="1:44" ht="15" customHeight="1" x14ac:dyDescent="0.3">
      <c r="A46" s="57" t="s">
        <v>445</v>
      </c>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row>
    <row r="47" spans="1:44" ht="15" customHeight="1" x14ac:dyDescent="0.3">
      <c r="A47" s="57" t="s">
        <v>434</v>
      </c>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row>
    <row r="48" spans="1:44" ht="15" customHeight="1" x14ac:dyDescent="0.3">
      <c r="A48" s="57" t="s">
        <v>435</v>
      </c>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row>
    <row r="49" spans="1:44" ht="15" customHeight="1" x14ac:dyDescent="0.3">
      <c r="A49" s="57" t="s">
        <v>446</v>
      </c>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row>
    <row r="50" spans="1:44" ht="15" customHeight="1" x14ac:dyDescent="0.3">
      <c r="A50" s="57" t="s">
        <v>436</v>
      </c>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row>
    <row r="51" spans="1:44" ht="15" customHeight="1" x14ac:dyDescent="0.3">
      <c r="A51" s="57" t="s">
        <v>437</v>
      </c>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row>
    <row r="52" spans="1:44" ht="15" customHeight="1" x14ac:dyDescent="0.3">
      <c r="A52" s="57" t="s">
        <v>438</v>
      </c>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row>
    <row r="53" spans="1:44" ht="15" customHeight="1" x14ac:dyDescent="0.3">
      <c r="A53" s="57" t="s">
        <v>447</v>
      </c>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row>
    <row r="54" spans="1:44" ht="15" customHeight="1" x14ac:dyDescent="0.3">
      <c r="A54" s="57" t="s">
        <v>439</v>
      </c>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c r="AR54" s="303"/>
    </row>
    <row r="55" spans="1:44" ht="15" customHeight="1" x14ac:dyDescent="0.3">
      <c r="A55" s="57" t="s">
        <v>440</v>
      </c>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row>
    <row r="56" spans="1:44" ht="15" customHeight="1" x14ac:dyDescent="0.3">
      <c r="A56" s="57" t="s">
        <v>441</v>
      </c>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row>
    <row r="57" spans="1:44" ht="15" customHeight="1" x14ac:dyDescent="0.3">
      <c r="A57" s="57" t="s">
        <v>442</v>
      </c>
      <c r="U57" s="329"/>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row>
    <row r="58" spans="1:44" ht="15" customHeight="1" x14ac:dyDescent="0.3">
      <c r="A58" s="57" t="s">
        <v>443</v>
      </c>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row>
    <row r="59" spans="1:44" ht="15" customHeight="1" x14ac:dyDescent="0.3">
      <c r="A59" s="57" t="s">
        <v>444</v>
      </c>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row>
    <row r="60" spans="1:44" ht="15" customHeight="1" x14ac:dyDescent="0.3">
      <c r="A60" s="57" t="s">
        <v>448</v>
      </c>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row>
    <row r="61" spans="1:44" ht="15" customHeight="1" x14ac:dyDescent="0.3">
      <c r="A61" s="57" t="s">
        <v>449</v>
      </c>
      <c r="V61" s="303"/>
      <c r="W61" s="303"/>
      <c r="X61" s="303"/>
      <c r="Y61" s="303"/>
      <c r="Z61" s="303"/>
      <c r="AA61" s="303"/>
      <c r="AB61" s="303"/>
      <c r="AC61" s="303"/>
      <c r="AD61" s="303"/>
      <c r="AE61" s="303"/>
      <c r="AF61" s="303"/>
      <c r="AG61" s="303"/>
      <c r="AH61" s="303"/>
      <c r="AI61" s="303"/>
      <c r="AJ61" s="303"/>
      <c r="AK61" s="303"/>
      <c r="AL61" s="303"/>
      <c r="AM61" s="303"/>
      <c r="AN61" s="303"/>
      <c r="AO61" s="303"/>
      <c r="AP61" s="303"/>
      <c r="AQ61" s="303"/>
      <c r="AR61" s="303"/>
    </row>
    <row r="62" spans="1:44" ht="15" customHeight="1" x14ac:dyDescent="0.3">
      <c r="A62" s="57" t="s">
        <v>450</v>
      </c>
      <c r="V62" s="303"/>
      <c r="W62" s="303"/>
      <c r="X62" s="303"/>
      <c r="Y62" s="303"/>
      <c r="Z62" s="303"/>
      <c r="AA62" s="303"/>
      <c r="AB62" s="303"/>
      <c r="AC62" s="303"/>
      <c r="AD62" s="303"/>
      <c r="AE62" s="303"/>
      <c r="AF62" s="303"/>
      <c r="AG62" s="303"/>
      <c r="AH62" s="303"/>
      <c r="AI62" s="303"/>
      <c r="AJ62" s="303"/>
      <c r="AK62" s="303"/>
      <c r="AL62" s="303"/>
      <c r="AM62" s="303"/>
      <c r="AN62" s="303"/>
      <c r="AO62" s="303"/>
      <c r="AP62" s="303"/>
      <c r="AQ62" s="303"/>
      <c r="AR62" s="303"/>
    </row>
    <row r="63" spans="1:44" ht="15" customHeight="1" x14ac:dyDescent="0.3">
      <c r="A63" s="57" t="s">
        <v>451</v>
      </c>
      <c r="V63" s="303"/>
      <c r="W63" s="303"/>
      <c r="X63" s="303"/>
      <c r="Y63" s="303"/>
      <c r="Z63" s="303"/>
      <c r="AA63" s="303"/>
      <c r="AB63" s="303"/>
      <c r="AC63" s="303"/>
      <c r="AD63" s="303"/>
      <c r="AE63" s="303"/>
      <c r="AF63" s="303"/>
      <c r="AG63" s="303"/>
      <c r="AH63" s="303"/>
      <c r="AI63" s="303"/>
      <c r="AJ63" s="303"/>
      <c r="AK63" s="303"/>
      <c r="AL63" s="303"/>
      <c r="AM63" s="303"/>
      <c r="AN63" s="303"/>
      <c r="AO63" s="303"/>
      <c r="AP63" s="303"/>
      <c r="AQ63" s="303"/>
      <c r="AR63" s="303"/>
    </row>
    <row r="64" spans="1:44" ht="15" customHeight="1" x14ac:dyDescent="0.3">
      <c r="A64" s="57" t="s">
        <v>452</v>
      </c>
      <c r="V64" s="303"/>
      <c r="W64" s="303"/>
      <c r="X64" s="303"/>
      <c r="Y64" s="303"/>
      <c r="Z64" s="303"/>
      <c r="AA64" s="303"/>
      <c r="AB64" s="303"/>
      <c r="AC64" s="303"/>
      <c r="AD64" s="303"/>
      <c r="AE64" s="303"/>
      <c r="AF64" s="303"/>
      <c r="AG64" s="303"/>
      <c r="AH64" s="303"/>
      <c r="AI64" s="303"/>
      <c r="AJ64" s="303"/>
      <c r="AK64" s="303"/>
      <c r="AL64" s="303"/>
      <c r="AM64" s="303"/>
      <c r="AN64" s="303"/>
      <c r="AO64" s="303"/>
      <c r="AP64" s="303"/>
      <c r="AQ64" s="303"/>
      <c r="AR64" s="303"/>
    </row>
    <row r="65" spans="1:44" ht="15" customHeight="1" x14ac:dyDescent="0.3">
      <c r="A65" s="57" t="s">
        <v>453</v>
      </c>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c r="AR65" s="303"/>
    </row>
    <row r="66" spans="1:44" ht="15" customHeight="1" x14ac:dyDescent="0.3">
      <c r="A66" s="57" t="s">
        <v>454</v>
      </c>
      <c r="V66" s="303"/>
      <c r="W66" s="303"/>
      <c r="X66" s="303"/>
      <c r="Y66" s="303"/>
      <c r="Z66" s="303"/>
      <c r="AA66" s="303"/>
      <c r="AB66" s="303"/>
      <c r="AC66" s="303"/>
      <c r="AD66" s="303"/>
      <c r="AE66" s="303"/>
      <c r="AF66" s="303"/>
      <c r="AG66" s="303"/>
      <c r="AH66" s="303"/>
      <c r="AI66" s="303"/>
      <c r="AJ66" s="303"/>
      <c r="AK66" s="303"/>
      <c r="AL66" s="303"/>
      <c r="AM66" s="303"/>
      <c r="AN66" s="303"/>
      <c r="AO66" s="303"/>
      <c r="AP66" s="303"/>
      <c r="AQ66" s="303"/>
      <c r="AR66" s="303"/>
    </row>
    <row r="67" spans="1:44" ht="15" customHeight="1" x14ac:dyDescent="0.3">
      <c r="A67" s="57" t="s">
        <v>455</v>
      </c>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row>
    <row r="68" spans="1:44" ht="15" customHeight="1" x14ac:dyDescent="0.3">
      <c r="A68" s="57" t="s">
        <v>456</v>
      </c>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row>
    <row r="69" spans="1:44" ht="15" customHeight="1" x14ac:dyDescent="0.3">
      <c r="A69" s="57" t="s">
        <v>457</v>
      </c>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303"/>
    </row>
    <row r="70" spans="1:44" ht="15" customHeight="1" x14ac:dyDescent="0.3">
      <c r="A70" s="57" t="s">
        <v>458</v>
      </c>
      <c r="V70" s="303"/>
      <c r="W70" s="303"/>
      <c r="X70" s="303"/>
      <c r="Y70" s="303"/>
      <c r="Z70" s="303"/>
      <c r="AA70" s="303"/>
      <c r="AB70" s="303"/>
      <c r="AC70" s="303"/>
      <c r="AD70" s="303"/>
      <c r="AE70" s="303"/>
      <c r="AF70" s="303"/>
      <c r="AG70" s="303"/>
      <c r="AH70" s="303"/>
      <c r="AI70" s="303"/>
      <c r="AJ70" s="303"/>
      <c r="AK70" s="303"/>
      <c r="AL70" s="303"/>
      <c r="AM70" s="303"/>
      <c r="AN70" s="303"/>
      <c r="AO70" s="303"/>
      <c r="AP70" s="303"/>
      <c r="AQ70" s="303"/>
      <c r="AR70" s="303"/>
    </row>
    <row r="71" spans="1:44" ht="15" customHeight="1" x14ac:dyDescent="0.3">
      <c r="A71" s="57" t="s">
        <v>459</v>
      </c>
      <c r="V71" s="303"/>
      <c r="W71" s="303"/>
      <c r="X71" s="303"/>
      <c r="Y71" s="303"/>
      <c r="Z71" s="303"/>
      <c r="AA71" s="303"/>
      <c r="AB71" s="303"/>
      <c r="AC71" s="303"/>
      <c r="AD71" s="303"/>
      <c r="AE71" s="303"/>
      <c r="AF71" s="303"/>
      <c r="AG71" s="303"/>
      <c r="AH71" s="303"/>
      <c r="AI71" s="303"/>
      <c r="AJ71" s="303"/>
      <c r="AK71" s="303"/>
      <c r="AL71" s="303"/>
      <c r="AM71" s="303"/>
      <c r="AN71" s="303"/>
      <c r="AO71" s="303"/>
      <c r="AP71" s="303"/>
      <c r="AQ71" s="303"/>
      <c r="AR71" s="303"/>
    </row>
    <row r="72" spans="1:44" ht="15" customHeight="1" x14ac:dyDescent="0.3">
      <c r="A72" s="57" t="s">
        <v>460</v>
      </c>
      <c r="B72" s="303"/>
      <c r="C72" s="303"/>
      <c r="D72" s="303"/>
      <c r="E72" s="303"/>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303"/>
      <c r="AP72" s="303"/>
      <c r="AQ72" s="303"/>
      <c r="AR72" s="303"/>
    </row>
    <row r="73" spans="1:44" ht="15" customHeight="1" x14ac:dyDescent="0.3">
      <c r="A73" s="57" t="s">
        <v>461</v>
      </c>
      <c r="B73" s="303"/>
      <c r="C73" s="303"/>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303"/>
      <c r="AP73" s="303"/>
      <c r="AQ73" s="303"/>
      <c r="AR73" s="303"/>
    </row>
    <row r="74" spans="1:44" ht="15" customHeight="1" x14ac:dyDescent="0.3">
      <c r="A74" s="57" t="s">
        <v>462</v>
      </c>
      <c r="B74" s="303"/>
      <c r="C74" s="303"/>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3"/>
      <c r="AG74" s="303"/>
      <c r="AH74" s="303"/>
      <c r="AI74" s="303"/>
      <c r="AJ74" s="303"/>
      <c r="AK74" s="303"/>
      <c r="AL74" s="303"/>
      <c r="AM74" s="303"/>
      <c r="AN74" s="303"/>
      <c r="AO74" s="303"/>
      <c r="AP74" s="303"/>
      <c r="AQ74" s="303"/>
      <c r="AR74" s="303"/>
    </row>
    <row r="75" spans="1:44" ht="15" customHeight="1" x14ac:dyDescent="0.3">
      <c r="A75" s="303"/>
      <c r="B75" s="303"/>
      <c r="C75" s="303"/>
      <c r="D75" s="303"/>
      <c r="E75" s="303"/>
      <c r="F75" s="303"/>
      <c r="G75" s="303"/>
      <c r="H75" s="303"/>
      <c r="I75" s="303"/>
      <c r="J75" s="303"/>
      <c r="K75" s="303"/>
      <c r="L75" s="303"/>
      <c r="M75" s="303"/>
      <c r="N75" s="303"/>
      <c r="O75" s="303"/>
      <c r="P75" s="303"/>
      <c r="Q75" s="303"/>
      <c r="R75" s="303"/>
      <c r="S75" s="303"/>
      <c r="T75" s="303"/>
      <c r="U75" s="303"/>
      <c r="V75" s="303"/>
      <c r="W75" s="303"/>
      <c r="X75" s="303"/>
      <c r="Y75" s="303"/>
      <c r="Z75" s="303"/>
      <c r="AA75" s="303"/>
      <c r="AB75" s="303"/>
      <c r="AC75" s="303"/>
      <c r="AD75" s="303"/>
      <c r="AE75" s="303"/>
      <c r="AF75" s="303"/>
      <c r="AG75" s="303"/>
      <c r="AH75" s="303"/>
      <c r="AI75" s="303"/>
      <c r="AJ75" s="303"/>
      <c r="AK75" s="303"/>
      <c r="AL75" s="303"/>
      <c r="AM75" s="303"/>
      <c r="AN75" s="303"/>
      <c r="AO75" s="303"/>
      <c r="AP75" s="303"/>
      <c r="AQ75" s="303"/>
      <c r="AR75" s="303"/>
    </row>
    <row r="76" spans="1:44" ht="15" customHeight="1" thickBot="1" x14ac:dyDescent="0.35">
      <c r="A76" s="303"/>
      <c r="B76" s="303"/>
      <c r="C76" s="303"/>
      <c r="D76" s="303"/>
      <c r="E76" s="303"/>
      <c r="F76" s="303"/>
      <c r="G76" s="303"/>
      <c r="H76" s="303"/>
      <c r="I76" s="303"/>
      <c r="J76" s="303"/>
      <c r="K76" s="303"/>
      <c r="L76" s="303"/>
      <c r="M76" s="303"/>
      <c r="N76" s="303"/>
      <c r="O76" s="303"/>
      <c r="P76" s="303"/>
      <c r="Q76" s="303"/>
      <c r="R76" s="303"/>
      <c r="S76" s="303"/>
      <c r="T76" s="303"/>
      <c r="U76" s="303"/>
      <c r="V76" s="303"/>
      <c r="W76" s="303"/>
      <c r="X76" s="303"/>
      <c r="Y76" s="303"/>
      <c r="Z76" s="303"/>
      <c r="AA76" s="303"/>
      <c r="AB76" s="303"/>
      <c r="AC76" s="303"/>
      <c r="AD76" s="303"/>
      <c r="AE76" s="303"/>
      <c r="AF76" s="303"/>
      <c r="AG76" s="303"/>
      <c r="AH76" s="303"/>
      <c r="AI76" s="303"/>
      <c r="AJ76" s="303"/>
      <c r="AK76" s="303"/>
      <c r="AL76" s="303"/>
      <c r="AM76" s="303"/>
      <c r="AN76" s="303"/>
      <c r="AO76" s="303"/>
      <c r="AP76" s="303"/>
      <c r="AQ76" s="303"/>
      <c r="AR76" s="303"/>
    </row>
    <row r="77" spans="1:44" s="330" customFormat="1" ht="25.05" customHeight="1" thickBot="1" x14ac:dyDescent="0.35">
      <c r="A77" s="353" t="s">
        <v>292</v>
      </c>
      <c r="B77" s="369" t="s">
        <v>199</v>
      </c>
      <c r="C77" s="369" t="s">
        <v>200</v>
      </c>
      <c r="D77" s="369" t="s">
        <v>201</v>
      </c>
      <c r="E77" s="369" t="s">
        <v>171</v>
      </c>
      <c r="F77" s="369" t="s">
        <v>172</v>
      </c>
      <c r="G77" s="369" t="s">
        <v>173</v>
      </c>
      <c r="H77" s="369" t="s">
        <v>174</v>
      </c>
      <c r="I77" s="369" t="s">
        <v>175</v>
      </c>
      <c r="J77" s="369" t="s">
        <v>176</v>
      </c>
      <c r="K77" s="369" t="s">
        <v>177</v>
      </c>
      <c r="L77" s="369" t="s">
        <v>178</v>
      </c>
      <c r="M77" s="369" t="s">
        <v>179</v>
      </c>
      <c r="N77" s="369" t="s">
        <v>180</v>
      </c>
      <c r="O77" s="369" t="s">
        <v>181</v>
      </c>
      <c r="P77" s="369" t="s">
        <v>182</v>
      </c>
      <c r="Q77" s="369" t="s">
        <v>183</v>
      </c>
      <c r="R77" s="369" t="s">
        <v>184</v>
      </c>
      <c r="S77" s="369" t="s">
        <v>185</v>
      </c>
      <c r="T77" s="369" t="s">
        <v>186</v>
      </c>
      <c r="U77" s="369" t="s">
        <v>187</v>
      </c>
      <c r="V77" s="369" t="s">
        <v>188</v>
      </c>
      <c r="W77" s="370" t="s">
        <v>204</v>
      </c>
    </row>
    <row r="78" spans="1:44" ht="4.95" customHeight="1" x14ac:dyDescent="0.3">
      <c r="A78" s="229"/>
      <c r="B78" s="322"/>
      <c r="C78" s="322"/>
      <c r="D78" s="322"/>
      <c r="E78" s="322"/>
      <c r="F78" s="322"/>
      <c r="G78" s="322"/>
      <c r="H78" s="322"/>
      <c r="I78" s="322"/>
      <c r="J78" s="322"/>
      <c r="K78" s="322"/>
      <c r="L78" s="322"/>
      <c r="M78" s="322"/>
      <c r="N78" s="322"/>
      <c r="O78" s="322"/>
      <c r="P78" s="322"/>
      <c r="Q78" s="322"/>
      <c r="R78" s="322"/>
      <c r="S78" s="322"/>
      <c r="T78" s="322"/>
      <c r="U78" s="322"/>
      <c r="V78" s="322"/>
      <c r="W78" s="323"/>
      <c r="X78" s="303"/>
      <c r="Y78" s="303"/>
      <c r="Z78" s="303"/>
      <c r="AA78" s="303"/>
      <c r="AB78" s="303"/>
      <c r="AC78" s="303"/>
      <c r="AD78" s="303"/>
      <c r="AE78" s="303"/>
      <c r="AF78" s="303"/>
      <c r="AG78" s="303"/>
      <c r="AH78" s="303"/>
      <c r="AI78" s="303"/>
      <c r="AJ78" s="303"/>
      <c r="AK78" s="303"/>
      <c r="AL78" s="303"/>
      <c r="AM78" s="303"/>
      <c r="AN78" s="303"/>
      <c r="AO78" s="303"/>
      <c r="AP78" s="303"/>
      <c r="AQ78" s="303"/>
      <c r="AR78" s="303"/>
    </row>
    <row r="79" spans="1:44" ht="15" customHeight="1" x14ac:dyDescent="0.3">
      <c r="A79" s="229" t="s">
        <v>427</v>
      </c>
      <c r="B79" s="322">
        <v>288202.96601057</v>
      </c>
      <c r="C79" s="322">
        <v>390579.19587480003</v>
      </c>
      <c r="D79" s="322">
        <v>500182.39755650994</v>
      </c>
      <c r="E79" s="322">
        <v>588535.65671271004</v>
      </c>
      <c r="F79" s="322">
        <v>616382.5155291399</v>
      </c>
      <c r="G79" s="322">
        <v>603434.86421551998</v>
      </c>
      <c r="H79" s="322">
        <v>674928.08989483304</v>
      </c>
      <c r="I79" s="322">
        <v>876456.65230891993</v>
      </c>
      <c r="J79" s="322">
        <v>908177.76889020996</v>
      </c>
      <c r="K79" s="322">
        <v>1106788.1982112403</v>
      </c>
      <c r="L79" s="322">
        <v>1174668.38018624</v>
      </c>
      <c r="M79" s="322">
        <v>1165493.79189396</v>
      </c>
      <c r="N79" s="322">
        <v>1195381.78468912</v>
      </c>
      <c r="O79" s="322">
        <v>1334930.9042050499</v>
      </c>
      <c r="P79" s="322">
        <v>1417560.4500940701</v>
      </c>
      <c r="Q79" s="322">
        <v>1574392.25336754</v>
      </c>
      <c r="R79" s="322">
        <v>1712330.29979785</v>
      </c>
      <c r="S79" s="322">
        <v>1687510.5931343301</v>
      </c>
      <c r="T79" s="322">
        <v>2039979.3161197002</v>
      </c>
      <c r="U79" s="322">
        <v>2218148.6065936843</v>
      </c>
      <c r="V79" s="322">
        <v>2528947.7427916508</v>
      </c>
      <c r="W79" s="323">
        <v>2688018.5558132455</v>
      </c>
      <c r="X79" s="303"/>
      <c r="Y79" s="303"/>
      <c r="Z79" s="303"/>
      <c r="AA79" s="303"/>
      <c r="AB79" s="303"/>
      <c r="AC79" s="303"/>
      <c r="AD79" s="303"/>
      <c r="AE79" s="303"/>
      <c r="AF79" s="303"/>
      <c r="AG79" s="303"/>
      <c r="AH79" s="303"/>
      <c r="AI79" s="303"/>
      <c r="AJ79" s="303"/>
      <c r="AK79" s="303"/>
      <c r="AL79" s="303"/>
      <c r="AM79" s="303"/>
      <c r="AN79" s="303"/>
      <c r="AO79" s="303"/>
      <c r="AP79" s="303"/>
      <c r="AQ79" s="303"/>
      <c r="AR79" s="303"/>
    </row>
    <row r="80" spans="1:44" ht="15" customHeight="1" x14ac:dyDescent="0.3">
      <c r="A80" s="229" t="s">
        <v>428</v>
      </c>
      <c r="B80" s="322">
        <v>107357.98332869</v>
      </c>
      <c r="C80" s="322">
        <v>119605.45831678002</v>
      </c>
      <c r="D80" s="322">
        <v>134863.16022697999</v>
      </c>
      <c r="E80" s="322">
        <v>146150.38281429</v>
      </c>
      <c r="F80" s="322">
        <v>142830.21379578998</v>
      </c>
      <c r="G80" s="322">
        <v>163778.77503904002</v>
      </c>
      <c r="H80" s="322">
        <v>185426.38383361002</v>
      </c>
      <c r="I80" s="322">
        <v>211153.06048875998</v>
      </c>
      <c r="J80" s="322">
        <v>246358.68845441006</v>
      </c>
      <c r="K80" s="322">
        <v>283127.26808956999</v>
      </c>
      <c r="L80" s="322">
        <v>322517.17346633004</v>
      </c>
      <c r="M80" s="322">
        <v>347397.88802081993</v>
      </c>
      <c r="N80" s="322">
        <v>385222.49395375006</v>
      </c>
      <c r="O80" s="322">
        <v>445753.02139078011</v>
      </c>
      <c r="P80" s="322">
        <v>510224.02907935</v>
      </c>
      <c r="Q80" s="322">
        <v>564249.50022623013</v>
      </c>
      <c r="R80" s="322">
        <v>639073.84789538989</v>
      </c>
      <c r="S80" s="322">
        <v>728990.88857811026</v>
      </c>
      <c r="T80" s="322">
        <v>813161.04295083007</v>
      </c>
      <c r="U80" s="322">
        <v>837459.99791618064</v>
      </c>
      <c r="V80" s="322">
        <v>930288.65992947645</v>
      </c>
      <c r="W80" s="323">
        <v>988803.81663904048</v>
      </c>
      <c r="X80" s="303"/>
      <c r="Y80" s="303"/>
      <c r="Z80" s="303"/>
      <c r="AA80" s="303"/>
      <c r="AB80" s="303"/>
      <c r="AC80" s="303"/>
      <c r="AD80" s="303"/>
      <c r="AE80" s="303"/>
      <c r="AF80" s="303"/>
      <c r="AG80" s="303"/>
      <c r="AH80" s="303"/>
      <c r="AI80" s="303"/>
      <c r="AJ80" s="303"/>
      <c r="AK80" s="303"/>
      <c r="AL80" s="303"/>
      <c r="AM80" s="303"/>
      <c r="AN80" s="303"/>
      <c r="AO80" s="303"/>
      <c r="AP80" s="303"/>
      <c r="AQ80" s="303"/>
      <c r="AR80" s="303"/>
    </row>
    <row r="81" spans="1:44" ht="15" customHeight="1" x14ac:dyDescent="0.3">
      <c r="A81" s="229" t="s">
        <v>496</v>
      </c>
      <c r="B81" s="322">
        <v>854763.607812398</v>
      </c>
      <c r="C81" s="322">
        <v>952089.19608881092</v>
      </c>
      <c r="D81" s="322">
        <v>1002351.019213479</v>
      </c>
      <c r="E81" s="322">
        <v>1087710.456053993</v>
      </c>
      <c r="F81" s="322">
        <v>1199092.07094021</v>
      </c>
      <c r="G81" s="322">
        <v>1315755.4678309299</v>
      </c>
      <c r="H81" s="322">
        <v>1488787.255158368</v>
      </c>
      <c r="I81" s="322">
        <v>1717950.39642449</v>
      </c>
      <c r="J81" s="322">
        <v>1957751.2129625618</v>
      </c>
      <c r="K81" s="322">
        <v>2170584.5</v>
      </c>
      <c r="L81" s="322">
        <v>2409449.9400000013</v>
      </c>
      <c r="M81" s="322">
        <v>2720262.93</v>
      </c>
      <c r="N81" s="322">
        <v>3109803.1000000029</v>
      </c>
      <c r="O81" s="322">
        <v>3333039.3500000015</v>
      </c>
      <c r="P81" s="322">
        <v>3885847.0000000019</v>
      </c>
      <c r="Q81" s="322">
        <v>4376382</v>
      </c>
      <c r="R81" s="322">
        <v>4814760</v>
      </c>
      <c r="S81" s="322">
        <v>5331619.0000000093</v>
      </c>
      <c r="T81" s="322">
        <v>5778952.9999999991</v>
      </c>
      <c r="U81" s="322">
        <v>6000570.4600999905</v>
      </c>
      <c r="V81" s="322">
        <v>6266894.7364438577</v>
      </c>
      <c r="W81" s="323">
        <v>6536371.2101109428</v>
      </c>
      <c r="X81" s="303"/>
      <c r="Y81" s="303"/>
      <c r="Z81" s="303"/>
      <c r="AA81" s="303"/>
      <c r="AB81" s="303"/>
      <c r="AC81" s="303"/>
      <c r="AD81" s="303"/>
      <c r="AE81" s="303"/>
      <c r="AF81" s="303"/>
      <c r="AG81" s="303"/>
      <c r="AH81" s="303"/>
      <c r="AI81" s="303"/>
      <c r="AJ81" s="303"/>
      <c r="AK81" s="303"/>
      <c r="AL81" s="303"/>
      <c r="AM81" s="303"/>
      <c r="AN81" s="303"/>
      <c r="AO81" s="303"/>
      <c r="AP81" s="303"/>
      <c r="AQ81" s="303"/>
      <c r="AR81" s="303"/>
    </row>
    <row r="82" spans="1:44" ht="15" customHeight="1" x14ac:dyDescent="0.3">
      <c r="A82" s="229" t="s">
        <v>429</v>
      </c>
      <c r="B82" s="309">
        <v>33543.565999999999</v>
      </c>
      <c r="C82" s="309">
        <v>34157.834999999999</v>
      </c>
      <c r="D82" s="309">
        <v>34263.678</v>
      </c>
      <c r="E82" s="309">
        <v>35554.942000000003</v>
      </c>
      <c r="F82" s="309">
        <v>26629.249</v>
      </c>
      <c r="G82" s="309">
        <v>36812.497000000003</v>
      </c>
      <c r="H82" s="309">
        <v>38654.055</v>
      </c>
      <c r="I82" s="309">
        <v>38466.03</v>
      </c>
      <c r="J82" s="309">
        <v>39192.332000000002</v>
      </c>
      <c r="K82" s="309">
        <v>39550.449999999997</v>
      </c>
      <c r="L82" s="309">
        <v>40672.214999999997</v>
      </c>
      <c r="M82" s="309">
        <v>39746.894999999997</v>
      </c>
      <c r="N82" s="309">
        <v>39702.264000000003</v>
      </c>
      <c r="O82" s="309">
        <v>38558.866999999998</v>
      </c>
      <c r="P82" s="309">
        <v>28474.806</v>
      </c>
      <c r="Q82" s="309">
        <v>34838.258000000002</v>
      </c>
      <c r="R82" s="309">
        <v>34673.921999999999</v>
      </c>
      <c r="S82" s="309">
        <v>33727.065000000002</v>
      </c>
      <c r="T82" s="309">
        <v>34224</v>
      </c>
      <c r="U82" s="309">
        <v>32766.991000000002</v>
      </c>
      <c r="V82" s="309">
        <v>30772.240999999998</v>
      </c>
      <c r="W82" s="313">
        <v>30282.667000000001</v>
      </c>
      <c r="X82" s="321"/>
      <c r="Y82" s="303"/>
      <c r="Z82" s="303"/>
      <c r="AA82" s="303"/>
      <c r="AB82" s="303"/>
      <c r="AC82" s="303"/>
      <c r="AD82" s="303"/>
      <c r="AE82" s="303"/>
      <c r="AF82" s="303"/>
      <c r="AG82" s="303"/>
      <c r="AH82" s="303"/>
      <c r="AI82" s="303"/>
      <c r="AJ82" s="303"/>
      <c r="AK82" s="303"/>
      <c r="AL82" s="303"/>
      <c r="AM82" s="303"/>
      <c r="AN82" s="303"/>
      <c r="AO82" s="303"/>
      <c r="AP82" s="303"/>
      <c r="AQ82" s="303"/>
      <c r="AR82" s="303"/>
    </row>
    <row r="83" spans="1:44" ht="15" customHeight="1" x14ac:dyDescent="0.3">
      <c r="A83" s="229" t="s">
        <v>430</v>
      </c>
      <c r="B83" s="309">
        <v>1404</v>
      </c>
      <c r="C83" s="309">
        <v>1525.3333333333333</v>
      </c>
      <c r="D83" s="309">
        <v>1646.6666666666667</v>
      </c>
      <c r="E83" s="309">
        <v>1742</v>
      </c>
      <c r="F83" s="309">
        <v>1914.25</v>
      </c>
      <c r="G83" s="309">
        <v>2245.75</v>
      </c>
      <c r="H83" s="309">
        <v>2535</v>
      </c>
      <c r="I83" s="309">
        <v>2990</v>
      </c>
      <c r="J83" s="309">
        <v>3293.3333333333335</v>
      </c>
      <c r="K83" s="309">
        <v>3726.666666666667</v>
      </c>
      <c r="L83" s="309">
        <v>4387.5</v>
      </c>
      <c r="M83" s="309">
        <v>4842.5</v>
      </c>
      <c r="N83" s="309">
        <v>5319.166666666667</v>
      </c>
      <c r="O83" s="309">
        <v>5990.833333333333</v>
      </c>
      <c r="P83" s="309">
        <v>6630</v>
      </c>
      <c r="Q83" s="309">
        <v>7074.1666666666661</v>
      </c>
      <c r="R83" s="309">
        <v>8086</v>
      </c>
      <c r="S83" s="309">
        <v>8814</v>
      </c>
      <c r="T83" s="309">
        <v>9412</v>
      </c>
      <c r="U83" s="309">
        <v>10244</v>
      </c>
      <c r="V83" s="309">
        <v>11440</v>
      </c>
      <c r="W83" s="313">
        <v>12181</v>
      </c>
      <c r="Y83" s="303"/>
      <c r="Z83" s="303"/>
      <c r="AA83" s="303"/>
      <c r="AB83" s="303"/>
      <c r="AC83" s="303"/>
      <c r="AD83" s="303"/>
      <c r="AE83" s="303"/>
      <c r="AF83" s="303"/>
      <c r="AG83" s="303"/>
      <c r="AH83" s="303"/>
      <c r="AI83" s="303"/>
      <c r="AJ83" s="303"/>
      <c r="AK83" s="303"/>
      <c r="AL83" s="303"/>
      <c r="AM83" s="303"/>
      <c r="AN83" s="303"/>
      <c r="AO83" s="303"/>
      <c r="AP83" s="303"/>
      <c r="AQ83" s="303"/>
      <c r="AR83" s="303"/>
    </row>
    <row r="84" spans="1:44" ht="15" customHeight="1" x14ac:dyDescent="0.3">
      <c r="A84" s="229" t="s">
        <v>431</v>
      </c>
      <c r="B84" s="309">
        <v>14149.053096492966</v>
      </c>
      <c r="C84" s="309">
        <v>15303.807298864558</v>
      </c>
      <c r="D84" s="309">
        <v>15813.602955123495</v>
      </c>
      <c r="E84" s="309">
        <v>15673.357470281602</v>
      </c>
      <c r="F84" s="309">
        <v>16558.430699772645</v>
      </c>
      <c r="G84" s="309">
        <v>17104.961380255892</v>
      </c>
      <c r="H84" s="309">
        <v>19823.055321923708</v>
      </c>
      <c r="I84" s="309">
        <v>19823.055321923708</v>
      </c>
      <c r="J84" s="309">
        <v>19717.031637554119</v>
      </c>
      <c r="K84" s="309">
        <v>20015.23820731838</v>
      </c>
      <c r="L84" s="309">
        <v>20832.283848844661</v>
      </c>
      <c r="M84" s="309">
        <v>21495.257840608268</v>
      </c>
      <c r="N84" s="309">
        <v>22127.852460283331</v>
      </c>
      <c r="O84" s="309">
        <v>22701.667753867641</v>
      </c>
      <c r="P84" s="309">
        <v>23412.251149427571</v>
      </c>
      <c r="Q84" s="309">
        <v>24207.612222582226</v>
      </c>
      <c r="R84" s="309">
        <v>22033.969390538648</v>
      </c>
      <c r="S84" s="309">
        <v>19261</v>
      </c>
      <c r="T84" s="309">
        <v>20654</v>
      </c>
      <c r="U84" s="309">
        <v>22425</v>
      </c>
      <c r="V84" s="309">
        <v>24588</v>
      </c>
      <c r="W84" s="313">
        <v>25027</v>
      </c>
      <c r="Y84" s="303"/>
      <c r="Z84" s="303"/>
      <c r="AA84" s="303"/>
      <c r="AB84" s="303"/>
      <c r="AC84" s="303"/>
      <c r="AD84" s="303"/>
      <c r="AE84" s="303"/>
      <c r="AF84" s="303"/>
      <c r="AG84" s="303"/>
      <c r="AH84" s="303"/>
      <c r="AI84" s="303"/>
      <c r="AJ84" s="303"/>
      <c r="AK84" s="303"/>
      <c r="AL84" s="303"/>
      <c r="AM84" s="303"/>
      <c r="AN84" s="303"/>
      <c r="AO84" s="303"/>
      <c r="AP84" s="303"/>
      <c r="AQ84" s="303"/>
      <c r="AR84" s="303"/>
    </row>
    <row r="85" spans="1:44" ht="15" customHeight="1" x14ac:dyDescent="0.3">
      <c r="A85" s="229" t="s">
        <v>432</v>
      </c>
      <c r="B85" s="322">
        <v>15639.549345533431</v>
      </c>
      <c r="C85" s="322">
        <v>17033.118575354743</v>
      </c>
      <c r="D85" s="322">
        <v>17666.222885406278</v>
      </c>
      <c r="E85" s="322">
        <v>17742.121855441499</v>
      </c>
      <c r="F85" s="322">
        <v>18654.470235247965</v>
      </c>
      <c r="G85" s="322">
        <v>19073.774629707332</v>
      </c>
      <c r="H85" s="322">
        <v>22575.569659982393</v>
      </c>
      <c r="I85" s="322">
        <v>22575.569659982393</v>
      </c>
      <c r="J85" s="322">
        <v>22447.197602752334</v>
      </c>
      <c r="K85" s="322">
        <v>22478.322725677412</v>
      </c>
      <c r="L85" s="322">
        <v>23186.350993993114</v>
      </c>
      <c r="M85" s="322">
        <v>23620.849265538385</v>
      </c>
      <c r="N85" s="322">
        <v>24246.999610564097</v>
      </c>
      <c r="O85" s="322">
        <v>24635.377835718282</v>
      </c>
      <c r="P85" s="322">
        <v>24961.555230626349</v>
      </c>
      <c r="Q85" s="322">
        <v>25510.462244354072</v>
      </c>
      <c r="R85" s="322">
        <v>24944.065541760719</v>
      </c>
      <c r="S85" s="322">
        <v>23704.1152</v>
      </c>
      <c r="T85" s="322">
        <v>23958.0638</v>
      </c>
      <c r="U85" s="322">
        <v>24180.611499999999</v>
      </c>
      <c r="V85" s="322">
        <v>23788.739299999997</v>
      </c>
      <c r="W85" s="323">
        <v>23779.393400000001</v>
      </c>
      <c r="Y85" s="303"/>
      <c r="Z85" s="303"/>
      <c r="AA85" s="303"/>
      <c r="AB85" s="303"/>
      <c r="AC85" s="303"/>
      <c r="AD85" s="303"/>
      <c r="AE85" s="303"/>
      <c r="AF85" s="303"/>
      <c r="AG85" s="303"/>
      <c r="AH85" s="303"/>
      <c r="AI85" s="303"/>
      <c r="AJ85" s="303"/>
      <c r="AK85" s="303"/>
      <c r="AL85" s="303"/>
      <c r="AM85" s="303"/>
      <c r="AN85" s="303"/>
      <c r="AO85" s="303"/>
      <c r="AP85" s="303"/>
      <c r="AQ85" s="303"/>
      <c r="AR85" s="303"/>
    </row>
    <row r="86" spans="1:44" ht="15" customHeight="1" x14ac:dyDescent="0.3">
      <c r="A86" s="238" t="s">
        <v>433</v>
      </c>
      <c r="B86" s="331">
        <v>10252.959914849434</v>
      </c>
      <c r="C86" s="331">
        <v>11148.502257596971</v>
      </c>
      <c r="D86" s="331">
        <v>11328.726742953533</v>
      </c>
      <c r="E86" s="331">
        <v>11371.196770343024</v>
      </c>
      <c r="F86" s="331">
        <v>12069.783814048054</v>
      </c>
      <c r="G86" s="331">
        <v>12759.653927519204</v>
      </c>
      <c r="H86" s="331">
        <v>14863.388380177759</v>
      </c>
      <c r="I86" s="331">
        <v>14649.361996905478</v>
      </c>
      <c r="J86" s="331">
        <v>14681.138646350371</v>
      </c>
      <c r="K86" s="331">
        <v>15271.115261494277</v>
      </c>
      <c r="L86" s="331">
        <v>15869.502792993155</v>
      </c>
      <c r="M86" s="331">
        <v>16834.800093700494</v>
      </c>
      <c r="N86" s="331">
        <v>17419.609628713562</v>
      </c>
      <c r="O86" s="331">
        <v>18145.798412805128</v>
      </c>
      <c r="P86" s="331">
        <v>19439.695105747516</v>
      </c>
      <c r="Q86" s="331">
        <v>20558.868286794008</v>
      </c>
      <c r="R86" s="331">
        <v>19389.639096028539</v>
      </c>
      <c r="S86" s="331">
        <v>17038.188908398115</v>
      </c>
      <c r="T86" s="331">
        <v>17327.877545544867</v>
      </c>
      <c r="U86" s="331">
        <v>17057.731372277431</v>
      </c>
      <c r="V86" s="331">
        <v>16665.073795535398</v>
      </c>
      <c r="W86" s="332">
        <v>16665.318751020179</v>
      </c>
      <c r="X86" s="321"/>
      <c r="Y86" s="303"/>
      <c r="Z86" s="303"/>
      <c r="AA86" s="303"/>
      <c r="AB86" s="303"/>
      <c r="AC86" s="303"/>
      <c r="AD86" s="303"/>
      <c r="AE86" s="303"/>
      <c r="AF86" s="303"/>
      <c r="AG86" s="303"/>
      <c r="AH86" s="303"/>
      <c r="AI86" s="303"/>
      <c r="AJ86" s="303"/>
      <c r="AK86" s="303"/>
      <c r="AL86" s="303"/>
      <c r="AM86" s="303"/>
      <c r="AN86" s="303"/>
      <c r="AO86" s="303"/>
      <c r="AP86" s="303"/>
      <c r="AQ86" s="303"/>
      <c r="AR86" s="303"/>
    </row>
    <row r="87" spans="1:44" x14ac:dyDescent="0.3">
      <c r="A87" s="242" t="s">
        <v>126</v>
      </c>
    </row>
    <row r="88" spans="1:44" x14ac:dyDescent="0.3">
      <c r="A88" s="242" t="s">
        <v>467</v>
      </c>
    </row>
    <row r="89" spans="1:44" x14ac:dyDescent="0.3">
      <c r="A89" s="242" t="s">
        <v>468</v>
      </c>
    </row>
    <row r="90" spans="1:44" x14ac:dyDescent="0.3">
      <c r="A90" s="242" t="s">
        <v>463</v>
      </c>
    </row>
    <row r="91" spans="1:44" x14ac:dyDescent="0.3">
      <c r="A91" s="242" t="s">
        <v>464</v>
      </c>
    </row>
    <row r="92" spans="1:44" x14ac:dyDescent="0.3">
      <c r="A92" s="242" t="s">
        <v>465</v>
      </c>
    </row>
    <row r="93" spans="1:44" x14ac:dyDescent="0.3">
      <c r="A93" s="242" t="s">
        <v>466</v>
      </c>
    </row>
    <row r="94" spans="1:44" x14ac:dyDescent="0.3">
      <c r="A94" s="57" t="s">
        <v>469</v>
      </c>
    </row>
    <row r="95" spans="1:44" x14ac:dyDescent="0.3">
      <c r="A95" s="57" t="s">
        <v>470</v>
      </c>
    </row>
    <row r="96" spans="1:44" x14ac:dyDescent="0.3">
      <c r="A96" s="57" t="s">
        <v>471</v>
      </c>
    </row>
    <row r="97" spans="1:1" x14ac:dyDescent="0.3">
      <c r="A97" s="57" t="s">
        <v>472</v>
      </c>
    </row>
    <row r="98" spans="1:1" x14ac:dyDescent="0.3">
      <c r="A98" s="57" t="s">
        <v>473</v>
      </c>
    </row>
    <row r="99" spans="1:1" x14ac:dyDescent="0.3">
      <c r="A99" s="57" t="s">
        <v>474</v>
      </c>
    </row>
    <row r="100" spans="1:1" x14ac:dyDescent="0.3">
      <c r="A100" s="242" t="s">
        <v>475</v>
      </c>
    </row>
    <row r="101" spans="1:1" x14ac:dyDescent="0.3">
      <c r="A101" s="242" t="s">
        <v>476</v>
      </c>
    </row>
    <row r="102" spans="1:1" x14ac:dyDescent="0.3">
      <c r="A102" s="57" t="s">
        <v>480</v>
      </c>
    </row>
    <row r="103" spans="1:1" x14ac:dyDescent="0.3">
      <c r="A103" s="57" t="s">
        <v>477</v>
      </c>
    </row>
    <row r="104" spans="1:1" x14ac:dyDescent="0.3">
      <c r="A104" s="57" t="s">
        <v>478</v>
      </c>
    </row>
    <row r="105" spans="1:1" x14ac:dyDescent="0.3">
      <c r="A105" s="57" t="s">
        <v>479</v>
      </c>
    </row>
    <row r="107" spans="1:1" x14ac:dyDescent="0.3">
      <c r="A107" s="303"/>
    </row>
    <row r="108" spans="1:1" x14ac:dyDescent="0.3">
      <c r="A108" s="303"/>
    </row>
    <row r="109" spans="1:1" x14ac:dyDescent="0.3">
      <c r="A109" s="303"/>
    </row>
    <row r="110" spans="1:1" x14ac:dyDescent="0.3">
      <c r="A110" s="303"/>
    </row>
    <row r="111" spans="1:1" x14ac:dyDescent="0.3">
      <c r="A111" s="303"/>
    </row>
    <row r="112" spans="1:1" x14ac:dyDescent="0.3">
      <c r="A112" s="303"/>
    </row>
    <row r="113" spans="1:1" x14ac:dyDescent="0.3">
      <c r="A113" s="303"/>
    </row>
    <row r="114" spans="1:1" x14ac:dyDescent="0.3">
      <c r="A114" s="303"/>
    </row>
  </sheetData>
  <pageMargins left="0.511811024" right="0.511811024" top="0.78740157499999996" bottom="0.78740157499999996" header="0.31496062000000002" footer="0.31496062000000002"/>
  <pageSetup orientation="portrait" r:id="rId1"/>
  <ignoredErrors>
    <ignoredError sqref="B77:W7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3"/>
  <sheetViews>
    <sheetView zoomScale="85" zoomScaleNormal="85" workbookViewId="0">
      <pane xSplit="1" ySplit="4" topLeftCell="B5" activePane="bottomRight" state="frozen"/>
      <selection pane="topRight" activeCell="B1" sqref="B1"/>
      <selection pane="bottomLeft" activeCell="A5" sqref="A5"/>
      <selection pane="bottomRight" activeCell="A43" sqref="A43"/>
    </sheetView>
  </sheetViews>
  <sheetFormatPr defaultColWidth="11.44140625" defaultRowHeight="14.4" x14ac:dyDescent="0.3"/>
  <cols>
    <col min="1" max="1" width="81.21875" style="249" customWidth="1"/>
    <col min="2" max="18" width="12.77734375" style="249" customWidth="1"/>
    <col min="19" max="19" width="12.109375" style="249" customWidth="1"/>
    <col min="20" max="16384" width="11.44140625" style="250"/>
  </cols>
  <sheetData>
    <row r="1" spans="1:22" ht="30" customHeight="1" x14ac:dyDescent="0.3">
      <c r="A1" s="55" t="s">
        <v>384</v>
      </c>
      <c r="B1" s="247"/>
      <c r="C1" s="247"/>
      <c r="D1" s="247"/>
      <c r="E1" s="247"/>
      <c r="F1" s="247"/>
      <c r="G1" s="247"/>
      <c r="H1" s="247"/>
      <c r="I1" s="247"/>
      <c r="J1" s="247"/>
      <c r="K1" s="247"/>
      <c r="L1" s="247"/>
      <c r="M1" s="247"/>
      <c r="N1" s="247"/>
      <c r="O1" s="247"/>
      <c r="P1" s="247"/>
      <c r="Q1" s="247"/>
      <c r="R1" s="248"/>
    </row>
    <row r="2" spans="1:22" ht="30" customHeight="1" x14ac:dyDescent="0.3">
      <c r="A2" s="247"/>
      <c r="B2" s="247"/>
      <c r="C2" s="247"/>
      <c r="D2" s="247"/>
      <c r="E2" s="247"/>
      <c r="F2" s="247"/>
      <c r="G2" s="247"/>
      <c r="H2" s="247"/>
      <c r="I2" s="247"/>
      <c r="J2" s="247"/>
      <c r="K2" s="247"/>
      <c r="L2" s="247"/>
      <c r="M2" s="247"/>
      <c r="N2" s="247"/>
      <c r="O2" s="247"/>
      <c r="P2" s="247"/>
      <c r="Q2" s="247"/>
      <c r="R2" s="248"/>
    </row>
    <row r="3" spans="1:22" ht="19.95" customHeight="1" thickBot="1" x14ac:dyDescent="0.35">
      <c r="A3" s="246" t="s">
        <v>385</v>
      </c>
      <c r="B3" s="251"/>
      <c r="C3" s="251"/>
      <c r="D3" s="251"/>
      <c r="E3" s="251"/>
      <c r="F3" s="251"/>
      <c r="G3" s="251"/>
      <c r="H3" s="251"/>
      <c r="I3" s="251"/>
      <c r="J3" s="251"/>
      <c r="K3" s="251"/>
      <c r="L3" s="251"/>
      <c r="M3" s="251"/>
      <c r="N3" s="251"/>
      <c r="O3" s="251"/>
      <c r="P3" s="251"/>
      <c r="Q3" s="251"/>
      <c r="R3" s="251"/>
    </row>
    <row r="4" spans="1:22" s="368" customFormat="1" ht="25.05" customHeight="1" thickBot="1" x14ac:dyDescent="0.35">
      <c r="A4" s="353" t="s">
        <v>260</v>
      </c>
      <c r="B4" s="366">
        <v>2000</v>
      </c>
      <c r="C4" s="366">
        <v>2001</v>
      </c>
      <c r="D4" s="366">
        <v>2002</v>
      </c>
      <c r="E4" s="366">
        <v>2003</v>
      </c>
      <c r="F4" s="366">
        <v>2004</v>
      </c>
      <c r="G4" s="366">
        <v>2005</v>
      </c>
      <c r="H4" s="366">
        <v>2006</v>
      </c>
      <c r="I4" s="366">
        <v>2007</v>
      </c>
      <c r="J4" s="366">
        <v>2008</v>
      </c>
      <c r="K4" s="366">
        <v>2009</v>
      </c>
      <c r="L4" s="366">
        <v>2010</v>
      </c>
      <c r="M4" s="366">
        <v>2011</v>
      </c>
      <c r="N4" s="366">
        <v>2012</v>
      </c>
      <c r="O4" s="366">
        <v>2013</v>
      </c>
      <c r="P4" s="366">
        <v>2014</v>
      </c>
      <c r="Q4" s="366">
        <v>2015</v>
      </c>
      <c r="R4" s="367">
        <v>2016</v>
      </c>
      <c r="S4" s="260"/>
    </row>
    <row r="5" spans="1:22" s="256" customFormat="1" ht="4.95" customHeight="1" x14ac:dyDescent="0.3">
      <c r="A5" s="252"/>
      <c r="B5" s="253"/>
      <c r="C5" s="253"/>
      <c r="D5" s="253"/>
      <c r="E5" s="253"/>
      <c r="F5" s="253"/>
      <c r="G5" s="253"/>
      <c r="H5" s="253"/>
      <c r="I5" s="253"/>
      <c r="J5" s="253"/>
      <c r="K5" s="253"/>
      <c r="L5" s="253"/>
      <c r="M5" s="253"/>
      <c r="N5" s="253"/>
      <c r="O5" s="253"/>
      <c r="P5" s="253"/>
      <c r="Q5" s="253"/>
      <c r="R5" s="254"/>
      <c r="S5" s="255"/>
    </row>
    <row r="6" spans="1:22" s="256" customFormat="1" ht="15" customHeight="1" x14ac:dyDescent="0.3">
      <c r="A6" s="168" t="s">
        <v>261</v>
      </c>
      <c r="B6" s="257"/>
      <c r="C6" s="257"/>
      <c r="D6" s="257"/>
      <c r="E6" s="257"/>
      <c r="F6" s="257"/>
      <c r="G6" s="257"/>
      <c r="H6" s="257"/>
      <c r="I6" s="257"/>
      <c r="J6" s="257"/>
      <c r="K6" s="257"/>
      <c r="L6" s="257"/>
      <c r="M6" s="257"/>
      <c r="N6" s="257"/>
      <c r="O6" s="257"/>
      <c r="P6" s="257"/>
      <c r="Q6" s="257"/>
      <c r="R6" s="258"/>
      <c r="S6" s="255"/>
    </row>
    <row r="7" spans="1:22" s="256" customFormat="1" ht="15" customHeight="1" x14ac:dyDescent="0.3">
      <c r="A7" s="252" t="s">
        <v>202</v>
      </c>
      <c r="B7" s="253">
        <v>2.762824661198354</v>
      </c>
      <c r="C7" s="253">
        <v>2.9015975816514623</v>
      </c>
      <c r="D7" s="253">
        <v>0</v>
      </c>
      <c r="E7" s="253">
        <v>15.895079700488438</v>
      </c>
      <c r="F7" s="253">
        <v>16.250968234632207</v>
      </c>
      <c r="G7" s="253">
        <v>17.068555744712938</v>
      </c>
      <c r="H7" s="253">
        <v>17.275006506310767</v>
      </c>
      <c r="I7" s="253">
        <v>17.473489614159107</v>
      </c>
      <c r="J7" s="253">
        <v>427.7540893695537</v>
      </c>
      <c r="K7" s="253">
        <v>435.38547919322002</v>
      </c>
      <c r="L7" s="253">
        <v>454.87048063260812</v>
      </c>
      <c r="M7" s="253">
        <v>479.88506647309714</v>
      </c>
      <c r="N7" s="253">
        <v>480.27525556096157</v>
      </c>
      <c r="O7" s="253">
        <v>496.1251202084822</v>
      </c>
      <c r="P7" s="253">
        <v>567.60608131060826</v>
      </c>
      <c r="Q7" s="253">
        <v>407.1682025450736</v>
      </c>
      <c r="R7" s="259">
        <v>547.5674397700916</v>
      </c>
      <c r="S7" s="255"/>
    </row>
    <row r="8" spans="1:22" ht="15" customHeight="1" x14ac:dyDescent="0.3">
      <c r="A8" s="109" t="s">
        <v>262</v>
      </c>
      <c r="B8" s="288"/>
      <c r="C8" s="288"/>
      <c r="D8" s="288"/>
      <c r="E8" s="288"/>
      <c r="F8" s="288"/>
      <c r="G8" s="288"/>
      <c r="H8" s="288"/>
      <c r="I8" s="288"/>
      <c r="J8" s="288"/>
      <c r="K8" s="288"/>
      <c r="L8" s="257"/>
      <c r="M8" s="257"/>
      <c r="N8" s="257"/>
      <c r="O8" s="257"/>
      <c r="P8" s="257"/>
      <c r="Q8" s="289"/>
      <c r="R8" s="290"/>
      <c r="S8" s="255"/>
    </row>
    <row r="9" spans="1:22" ht="15" customHeight="1" x14ac:dyDescent="0.3">
      <c r="A9" s="260" t="s">
        <v>203</v>
      </c>
      <c r="B9" s="261">
        <v>7.4964328880000002</v>
      </c>
      <c r="C9" s="261">
        <v>8.8273349319999994</v>
      </c>
      <c r="D9" s="261">
        <v>10.394522720000001</v>
      </c>
      <c r="E9" s="261">
        <v>21.1014427</v>
      </c>
      <c r="F9" s="261">
        <v>27.027818839999998</v>
      </c>
      <c r="G9" s="261">
        <v>34.61862781</v>
      </c>
      <c r="H9" s="261">
        <v>44.341328409999996</v>
      </c>
      <c r="I9" s="261">
        <v>56.174123990000005</v>
      </c>
      <c r="J9" s="261">
        <v>71.164584349999998</v>
      </c>
      <c r="K9" s="261">
        <v>90.155354560000006</v>
      </c>
      <c r="L9" s="253">
        <v>114.411624</v>
      </c>
      <c r="M9" s="253">
        <v>131.988507</v>
      </c>
      <c r="N9" s="253">
        <v>114.645741</v>
      </c>
      <c r="O9" s="253">
        <v>102.332094</v>
      </c>
      <c r="P9" s="253">
        <v>92.882703000000006</v>
      </c>
      <c r="Q9" s="262">
        <v>179.92668900000001</v>
      </c>
      <c r="R9" s="263" t="s">
        <v>17</v>
      </c>
      <c r="S9" s="255"/>
      <c r="T9" s="264"/>
      <c r="U9" s="264"/>
      <c r="V9" s="264"/>
    </row>
    <row r="10" spans="1:22" ht="15" customHeight="1" x14ac:dyDescent="0.3">
      <c r="A10" s="229" t="s">
        <v>400</v>
      </c>
      <c r="B10" s="261">
        <v>42.693384923203929</v>
      </c>
      <c r="C10" s="261">
        <v>33.982266423215272</v>
      </c>
      <c r="D10" s="261">
        <v>29.074715389588931</v>
      </c>
      <c r="E10" s="262">
        <v>131.69801539000002</v>
      </c>
      <c r="F10" s="262">
        <v>133.34875375999999</v>
      </c>
      <c r="G10" s="262">
        <v>155.12804049000002</v>
      </c>
      <c r="H10" s="262">
        <v>172.64190041999998</v>
      </c>
      <c r="I10" s="262">
        <v>244.3955187816903</v>
      </c>
      <c r="J10" s="262">
        <v>186.64270773232855</v>
      </c>
      <c r="K10" s="262">
        <v>160.26776503128016</v>
      </c>
      <c r="L10" s="262">
        <v>204.225144</v>
      </c>
      <c r="M10" s="262">
        <v>323.62225999999998</v>
      </c>
      <c r="N10" s="262">
        <v>344.83383800000001</v>
      </c>
      <c r="O10" s="262">
        <v>395.16647599999999</v>
      </c>
      <c r="P10" s="262">
        <v>403.34601800000002</v>
      </c>
      <c r="Q10" s="262">
        <v>581.44138899999996</v>
      </c>
      <c r="R10" s="263">
        <v>351.58991262889998</v>
      </c>
      <c r="S10" s="255"/>
      <c r="T10" s="265"/>
      <c r="U10" s="265"/>
      <c r="V10" s="265"/>
    </row>
    <row r="11" spans="1:22" ht="15" customHeight="1" x14ac:dyDescent="0.3">
      <c r="A11" s="229" t="s">
        <v>401</v>
      </c>
      <c r="B11" s="261">
        <v>0</v>
      </c>
      <c r="C11" s="261">
        <v>0</v>
      </c>
      <c r="D11" s="261">
        <v>0</v>
      </c>
      <c r="E11" s="261">
        <v>0</v>
      </c>
      <c r="F11" s="261">
        <v>0</v>
      </c>
      <c r="G11" s="261">
        <v>0</v>
      </c>
      <c r="H11" s="261">
        <v>0</v>
      </c>
      <c r="I11" s="261">
        <v>0</v>
      </c>
      <c r="J11" s="261">
        <v>0</v>
      </c>
      <c r="K11" s="261">
        <v>20.255995000000002</v>
      </c>
      <c r="L11" s="253">
        <v>80.775625000000005</v>
      </c>
      <c r="M11" s="253">
        <v>118.511545</v>
      </c>
      <c r="N11" s="253">
        <v>94.541214999999994</v>
      </c>
      <c r="O11" s="253">
        <v>142.92886999999999</v>
      </c>
      <c r="P11" s="253">
        <v>159.384738</v>
      </c>
      <c r="Q11" s="262">
        <v>174.18648593440037</v>
      </c>
      <c r="R11" s="263">
        <v>131</v>
      </c>
      <c r="S11" s="255"/>
    </row>
    <row r="12" spans="1:22" ht="15" customHeight="1" x14ac:dyDescent="0.3">
      <c r="A12" s="229" t="s">
        <v>402</v>
      </c>
      <c r="B12" s="261">
        <v>424.51353787753146</v>
      </c>
      <c r="C12" s="261">
        <v>424.72631197518092</v>
      </c>
      <c r="D12" s="261">
        <v>511.68454525432026</v>
      </c>
      <c r="E12" s="261">
        <v>605.9758584106504</v>
      </c>
      <c r="F12" s="261">
        <v>722.85977108831855</v>
      </c>
      <c r="G12" s="261">
        <v>915.47728529099334</v>
      </c>
      <c r="H12" s="261">
        <v>1228.5777185874094</v>
      </c>
      <c r="I12" s="261">
        <v>1298.9393589615763</v>
      </c>
      <c r="J12" s="261">
        <v>1646.9576553166223</v>
      </c>
      <c r="K12" s="261">
        <v>1978.0641081433325</v>
      </c>
      <c r="L12" s="261">
        <v>1803.6236863870517</v>
      </c>
      <c r="M12" s="261">
        <v>1926.6317354066166</v>
      </c>
      <c r="N12" s="261">
        <v>1989.6428793656678</v>
      </c>
      <c r="O12" s="261">
        <v>2142.6744032380157</v>
      </c>
      <c r="P12" s="261">
        <v>2838.8911558836285</v>
      </c>
      <c r="Q12" s="261">
        <v>2957.0907245444441</v>
      </c>
      <c r="R12" s="263"/>
      <c r="S12" s="255"/>
    </row>
    <row r="13" spans="1:22" ht="15" customHeight="1" x14ac:dyDescent="0.3">
      <c r="A13" s="109" t="s">
        <v>265</v>
      </c>
      <c r="B13" s="288"/>
      <c r="C13" s="288"/>
      <c r="D13" s="288"/>
      <c r="E13" s="288"/>
      <c r="F13" s="288"/>
      <c r="G13" s="288"/>
      <c r="H13" s="288"/>
      <c r="I13" s="288"/>
      <c r="J13" s="288"/>
      <c r="K13" s="288"/>
      <c r="L13" s="288"/>
      <c r="M13" s="288"/>
      <c r="N13" s="288"/>
      <c r="O13" s="288"/>
      <c r="P13" s="288"/>
      <c r="Q13" s="288"/>
      <c r="R13" s="290"/>
      <c r="S13" s="255"/>
    </row>
    <row r="14" spans="1:22" ht="15" customHeight="1" x14ac:dyDescent="0.3">
      <c r="A14" s="238" t="s">
        <v>403</v>
      </c>
      <c r="B14" s="266">
        <v>0</v>
      </c>
      <c r="C14" s="266">
        <v>0</v>
      </c>
      <c r="D14" s="266">
        <v>0</v>
      </c>
      <c r="E14" s="266">
        <v>0</v>
      </c>
      <c r="F14" s="266">
        <v>0</v>
      </c>
      <c r="G14" s="266">
        <v>0</v>
      </c>
      <c r="H14" s="266">
        <v>0</v>
      </c>
      <c r="I14" s="266">
        <v>0</v>
      </c>
      <c r="J14" s="266">
        <v>0</v>
      </c>
      <c r="K14" s="266">
        <v>0</v>
      </c>
      <c r="L14" s="266">
        <v>0</v>
      </c>
      <c r="M14" s="266">
        <v>0</v>
      </c>
      <c r="N14" s="266">
        <v>0</v>
      </c>
      <c r="O14" s="266">
        <v>0</v>
      </c>
      <c r="P14" s="266">
        <v>0</v>
      </c>
      <c r="Q14" s="267">
        <v>19.600000000000001</v>
      </c>
      <c r="R14" s="268">
        <v>115.1</v>
      </c>
      <c r="S14" s="255"/>
    </row>
    <row r="15" spans="1:22" ht="15" customHeight="1" x14ac:dyDescent="0.3">
      <c r="A15" s="143" t="s">
        <v>307</v>
      </c>
      <c r="B15" s="269">
        <f>+SUM(B7:B14)-B11</f>
        <v>477.46618034993372</v>
      </c>
      <c r="C15" s="269">
        <f t="shared" ref="C15:R15" si="0">+SUM(C7:C14)-C11</f>
        <v>470.43751091204763</v>
      </c>
      <c r="D15" s="269">
        <f t="shared" si="0"/>
        <v>551.15378336390916</v>
      </c>
      <c r="E15" s="269">
        <f t="shared" si="0"/>
        <v>774.67039620113883</v>
      </c>
      <c r="F15" s="269">
        <f t="shared" si="0"/>
        <v>899.48731192295077</v>
      </c>
      <c r="G15" s="269">
        <f t="shared" si="0"/>
        <v>1122.2925093357062</v>
      </c>
      <c r="H15" s="269">
        <f t="shared" si="0"/>
        <v>1462.8359539237201</v>
      </c>
      <c r="I15" s="269">
        <f t="shared" si="0"/>
        <v>1616.9824913474258</v>
      </c>
      <c r="J15" s="269">
        <f t="shared" si="0"/>
        <v>2332.5190367685045</v>
      </c>
      <c r="K15" s="269">
        <f t="shared" si="0"/>
        <v>2663.8727069278325</v>
      </c>
      <c r="L15" s="269">
        <f t="shared" si="0"/>
        <v>2577.1309350196598</v>
      </c>
      <c r="M15" s="269">
        <f t="shared" si="0"/>
        <v>2862.1275688797136</v>
      </c>
      <c r="N15" s="269">
        <f t="shared" si="0"/>
        <v>2929.397713926629</v>
      </c>
      <c r="O15" s="269">
        <f t="shared" si="0"/>
        <v>3136.2980934464977</v>
      </c>
      <c r="P15" s="269">
        <f t="shared" si="0"/>
        <v>3902.7259581942367</v>
      </c>
      <c r="Q15" s="269">
        <f t="shared" si="0"/>
        <v>4145.2270050895186</v>
      </c>
      <c r="R15" s="270">
        <f t="shared" si="0"/>
        <v>1014.2573523989915</v>
      </c>
      <c r="S15" s="291"/>
    </row>
    <row r="16" spans="1:22" ht="15" customHeight="1" x14ac:dyDescent="0.3">
      <c r="A16" s="229" t="s">
        <v>312</v>
      </c>
      <c r="B16" s="683">
        <f>+B15/B63</f>
        <v>3.1642070058181378E-2</v>
      </c>
      <c r="C16" s="683">
        <f>+C15/C63</f>
        <v>2.772432939534945E-2</v>
      </c>
      <c r="D16" s="683">
        <f>+D15/D63</f>
        <v>2.962921579016483E-2</v>
      </c>
      <c r="E16" s="683">
        <f>+E15/E63</f>
        <v>3.9515330626502289E-2</v>
      </c>
      <c r="F16" s="683">
        <f>+F15/F63</f>
        <v>4.0399342100029677E-2</v>
      </c>
      <c r="G16" s="683">
        <f>+G15/G63</f>
        <v>4.4581236641457141E-2</v>
      </c>
      <c r="H16" s="683">
        <f>+H15/H63</f>
        <v>5.4563071761421861E-2</v>
      </c>
      <c r="I16" s="683">
        <f>+I15/I63</f>
        <v>5.1485763772588573E-2</v>
      </c>
      <c r="J16" s="683">
        <f>+J15/J63</f>
        <v>5.9013316452209204E-2</v>
      </c>
      <c r="K16" s="683">
        <f>+K15/K63</f>
        <v>6.2819334067388571E-2</v>
      </c>
      <c r="L16" s="683">
        <f>+L15/L63</f>
        <v>6.0561829754898898E-2</v>
      </c>
      <c r="M16" s="683">
        <f>+M15/M63</f>
        <v>5.0784463725842006E-2</v>
      </c>
      <c r="N16" s="683">
        <f>+N15/N63</f>
        <v>4.7115674588499724E-2</v>
      </c>
      <c r="O16" s="683">
        <f>+O15/O63</f>
        <v>4.1851201578609054E-2</v>
      </c>
      <c r="P16" s="683">
        <f>+P15/P63</f>
        <v>4.2540562808972539E-2</v>
      </c>
      <c r="Q16" s="683">
        <f>+Q15/Q63</f>
        <v>4.4824905178216516E-2</v>
      </c>
      <c r="R16" s="271"/>
    </row>
    <row r="17" spans="1:19" ht="15" customHeight="1" x14ac:dyDescent="0.3">
      <c r="A17" s="229" t="s">
        <v>271</v>
      </c>
      <c r="B17" s="683">
        <f>+B15/B64</f>
        <v>6.6256081157527999E-2</v>
      </c>
      <c r="C17" s="683">
        <f>+C15/C64</f>
        <v>5.8582667202536853E-2</v>
      </c>
      <c r="D17" s="683">
        <f>+D15/D64</f>
        <v>6.2429265987802407E-2</v>
      </c>
      <c r="E17" s="683">
        <f>+E15/E64</f>
        <v>7.8516694266589582E-2</v>
      </c>
      <c r="F17" s="683">
        <f>+F15/F64</f>
        <v>8.6991645093249456E-2</v>
      </c>
      <c r="G17" s="683">
        <f>+G15/G64</f>
        <v>9.5449087865678114E-2</v>
      </c>
      <c r="H17" s="683">
        <f>+H15/H64</f>
        <v>0.10941479155846751</v>
      </c>
      <c r="I17" s="683">
        <f>+I15/I64</f>
        <v>0.10610812717228307</v>
      </c>
      <c r="J17" s="683">
        <f>+J15/J64</f>
        <v>0.12211323869776206</v>
      </c>
      <c r="K17" s="683">
        <f>+K15/K64</f>
        <v>0.12452403344000609</v>
      </c>
      <c r="L17" s="683">
        <f>+L15/L64</f>
        <v>0.1158886111619597</v>
      </c>
      <c r="M17" s="683">
        <f>+M15/M64</f>
        <v>0.11559481295960071</v>
      </c>
      <c r="N17" s="683">
        <f>+N15/N64</f>
        <v>9.8885961177647475E-2</v>
      </c>
      <c r="O17" s="683">
        <f>+O15/O64</f>
        <v>8.7269689282834267E-2</v>
      </c>
      <c r="P17" s="683">
        <f>+P15/P64</f>
        <v>9.6762600307297664E-2</v>
      </c>
      <c r="Q17" s="683">
        <f>+Q15/Q64</f>
        <v>9.2500546829927005E-2</v>
      </c>
      <c r="R17" s="271"/>
    </row>
    <row r="18" spans="1:19" ht="15" customHeight="1" x14ac:dyDescent="0.3">
      <c r="A18" s="229" t="s">
        <v>309</v>
      </c>
      <c r="B18" s="683">
        <f>+B15/B65</f>
        <v>9.1946860376753044E-3</v>
      </c>
      <c r="C18" s="683">
        <f>+C15/C65</f>
        <v>8.7457641020112723E-3</v>
      </c>
      <c r="D18" s="683">
        <f>+D15/D65</f>
        <v>9.7235558737797274E-3</v>
      </c>
      <c r="E18" s="683">
        <f>+E15/E65</f>
        <v>1.2513969653475775E-2</v>
      </c>
      <c r="F18" s="683">
        <f>+F15/F65</f>
        <v>1.2918821303767895E-2</v>
      </c>
      <c r="G18" s="683">
        <f>+G15/G65</f>
        <v>1.4570720499812496E-2</v>
      </c>
      <c r="H18" s="683">
        <f>+H15/H65</f>
        <v>1.5944099298775737E-2</v>
      </c>
      <c r="I18" s="683">
        <f>+I15/I65</f>
        <v>1.5697459779337203E-2</v>
      </c>
      <c r="J18" s="683">
        <f>+J15/J65</f>
        <v>1.932592836170479E-2</v>
      </c>
      <c r="K18" s="683">
        <f>+K15/K65</f>
        <v>2.1884037948503698E-2</v>
      </c>
      <c r="L18" s="683">
        <f>+L15/L65</f>
        <v>1.8691715815957036E-2</v>
      </c>
      <c r="M18" s="683">
        <f>+M15/M65</f>
        <v>1.7217714357168824E-2</v>
      </c>
      <c r="N18" s="683">
        <f>+N15/N65</f>
        <v>1.5652348459093267E-2</v>
      </c>
      <c r="O18" s="683">
        <f>+O15/O65</f>
        <v>1.4803912184320046E-2</v>
      </c>
      <c r="P18" s="683">
        <f>+P15/P65</f>
        <v>1.7116944417958822E-2</v>
      </c>
      <c r="Q18" s="683">
        <f>+Q15/Q65</f>
        <v>1.8178319084297564E-2</v>
      </c>
      <c r="R18" s="271"/>
    </row>
    <row r="19" spans="1:19" ht="15" customHeight="1" x14ac:dyDescent="0.3">
      <c r="A19" s="229" t="s">
        <v>310</v>
      </c>
      <c r="B19" s="685">
        <f>+B15/B66</f>
        <v>1.7129630452718288E-4</v>
      </c>
      <c r="C19" s="685">
        <f>+C15/C66</f>
        <v>1.6246302168592628E-4</v>
      </c>
      <c r="D19" s="685">
        <f>+D15/D66</f>
        <v>1.8298452580852914E-4</v>
      </c>
      <c r="E19" s="685">
        <f>+E15/E66</f>
        <v>2.4099137698879575E-4</v>
      </c>
      <c r="F19" s="685">
        <f>+F15/F66</f>
        <v>2.7982053651109132E-4</v>
      </c>
      <c r="G19" s="685">
        <f>+G15/G66</f>
        <v>3.3992133341923051E-4</v>
      </c>
      <c r="H19" s="685">
        <f>+H15/H66</f>
        <v>4.3137581969822131E-4</v>
      </c>
      <c r="I19" s="685">
        <f>+I15/I66</f>
        <v>4.7232349788034163E-4</v>
      </c>
      <c r="J19" s="685">
        <f>+J15/J66</f>
        <v>6.3072182021952034E-4</v>
      </c>
      <c r="K19" s="685">
        <f>+K15/K66</f>
        <v>7.1335052354445905E-4</v>
      </c>
      <c r="L19" s="685">
        <f>+L15/L66</f>
        <v>6.9526752887360903E-4</v>
      </c>
      <c r="M19" s="685">
        <f>+M15/M66</f>
        <v>7.7791186691606037E-4</v>
      </c>
      <c r="N19" s="685">
        <f>+N15/N66</f>
        <v>8.2515200535603582E-4</v>
      </c>
      <c r="O19" s="685">
        <f>+O15/O66</f>
        <v>8.929061684803042E-4</v>
      </c>
      <c r="P19" s="685">
        <f>+P15/P66</f>
        <v>9.9610869046390252E-4</v>
      </c>
      <c r="Q19" s="685">
        <f>+Q15/Q66</f>
        <v>1.127662649312454E-3</v>
      </c>
      <c r="R19" s="272" t="s">
        <v>18</v>
      </c>
      <c r="S19" s="273"/>
    </row>
    <row r="20" spans="1:19" ht="15" customHeight="1" x14ac:dyDescent="0.3">
      <c r="A20" s="229" t="s">
        <v>311</v>
      </c>
      <c r="B20" s="683">
        <f>+B19*1000000/B67</f>
        <v>4.0210400123751849E-2</v>
      </c>
      <c r="C20" s="683">
        <f>+C19*1000000/C67</f>
        <v>3.3846462851234646E-2</v>
      </c>
      <c r="D20" s="683">
        <f>+D19*1000000/D67</f>
        <v>3.5462117404753711E-2</v>
      </c>
      <c r="E20" s="683">
        <f>+E19*1000000/E67</f>
        <v>4.5642306247877983E-2</v>
      </c>
      <c r="F20" s="683">
        <f>+F19*1000000/F67</f>
        <v>5.2996313733161229E-2</v>
      </c>
      <c r="G20" s="683">
        <f>+G19*1000000/G67</f>
        <v>6.4379040420308814E-2</v>
      </c>
      <c r="H20" s="683">
        <f>+H19*1000000/H67</f>
        <v>7.1895969949703556E-2</v>
      </c>
      <c r="I20" s="683">
        <f>+I19*1000000/I67</f>
        <v>7.4971983790530411E-2</v>
      </c>
      <c r="J20" s="683">
        <f>+J19*1000000/J67</f>
        <v>9.1013249670926444E-2</v>
      </c>
      <c r="K20" s="683">
        <f>+K19*1000000/K67</f>
        <v>9.1879253418915383E-2</v>
      </c>
      <c r="L20" s="683">
        <f>+L19*1000000/L67</f>
        <v>8.526705038920887E-2</v>
      </c>
      <c r="M20" s="683">
        <f>+M19*1000000/M67</f>
        <v>7.9502068884845747E-2</v>
      </c>
      <c r="N20" s="683">
        <f>+N19*1000000/N67</f>
        <v>6.8762667113002982E-2</v>
      </c>
      <c r="O20" s="683">
        <f>+O19*1000000/O67</f>
        <v>6.2007372811132236E-2</v>
      </c>
      <c r="P20" s="683">
        <f>+P19*1000000/P67</f>
        <v>5.7645178846290661E-2</v>
      </c>
      <c r="Q20" s="683">
        <f>+Q19*1000000/Q67</f>
        <v>5.6746308842212864E-2</v>
      </c>
      <c r="R20" s="271" t="s">
        <v>18</v>
      </c>
      <c r="S20" s="273"/>
    </row>
    <row r="21" spans="1:19" ht="15" customHeight="1" thickBot="1" x14ac:dyDescent="0.35">
      <c r="A21" s="241" t="s">
        <v>602</v>
      </c>
      <c r="B21" s="684">
        <f>+B19*1000000/B70</f>
        <v>2.5718287050145987E-2</v>
      </c>
      <c r="C21" s="684">
        <f>+C19*1000000/C70</f>
        <v>2.5542851271317373E-2</v>
      </c>
      <c r="D21" s="684">
        <f>+D19*1000000/D70</f>
        <v>2.4726272742732466E-2</v>
      </c>
      <c r="E21" s="684">
        <f>+E19*1000000/E70</f>
        <v>2.9580600152115805E-2</v>
      </c>
      <c r="F21" s="684">
        <f>+F19*1000000/F70</f>
        <v>3.4346703638570196E-2</v>
      </c>
      <c r="G21" s="684">
        <f>+G19*1000000/G70</f>
        <v>3.9257509820260182E-2</v>
      </c>
      <c r="H21" s="684">
        <f>+H19*1000000/H70</f>
        <v>4.6874750842130671E-2</v>
      </c>
      <c r="I21" s="684">
        <f>+I19*1000000/I70</f>
        <v>4.5699438916817887E-2</v>
      </c>
      <c r="J21" s="684">
        <f>+J19*1000000/J70</f>
        <v>4.7787981721791967E-2</v>
      </c>
      <c r="K21" s="684">
        <f>+K19*1000000/K70</f>
        <v>4.6941780174381435E-2</v>
      </c>
      <c r="L21" s="684">
        <f>+L19*1000000/L70</f>
        <v>4.172406681889082E-2</v>
      </c>
      <c r="M21" s="684">
        <f>+M19*1000000/M70</f>
        <v>4.2573876511581524E-2</v>
      </c>
      <c r="N21" s="684">
        <f>+N19*1000000/N70</f>
        <v>4.0295041132757274E-2</v>
      </c>
      <c r="O21" s="684">
        <f>+O19*1000000/O70</f>
        <v>3.9789864866849212E-2</v>
      </c>
      <c r="P21" s="684">
        <f>+P19*1000000/P70</f>
        <v>3.9274959610621503E-2</v>
      </c>
      <c r="Q21" s="684">
        <f>+Q19*1000000/Q70</f>
        <v>4.2849206540522135E-2</v>
      </c>
      <c r="R21" s="274" t="s">
        <v>18</v>
      </c>
    </row>
    <row r="22" spans="1:19" ht="15" customHeight="1" x14ac:dyDescent="0.3">
      <c r="A22" s="275"/>
      <c r="B22" s="275"/>
      <c r="C22" s="275"/>
      <c r="D22" s="275"/>
      <c r="E22" s="275"/>
      <c r="F22" s="275"/>
      <c r="G22" s="275"/>
      <c r="H22" s="275"/>
      <c r="I22" s="275"/>
      <c r="J22" s="275"/>
      <c r="K22" s="275"/>
      <c r="L22" s="276"/>
      <c r="M22" s="276"/>
      <c r="N22" s="276"/>
      <c r="O22" s="276"/>
      <c r="P22" s="276"/>
      <c r="Q22" s="276"/>
      <c r="R22" s="276"/>
    </row>
    <row r="23" spans="1:19" ht="15" customHeight="1" x14ac:dyDescent="0.3">
      <c r="A23" s="287"/>
      <c r="B23" s="287"/>
      <c r="C23" s="287"/>
      <c r="D23" s="287"/>
      <c r="E23" s="287"/>
      <c r="F23" s="287"/>
      <c r="G23" s="287"/>
      <c r="H23" s="287"/>
      <c r="I23" s="287"/>
      <c r="J23" s="287"/>
      <c r="K23" s="287"/>
      <c r="L23" s="287"/>
      <c r="M23" s="287"/>
      <c r="N23" s="287"/>
      <c r="O23" s="287"/>
      <c r="P23" s="287"/>
      <c r="Q23" s="287"/>
      <c r="R23" s="248"/>
    </row>
    <row r="24" spans="1:19" ht="19.95" customHeight="1" thickBot="1" x14ac:dyDescent="0.35">
      <c r="A24" s="246" t="s">
        <v>386</v>
      </c>
      <c r="B24" s="277"/>
      <c r="C24" s="277"/>
      <c r="D24" s="277"/>
      <c r="E24" s="277"/>
      <c r="F24" s="277"/>
      <c r="G24" s="277"/>
      <c r="H24" s="277"/>
      <c r="I24" s="277"/>
      <c r="J24" s="277"/>
      <c r="K24" s="277"/>
      <c r="L24" s="277"/>
      <c r="M24" s="277"/>
      <c r="N24" s="277"/>
      <c r="O24" s="277"/>
      <c r="P24" s="277"/>
      <c r="Q24" s="277"/>
      <c r="R24" s="277"/>
    </row>
    <row r="25" spans="1:19" s="368" customFormat="1" ht="25.05" customHeight="1" thickBot="1" x14ac:dyDescent="0.35">
      <c r="A25" s="353" t="s">
        <v>260</v>
      </c>
      <c r="B25" s="366">
        <v>2000</v>
      </c>
      <c r="C25" s="366">
        <v>2001</v>
      </c>
      <c r="D25" s="366">
        <v>2002</v>
      </c>
      <c r="E25" s="366">
        <v>2003</v>
      </c>
      <c r="F25" s="366">
        <v>2004</v>
      </c>
      <c r="G25" s="366">
        <v>2005</v>
      </c>
      <c r="H25" s="366">
        <v>2006</v>
      </c>
      <c r="I25" s="366">
        <v>2007</v>
      </c>
      <c r="J25" s="366">
        <v>2008</v>
      </c>
      <c r="K25" s="366">
        <v>2009</v>
      </c>
      <c r="L25" s="366">
        <v>2010</v>
      </c>
      <c r="M25" s="366">
        <v>2011</v>
      </c>
      <c r="N25" s="366">
        <v>2012</v>
      </c>
      <c r="O25" s="366">
        <v>2013</v>
      </c>
      <c r="P25" s="366">
        <v>2014</v>
      </c>
      <c r="Q25" s="366">
        <v>2015</v>
      </c>
      <c r="R25" s="367">
        <v>2016</v>
      </c>
      <c r="S25" s="260"/>
    </row>
    <row r="26" spans="1:19" ht="4.95" customHeight="1" x14ac:dyDescent="0.3">
      <c r="A26" s="252"/>
      <c r="B26" s="253"/>
      <c r="C26" s="253"/>
      <c r="D26" s="253"/>
      <c r="E26" s="253"/>
      <c r="F26" s="253"/>
      <c r="G26" s="253"/>
      <c r="H26" s="253"/>
      <c r="I26" s="253"/>
      <c r="J26" s="253"/>
      <c r="K26" s="253"/>
      <c r="L26" s="253"/>
      <c r="M26" s="253"/>
      <c r="N26" s="253"/>
      <c r="O26" s="253"/>
      <c r="P26" s="253"/>
      <c r="Q26" s="253"/>
      <c r="R26" s="254"/>
      <c r="S26" s="255"/>
    </row>
    <row r="27" spans="1:19" ht="15" customHeight="1" x14ac:dyDescent="0.3">
      <c r="A27" s="168" t="s">
        <v>261</v>
      </c>
      <c r="B27" s="257"/>
      <c r="C27" s="257"/>
      <c r="D27" s="257"/>
      <c r="E27" s="257"/>
      <c r="F27" s="257"/>
      <c r="G27" s="257"/>
      <c r="H27" s="257"/>
      <c r="I27" s="257"/>
      <c r="J27" s="257"/>
      <c r="K27" s="257"/>
      <c r="L27" s="257"/>
      <c r="M27" s="257"/>
      <c r="N27" s="257"/>
      <c r="O27" s="257"/>
      <c r="P27" s="257"/>
      <c r="Q27" s="257"/>
      <c r="R27" s="258"/>
      <c r="S27" s="255"/>
    </row>
    <row r="28" spans="1:19" ht="15" customHeight="1" x14ac:dyDescent="0.3">
      <c r="A28" s="252" t="s">
        <v>202</v>
      </c>
      <c r="B28" s="253">
        <v>2.762824661198354</v>
      </c>
      <c r="C28" s="253">
        <v>2.9015975816514623</v>
      </c>
      <c r="D28" s="253">
        <v>0</v>
      </c>
      <c r="E28" s="253">
        <v>15.895079700488438</v>
      </c>
      <c r="F28" s="253">
        <v>16.250968234632207</v>
      </c>
      <c r="G28" s="253">
        <v>17.068555744712938</v>
      </c>
      <c r="H28" s="253">
        <v>17.275006506310767</v>
      </c>
      <c r="I28" s="253">
        <v>17.473489614159107</v>
      </c>
      <c r="J28" s="253">
        <v>427.7540893695537</v>
      </c>
      <c r="K28" s="253">
        <v>435.38547919322002</v>
      </c>
      <c r="L28" s="253">
        <v>454.87048063260812</v>
      </c>
      <c r="M28" s="253">
        <v>479.88506647309714</v>
      </c>
      <c r="N28" s="253">
        <v>480.27525556096157</v>
      </c>
      <c r="O28" s="253">
        <v>496.1251202084822</v>
      </c>
      <c r="P28" s="253">
        <v>567.60608131060826</v>
      </c>
      <c r="Q28" s="253">
        <v>407.1682025450736</v>
      </c>
      <c r="R28" s="259">
        <v>547.5674397700916</v>
      </c>
      <c r="S28" s="255"/>
    </row>
    <row r="29" spans="1:19" ht="15" customHeight="1" x14ac:dyDescent="0.3">
      <c r="A29" s="109" t="s">
        <v>262</v>
      </c>
      <c r="B29" s="288"/>
      <c r="C29" s="288"/>
      <c r="D29" s="288"/>
      <c r="E29" s="288"/>
      <c r="F29" s="288"/>
      <c r="G29" s="288"/>
      <c r="H29" s="288"/>
      <c r="I29" s="288"/>
      <c r="J29" s="288"/>
      <c r="K29" s="288"/>
      <c r="L29" s="257"/>
      <c r="M29" s="257"/>
      <c r="N29" s="257"/>
      <c r="O29" s="257"/>
      <c r="P29" s="257"/>
      <c r="Q29" s="289"/>
      <c r="R29" s="290"/>
      <c r="S29" s="255"/>
    </row>
    <row r="30" spans="1:19" ht="15" customHeight="1" x14ac:dyDescent="0.3">
      <c r="A30" s="260" t="s">
        <v>203</v>
      </c>
      <c r="B30" s="261">
        <v>7.4964328880000002</v>
      </c>
      <c r="C30" s="261">
        <v>8.8273349319999994</v>
      </c>
      <c r="D30" s="261">
        <v>10.394522720000001</v>
      </c>
      <c r="E30" s="261">
        <v>21.1014427</v>
      </c>
      <c r="F30" s="261">
        <v>27.027818839999998</v>
      </c>
      <c r="G30" s="261">
        <v>34.61862781</v>
      </c>
      <c r="H30" s="261">
        <v>44.341328409999996</v>
      </c>
      <c r="I30" s="261">
        <v>56.174123990000005</v>
      </c>
      <c r="J30" s="261">
        <v>71.164584349999998</v>
      </c>
      <c r="K30" s="261">
        <v>90.155354560000006</v>
      </c>
      <c r="L30" s="253">
        <v>114.411624</v>
      </c>
      <c r="M30" s="253">
        <v>131.988507</v>
      </c>
      <c r="N30" s="253">
        <v>114.645741</v>
      </c>
      <c r="O30" s="253">
        <v>102.332094</v>
      </c>
      <c r="P30" s="253">
        <v>92.882703000000006</v>
      </c>
      <c r="Q30" s="262">
        <v>179.92668900000001</v>
      </c>
      <c r="R30" s="263" t="s">
        <v>17</v>
      </c>
      <c r="S30" s="255"/>
    </row>
    <row r="31" spans="1:19" ht="15" customHeight="1" x14ac:dyDescent="0.3">
      <c r="A31" s="229" t="s">
        <v>400</v>
      </c>
      <c r="B31" s="261">
        <v>42.693384923203929</v>
      </c>
      <c r="C31" s="261">
        <v>33.982266423215272</v>
      </c>
      <c r="D31" s="261">
        <v>29.074715389588931</v>
      </c>
      <c r="E31" s="262">
        <v>131.69801539000002</v>
      </c>
      <c r="F31" s="262">
        <v>133.34875375999999</v>
      </c>
      <c r="G31" s="262">
        <v>155.12804049000002</v>
      </c>
      <c r="H31" s="262">
        <v>172.64190041999998</v>
      </c>
      <c r="I31" s="262">
        <v>244.3955187816903</v>
      </c>
      <c r="J31" s="262">
        <v>186.64270773232855</v>
      </c>
      <c r="K31" s="262">
        <v>160.26776503128016</v>
      </c>
      <c r="L31" s="262">
        <v>204.225144</v>
      </c>
      <c r="M31" s="262">
        <v>323.62225999999998</v>
      </c>
      <c r="N31" s="262">
        <v>344.83383800000001</v>
      </c>
      <c r="O31" s="262">
        <v>395.16647599999999</v>
      </c>
      <c r="P31" s="262">
        <v>403.34601800000002</v>
      </c>
      <c r="Q31" s="262">
        <v>581.44138899999996</v>
      </c>
      <c r="R31" s="263">
        <v>351.58991262889998</v>
      </c>
      <c r="S31" s="255"/>
    </row>
    <row r="32" spans="1:19" ht="15" customHeight="1" x14ac:dyDescent="0.3">
      <c r="A32" s="229" t="s">
        <v>401</v>
      </c>
      <c r="B32" s="261">
        <v>0</v>
      </c>
      <c r="C32" s="261">
        <v>0</v>
      </c>
      <c r="D32" s="261">
        <v>0</v>
      </c>
      <c r="E32" s="261">
        <v>0</v>
      </c>
      <c r="F32" s="261">
        <v>0</v>
      </c>
      <c r="G32" s="261">
        <v>0</v>
      </c>
      <c r="H32" s="261">
        <v>0</v>
      </c>
      <c r="I32" s="261">
        <v>0</v>
      </c>
      <c r="J32" s="261">
        <v>0</v>
      </c>
      <c r="K32" s="261">
        <v>20.255995000000002</v>
      </c>
      <c r="L32" s="253">
        <v>80.775625000000005</v>
      </c>
      <c r="M32" s="253">
        <v>118.511545</v>
      </c>
      <c r="N32" s="253">
        <v>94.541214999999994</v>
      </c>
      <c r="O32" s="253">
        <v>142.92886999999999</v>
      </c>
      <c r="P32" s="253">
        <v>159.384738</v>
      </c>
      <c r="Q32" s="262">
        <v>174.18648593440037</v>
      </c>
      <c r="R32" s="263">
        <v>131</v>
      </c>
      <c r="S32" s="255"/>
    </row>
    <row r="33" spans="1:19" ht="15" customHeight="1" x14ac:dyDescent="0.3">
      <c r="A33" s="229" t="s">
        <v>402</v>
      </c>
      <c r="B33" s="261">
        <v>424.51353787753146</v>
      </c>
      <c r="C33" s="261">
        <v>424.72631197518092</v>
      </c>
      <c r="D33" s="261">
        <v>511.68454525432026</v>
      </c>
      <c r="E33" s="261">
        <v>605.9758584106504</v>
      </c>
      <c r="F33" s="261">
        <v>722.85977108831855</v>
      </c>
      <c r="G33" s="261">
        <v>915.47728529099334</v>
      </c>
      <c r="H33" s="261">
        <v>1228.5777185874094</v>
      </c>
      <c r="I33" s="261">
        <v>1298.9393589615763</v>
      </c>
      <c r="J33" s="261">
        <v>1646.9576553166223</v>
      </c>
      <c r="K33" s="261">
        <v>1978.0641081433325</v>
      </c>
      <c r="L33" s="261">
        <v>1803.6236863870517</v>
      </c>
      <c r="M33" s="261">
        <v>1926.6317354066166</v>
      </c>
      <c r="N33" s="261">
        <v>1989.6428793656678</v>
      </c>
      <c r="O33" s="261">
        <v>2142.6744032380157</v>
      </c>
      <c r="P33" s="261">
        <v>2838.8911558836285</v>
      </c>
      <c r="Q33" s="261">
        <v>2957.0907245444441</v>
      </c>
      <c r="R33" s="263"/>
      <c r="S33" s="255"/>
    </row>
    <row r="34" spans="1:19" ht="15" customHeight="1" x14ac:dyDescent="0.3">
      <c r="A34" s="109" t="s">
        <v>265</v>
      </c>
      <c r="B34" s="288"/>
      <c r="C34" s="288"/>
      <c r="D34" s="288"/>
      <c r="E34" s="288"/>
      <c r="F34" s="288"/>
      <c r="G34" s="288"/>
      <c r="H34" s="288"/>
      <c r="I34" s="288"/>
      <c r="J34" s="288"/>
      <c r="K34" s="288"/>
      <c r="L34" s="288"/>
      <c r="M34" s="288"/>
      <c r="N34" s="288"/>
      <c r="O34" s="288"/>
      <c r="P34" s="288"/>
      <c r="Q34" s="288"/>
      <c r="R34" s="290"/>
      <c r="S34" s="255"/>
    </row>
    <row r="35" spans="1:19" ht="15" customHeight="1" x14ac:dyDescent="0.3">
      <c r="A35" s="238" t="s">
        <v>403</v>
      </c>
      <c r="B35" s="266">
        <v>0</v>
      </c>
      <c r="C35" s="266">
        <v>0</v>
      </c>
      <c r="D35" s="266">
        <v>0</v>
      </c>
      <c r="E35" s="266">
        <v>0</v>
      </c>
      <c r="F35" s="266">
        <v>0</v>
      </c>
      <c r="G35" s="266">
        <v>0</v>
      </c>
      <c r="H35" s="266">
        <v>0</v>
      </c>
      <c r="I35" s="266">
        <v>0</v>
      </c>
      <c r="J35" s="266">
        <v>0</v>
      </c>
      <c r="K35" s="266">
        <v>0</v>
      </c>
      <c r="L35" s="266">
        <v>0</v>
      </c>
      <c r="M35" s="266">
        <v>0</v>
      </c>
      <c r="N35" s="266">
        <v>0</v>
      </c>
      <c r="O35" s="266">
        <v>0</v>
      </c>
      <c r="P35" s="266">
        <v>0</v>
      </c>
      <c r="Q35" s="267">
        <v>19.600000000000001</v>
      </c>
      <c r="R35" s="268">
        <v>115.1</v>
      </c>
      <c r="S35" s="255"/>
    </row>
    <row r="36" spans="1:19" ht="15" customHeight="1" x14ac:dyDescent="0.3">
      <c r="A36" s="143" t="s">
        <v>308</v>
      </c>
      <c r="B36" s="269">
        <f t="shared" ref="B36:J36" si="1">SUM(B28:B35)</f>
        <v>477.46618034993372</v>
      </c>
      <c r="C36" s="269">
        <f t="shared" si="1"/>
        <v>470.43751091204763</v>
      </c>
      <c r="D36" s="269">
        <f t="shared" si="1"/>
        <v>551.15378336390916</v>
      </c>
      <c r="E36" s="269">
        <f t="shared" si="1"/>
        <v>774.67039620113883</v>
      </c>
      <c r="F36" s="269">
        <f t="shared" si="1"/>
        <v>899.48731192295077</v>
      </c>
      <c r="G36" s="269">
        <f t="shared" si="1"/>
        <v>1122.2925093357062</v>
      </c>
      <c r="H36" s="269">
        <f t="shared" si="1"/>
        <v>1462.8359539237201</v>
      </c>
      <c r="I36" s="269">
        <f t="shared" si="1"/>
        <v>1616.9824913474258</v>
      </c>
      <c r="J36" s="269">
        <f t="shared" si="1"/>
        <v>2332.5190367685045</v>
      </c>
      <c r="K36" s="269">
        <f>SUM(K28:K35)</f>
        <v>2684.1287019278325</v>
      </c>
      <c r="L36" s="269">
        <f t="shared" ref="L36:R36" si="2">SUM(L28:L35)</f>
        <v>2657.90656001966</v>
      </c>
      <c r="M36" s="269">
        <f t="shared" si="2"/>
        <v>2980.6391138797135</v>
      </c>
      <c r="N36" s="269">
        <f t="shared" si="2"/>
        <v>3023.9389289266292</v>
      </c>
      <c r="O36" s="269">
        <f>SUM(O28:O35)</f>
        <v>3279.2269634464978</v>
      </c>
      <c r="P36" s="269">
        <f t="shared" si="2"/>
        <v>4062.1106961942369</v>
      </c>
      <c r="Q36" s="269">
        <f t="shared" si="2"/>
        <v>4319.4134910239191</v>
      </c>
      <c r="R36" s="270">
        <f t="shared" si="2"/>
        <v>1145.2573523989915</v>
      </c>
      <c r="S36" s="291"/>
    </row>
    <row r="37" spans="1:19" ht="15" customHeight="1" x14ac:dyDescent="0.3">
      <c r="A37" s="229" t="s">
        <v>319</v>
      </c>
      <c r="B37" s="683">
        <f>+B36/B63</f>
        <v>3.1642070058181378E-2</v>
      </c>
      <c r="C37" s="683">
        <f>+C36/C63</f>
        <v>2.772432939534945E-2</v>
      </c>
      <c r="D37" s="683">
        <f>+D36/D63</f>
        <v>2.962921579016483E-2</v>
      </c>
      <c r="E37" s="683">
        <f>+E36/E63</f>
        <v>3.9515330626502289E-2</v>
      </c>
      <c r="F37" s="683">
        <f>+F36/F63</f>
        <v>4.0399342100029677E-2</v>
      </c>
      <c r="G37" s="683">
        <f>+G36/G63</f>
        <v>4.4581236641457141E-2</v>
      </c>
      <c r="H37" s="683">
        <f>+H36/H63</f>
        <v>5.4563071761421861E-2</v>
      </c>
      <c r="I37" s="683">
        <f>+I36/I63</f>
        <v>5.1485763772588573E-2</v>
      </c>
      <c r="J37" s="683">
        <f>+J36/J63</f>
        <v>5.9013316452209204E-2</v>
      </c>
      <c r="K37" s="683">
        <f>+K36/K63</f>
        <v>6.3297010089017933E-2</v>
      </c>
      <c r="L37" s="683">
        <f>+L36/L63</f>
        <v>6.246003352216626E-2</v>
      </c>
      <c r="M37" s="683">
        <f>+M36/M63</f>
        <v>5.2887285879398824E-2</v>
      </c>
      <c r="N37" s="683">
        <f>+N36/N63</f>
        <v>4.8636251019608723E-2</v>
      </c>
      <c r="O37" s="683">
        <f>+O36/O63</f>
        <v>4.3758464463559972E-2</v>
      </c>
      <c r="P37" s="683">
        <f>+P36/P63</f>
        <v>4.4277891161081037E-2</v>
      </c>
      <c r="Q37" s="683">
        <f>+Q36/Q63</f>
        <v>4.6708491458473229E-2</v>
      </c>
      <c r="R37" s="690"/>
    </row>
    <row r="38" spans="1:19" ht="15" customHeight="1" x14ac:dyDescent="0.3">
      <c r="A38" s="229" t="s">
        <v>316</v>
      </c>
      <c r="B38" s="683">
        <f>+B36/B64</f>
        <v>6.6256081157527999E-2</v>
      </c>
      <c r="C38" s="683">
        <f>+C36/C64</f>
        <v>5.8582667202536853E-2</v>
      </c>
      <c r="D38" s="683">
        <f>+D36/D64</f>
        <v>6.2429265987802407E-2</v>
      </c>
      <c r="E38" s="683">
        <f>+E36/E64</f>
        <v>7.8516694266589582E-2</v>
      </c>
      <c r="F38" s="683">
        <f>+F36/F64</f>
        <v>8.6991645093249456E-2</v>
      </c>
      <c r="G38" s="683">
        <f>+G36/G64</f>
        <v>9.5449087865678114E-2</v>
      </c>
      <c r="H38" s="683">
        <f>+H36/H64</f>
        <v>0.10941479155846751</v>
      </c>
      <c r="I38" s="683">
        <f>+I36/I64</f>
        <v>0.10610812717228307</v>
      </c>
      <c r="J38" s="683">
        <f>+J36/J64</f>
        <v>0.12211323869776206</v>
      </c>
      <c r="K38" s="683">
        <f>+K36/K64</f>
        <v>0.12547090983998602</v>
      </c>
      <c r="L38" s="683">
        <f>+L36/L64</f>
        <v>0.11952093533679557</v>
      </c>
      <c r="M38" s="683">
        <f>+M36/M64</f>
        <v>0.12038122430855062</v>
      </c>
      <c r="N38" s="683">
        <f>+N36/N64</f>
        <v>0.10207733354464722</v>
      </c>
      <c r="O38" s="683">
        <f>+O36/O64</f>
        <v>9.124678511454444E-2</v>
      </c>
      <c r="P38" s="683">
        <f>+P36/P64</f>
        <v>0.10071432068515203</v>
      </c>
      <c r="Q38" s="683">
        <f>+Q36/Q64</f>
        <v>9.6387510120365047E-2</v>
      </c>
      <c r="R38" s="690"/>
    </row>
    <row r="39" spans="1:19" ht="15" customHeight="1" x14ac:dyDescent="0.3">
      <c r="A39" s="229" t="s">
        <v>317</v>
      </c>
      <c r="B39" s="683">
        <f>+B36/B65</f>
        <v>9.1946860376753044E-3</v>
      </c>
      <c r="C39" s="683">
        <f>+C36/C65</f>
        <v>8.7457641020112723E-3</v>
      </c>
      <c r="D39" s="683">
        <f>+D36/D65</f>
        <v>9.7235558737797274E-3</v>
      </c>
      <c r="E39" s="683">
        <f>+E36/E65</f>
        <v>1.2513969653475775E-2</v>
      </c>
      <c r="F39" s="683">
        <f>+F36/F65</f>
        <v>1.2918821303767895E-2</v>
      </c>
      <c r="G39" s="683">
        <f>+G36/G65</f>
        <v>1.4570720499812496E-2</v>
      </c>
      <c r="H39" s="683">
        <f>+H36/H65</f>
        <v>1.5944099298775737E-2</v>
      </c>
      <c r="I39" s="683">
        <f>+I36/I65</f>
        <v>1.5697459779337203E-2</v>
      </c>
      <c r="J39" s="683">
        <f>+J36/J65</f>
        <v>1.932592836170479E-2</v>
      </c>
      <c r="K39" s="683">
        <f>+K36/K65</f>
        <v>2.2050443408536329E-2</v>
      </c>
      <c r="L39" s="683">
        <f>+L36/L65</f>
        <v>1.9277574689807696E-2</v>
      </c>
      <c r="M39" s="683">
        <f>+M36/M65</f>
        <v>1.7930644819117256E-2</v>
      </c>
      <c r="N39" s="683">
        <f>+N36/N65</f>
        <v>1.6157500775520289E-2</v>
      </c>
      <c r="O39" s="683">
        <f>+O36/O65</f>
        <v>1.5478563118969857E-2</v>
      </c>
      <c r="P39" s="683">
        <f>+P36/P65</f>
        <v>1.7815989067939637E-2</v>
      </c>
      <c r="Q39" s="683">
        <f>+Q36/Q65</f>
        <v>1.894218980056963E-2</v>
      </c>
      <c r="R39" s="690">
        <f>+R36/R65</f>
        <v>4.9025967508746441E-3</v>
      </c>
    </row>
    <row r="40" spans="1:19" ht="15" customHeight="1" x14ac:dyDescent="0.3">
      <c r="A40" s="229" t="s">
        <v>318</v>
      </c>
      <c r="B40" s="685">
        <f>+B36/B66</f>
        <v>1.7129630452718288E-4</v>
      </c>
      <c r="C40" s="685">
        <f>+C36/C66</f>
        <v>1.6246302168592628E-4</v>
      </c>
      <c r="D40" s="685">
        <f>+D36/D66</f>
        <v>1.8298452580852914E-4</v>
      </c>
      <c r="E40" s="685">
        <f>+E36/E66</f>
        <v>2.4099137698879575E-4</v>
      </c>
      <c r="F40" s="685">
        <f>+F36/F66</f>
        <v>2.7982053651109132E-4</v>
      </c>
      <c r="G40" s="685">
        <f>+G36/G66</f>
        <v>3.3992133341923051E-4</v>
      </c>
      <c r="H40" s="685">
        <f>+H36/H66</f>
        <v>4.3137581969822131E-4</v>
      </c>
      <c r="I40" s="685">
        <f>+I36/I66</f>
        <v>4.7232349788034163E-4</v>
      </c>
      <c r="J40" s="685">
        <f>+J36/J66</f>
        <v>6.3072182021952034E-4</v>
      </c>
      <c r="K40" s="685">
        <f>+K36/K66</f>
        <v>7.1877481600429976E-4</v>
      </c>
      <c r="L40" s="685">
        <f>+L36/L66</f>
        <v>7.1705946362703014E-4</v>
      </c>
      <c r="M40" s="685">
        <f>+M36/M66</f>
        <v>8.101227083280461E-4</v>
      </c>
      <c r="N40" s="685">
        <f>+N36/N66</f>
        <v>8.5178235082779459E-4</v>
      </c>
      <c r="O40" s="685">
        <f>+O36/O66</f>
        <v>9.3359811352965855E-4</v>
      </c>
      <c r="P40" s="685">
        <f>+P36/P66</f>
        <v>1.0367891082923096E-3</v>
      </c>
      <c r="Q40" s="685">
        <f>+Q36/Q66</f>
        <v>1.1750481348267682E-3</v>
      </c>
      <c r="R40" s="272" t="s">
        <v>18</v>
      </c>
    </row>
    <row r="41" spans="1:19" ht="15" customHeight="1" x14ac:dyDescent="0.3">
      <c r="A41" s="229" t="s">
        <v>338</v>
      </c>
      <c r="B41" s="278">
        <f>+B40*1000000/B67</f>
        <v>4.0210400123751849E-2</v>
      </c>
      <c r="C41" s="278">
        <f>+C40*1000000/C67</f>
        <v>3.3846462851234646E-2</v>
      </c>
      <c r="D41" s="278">
        <f>+D40*1000000/D67</f>
        <v>3.5462117404753711E-2</v>
      </c>
      <c r="E41" s="278">
        <f>+E40*1000000/E67</f>
        <v>4.5642306247877983E-2</v>
      </c>
      <c r="F41" s="278">
        <f>+F40*1000000/F67</f>
        <v>5.2996313733161229E-2</v>
      </c>
      <c r="G41" s="278">
        <f>+G40*1000000/G67</f>
        <v>6.4379040420308814E-2</v>
      </c>
      <c r="H41" s="278">
        <f>+H40*1000000/H67</f>
        <v>7.1895969949703556E-2</v>
      </c>
      <c r="I41" s="278">
        <f>+I40*1000000/I67</f>
        <v>7.4971983790530411E-2</v>
      </c>
      <c r="J41" s="278">
        <f>+J40*1000000/J67</f>
        <v>9.1013249670926444E-2</v>
      </c>
      <c r="K41" s="278">
        <f>+K40*1000000/K67</f>
        <v>9.2577900052073642E-2</v>
      </c>
      <c r="L41" s="278">
        <f>+L40*1000000/L67</f>
        <v>8.7939595735470957E-2</v>
      </c>
      <c r="M41" s="278">
        <f>+M40*1000000/M67</f>
        <v>8.2793995183549254E-2</v>
      </c>
      <c r="N41" s="278">
        <f>+N40*1000000/N67</f>
        <v>7.0981862568982881E-2</v>
      </c>
      <c r="O41" s="278">
        <f>+O40*1000000/O67</f>
        <v>6.4833202328448511E-2</v>
      </c>
      <c r="P41" s="278">
        <f>+P40*1000000/P67</f>
        <v>5.9999369692841982E-2</v>
      </c>
      <c r="Q41" s="278">
        <f>+Q40*1000000/Q67</f>
        <v>5.91308441438591E-2</v>
      </c>
      <c r="R41" s="272" t="s">
        <v>18</v>
      </c>
    </row>
    <row r="42" spans="1:19" ht="15" customHeight="1" thickBot="1" x14ac:dyDescent="0.35">
      <c r="A42" s="241" t="s">
        <v>603</v>
      </c>
      <c r="B42" s="684">
        <f>+B40*1000000/B70</f>
        <v>2.5718287050145987E-2</v>
      </c>
      <c r="C42" s="684">
        <f>+C40*1000000/C70</f>
        <v>2.5542851271317373E-2</v>
      </c>
      <c r="D42" s="684">
        <f>+D40*1000000/D70</f>
        <v>2.4726272742732466E-2</v>
      </c>
      <c r="E42" s="684">
        <f>+E40*1000000/E70</f>
        <v>2.9580600152115805E-2</v>
      </c>
      <c r="F42" s="684">
        <f>+F40*1000000/F70</f>
        <v>3.4346703638570196E-2</v>
      </c>
      <c r="G42" s="684">
        <f>+G40*1000000/G70</f>
        <v>3.9257509820260182E-2</v>
      </c>
      <c r="H42" s="684">
        <f>+H40*1000000/H70</f>
        <v>4.6874750842130671E-2</v>
      </c>
      <c r="I42" s="684">
        <f>+I40*1000000/I70</f>
        <v>4.5699438916817887E-2</v>
      </c>
      <c r="J42" s="684">
        <f>+J40*1000000/J70</f>
        <v>4.7787981721791967E-2</v>
      </c>
      <c r="K42" s="684">
        <f>+K40*1000000/K70</f>
        <v>4.7298723830897206E-2</v>
      </c>
      <c r="L42" s="684">
        <f>+L40*1000000/L70</f>
        <v>4.3031834122848917E-2</v>
      </c>
      <c r="M42" s="684">
        <f>+M40*1000000/M70</f>
        <v>4.4336724519087226E-2</v>
      </c>
      <c r="N42" s="684">
        <f>+N40*1000000/N70</f>
        <v>4.1595493484807303E-2</v>
      </c>
      <c r="O42" s="684">
        <f>+O40*1000000/O70</f>
        <v>4.1603187533707661E-2</v>
      </c>
      <c r="P42" s="684">
        <f>+P40*1000000/P70</f>
        <v>4.0878922895401001E-2</v>
      </c>
      <c r="Q42" s="684">
        <f>+Q40*1000000/Q70</f>
        <v>4.4649772035055213E-2</v>
      </c>
      <c r="R42" s="274" t="s">
        <v>18</v>
      </c>
    </row>
    <row r="43" spans="1:19" ht="15" customHeight="1" x14ac:dyDescent="0.3">
      <c r="A43" s="242" t="s">
        <v>126</v>
      </c>
      <c r="B43" s="293"/>
      <c r="C43" s="293"/>
      <c r="D43" s="293"/>
      <c r="E43" s="293"/>
      <c r="F43" s="293"/>
      <c r="G43" s="293"/>
      <c r="H43" s="293"/>
      <c r="I43" s="293"/>
      <c r="J43" s="293"/>
      <c r="K43" s="293"/>
      <c r="L43" s="294"/>
      <c r="M43" s="294"/>
      <c r="N43" s="294"/>
      <c r="O43" s="294"/>
      <c r="P43" s="294"/>
      <c r="Q43" s="294"/>
      <c r="R43" s="278"/>
    </row>
    <row r="44" spans="1:19" ht="15" customHeight="1" x14ac:dyDescent="0.3">
      <c r="A44" s="242" t="s">
        <v>397</v>
      </c>
      <c r="B44" s="293"/>
      <c r="C44" s="293"/>
      <c r="D44" s="293"/>
      <c r="E44" s="293"/>
      <c r="F44" s="293"/>
      <c r="G44" s="293"/>
      <c r="H44" s="293"/>
      <c r="I44" s="293"/>
      <c r="J44" s="293"/>
      <c r="K44" s="293"/>
      <c r="L44" s="295"/>
      <c r="M44" s="295"/>
      <c r="N44" s="295"/>
      <c r="O44" s="295"/>
      <c r="P44" s="295"/>
      <c r="Q44" s="295"/>
      <c r="R44" s="279"/>
    </row>
    <row r="45" spans="1:19" ht="15" customHeight="1" x14ac:dyDescent="0.3">
      <c r="A45" s="502" t="s">
        <v>398</v>
      </c>
      <c r="B45" s="293"/>
      <c r="C45" s="293"/>
      <c r="D45" s="293"/>
      <c r="E45" s="293"/>
      <c r="F45" s="293"/>
      <c r="G45" s="293"/>
      <c r="H45" s="293"/>
      <c r="I45" s="293"/>
      <c r="J45" s="293"/>
      <c r="K45" s="293"/>
      <c r="L45" s="295"/>
      <c r="M45" s="295"/>
      <c r="N45" s="295"/>
      <c r="O45" s="295"/>
      <c r="P45" s="295"/>
      <c r="Q45" s="295"/>
      <c r="R45" s="279"/>
    </row>
    <row r="46" spans="1:19" ht="15" customHeight="1" x14ac:dyDescent="0.3">
      <c r="A46" s="242" t="s">
        <v>411</v>
      </c>
      <c r="B46" s="293"/>
      <c r="C46" s="293"/>
      <c r="D46" s="293"/>
      <c r="E46" s="293"/>
      <c r="F46" s="293"/>
      <c r="G46" s="293"/>
      <c r="H46" s="293"/>
      <c r="I46" s="293"/>
      <c r="J46" s="293"/>
      <c r="K46" s="293"/>
      <c r="L46" s="295"/>
      <c r="M46" s="295"/>
      <c r="N46" s="295"/>
      <c r="O46" s="295"/>
      <c r="P46" s="295"/>
      <c r="Q46" s="295"/>
      <c r="R46" s="279"/>
    </row>
    <row r="47" spans="1:19" ht="15" customHeight="1" x14ac:dyDescent="0.3">
      <c r="A47" s="242" t="s">
        <v>412</v>
      </c>
      <c r="B47" s="293"/>
      <c r="C47" s="293"/>
      <c r="D47" s="293"/>
      <c r="E47" s="293"/>
      <c r="F47" s="293"/>
      <c r="G47" s="293"/>
      <c r="H47" s="293"/>
      <c r="I47" s="293"/>
      <c r="J47" s="293"/>
      <c r="K47" s="293"/>
      <c r="L47" s="295"/>
      <c r="M47" s="295"/>
      <c r="N47" s="295"/>
      <c r="O47" s="295"/>
      <c r="P47" s="295"/>
      <c r="Q47" s="295"/>
      <c r="R47" s="279"/>
    </row>
    <row r="48" spans="1:19" ht="15" customHeight="1" x14ac:dyDescent="0.3">
      <c r="A48" s="242" t="s">
        <v>413</v>
      </c>
      <c r="B48" s="293"/>
      <c r="C48" s="293"/>
      <c r="D48" s="293"/>
      <c r="E48" s="293"/>
      <c r="F48" s="293"/>
      <c r="G48" s="293"/>
      <c r="H48" s="293"/>
      <c r="I48" s="293"/>
      <c r="J48" s="293"/>
      <c r="K48" s="293"/>
      <c r="L48" s="295"/>
      <c r="M48" s="295"/>
      <c r="N48" s="295"/>
      <c r="O48" s="295"/>
      <c r="P48" s="295"/>
      <c r="Q48" s="295"/>
      <c r="R48" s="276"/>
    </row>
    <row r="49" spans="1:18" ht="15" customHeight="1" x14ac:dyDescent="0.3">
      <c r="A49" s="502" t="s">
        <v>396</v>
      </c>
      <c r="B49" s="293"/>
      <c r="C49" s="293"/>
      <c r="D49" s="293"/>
      <c r="E49" s="293"/>
      <c r="F49" s="293"/>
      <c r="G49" s="293"/>
      <c r="H49" s="293"/>
      <c r="I49" s="293"/>
      <c r="J49" s="293"/>
      <c r="K49" s="293"/>
      <c r="L49" s="295"/>
      <c r="M49" s="295"/>
      <c r="N49" s="295"/>
      <c r="O49" s="295"/>
      <c r="P49" s="295"/>
      <c r="Q49" s="295"/>
      <c r="R49" s="279"/>
    </row>
    <row r="50" spans="1:18" ht="15" customHeight="1" x14ac:dyDescent="0.3">
      <c r="A50" s="502" t="s">
        <v>391</v>
      </c>
      <c r="B50" s="293"/>
      <c r="C50" s="293"/>
      <c r="D50" s="293"/>
      <c r="E50" s="293"/>
      <c r="F50" s="293"/>
      <c r="G50" s="293"/>
      <c r="H50" s="293"/>
      <c r="I50" s="293"/>
      <c r="J50" s="293"/>
      <c r="K50" s="293"/>
      <c r="L50" s="295"/>
      <c r="M50" s="295"/>
      <c r="N50" s="295"/>
      <c r="O50" s="295"/>
      <c r="P50" s="295"/>
      <c r="Q50" s="295"/>
      <c r="R50" s="276"/>
    </row>
    <row r="51" spans="1:18" ht="15" customHeight="1" x14ac:dyDescent="0.3">
      <c r="A51" s="502" t="s">
        <v>392</v>
      </c>
      <c r="B51" s="293"/>
      <c r="C51" s="293"/>
      <c r="D51" s="293"/>
      <c r="E51" s="293"/>
      <c r="F51" s="293"/>
      <c r="G51" s="293"/>
      <c r="H51" s="293"/>
      <c r="I51" s="293"/>
      <c r="J51" s="293"/>
      <c r="K51" s="293"/>
      <c r="L51" s="295"/>
      <c r="M51" s="295"/>
      <c r="N51" s="295"/>
      <c r="O51" s="295"/>
      <c r="P51" s="295"/>
      <c r="Q51" s="295"/>
      <c r="R51" s="276"/>
    </row>
    <row r="52" spans="1:18" ht="15" customHeight="1" x14ac:dyDescent="0.3">
      <c r="A52" s="502" t="s">
        <v>393</v>
      </c>
      <c r="B52" s="293"/>
      <c r="C52" s="293"/>
      <c r="D52" s="293"/>
      <c r="E52" s="293"/>
      <c r="F52" s="293"/>
      <c r="G52" s="293"/>
      <c r="H52" s="293"/>
      <c r="I52" s="293"/>
      <c r="J52" s="293"/>
      <c r="K52" s="293"/>
      <c r="L52" s="295"/>
      <c r="M52" s="295"/>
      <c r="N52" s="295"/>
      <c r="O52" s="295"/>
      <c r="P52" s="295"/>
      <c r="Q52" s="295"/>
      <c r="R52" s="279"/>
    </row>
    <row r="53" spans="1:18" ht="15" customHeight="1" x14ac:dyDescent="0.3">
      <c r="A53" s="293" t="s">
        <v>394</v>
      </c>
      <c r="B53" s="293"/>
      <c r="C53" s="293"/>
      <c r="D53" s="293"/>
      <c r="E53" s="293"/>
      <c r="F53" s="293"/>
      <c r="G53" s="293"/>
      <c r="H53" s="293"/>
      <c r="I53" s="293"/>
      <c r="J53" s="293"/>
      <c r="K53" s="293"/>
      <c r="L53" s="295"/>
      <c r="M53" s="295"/>
      <c r="N53" s="295"/>
      <c r="O53" s="295"/>
      <c r="P53" s="295"/>
      <c r="Q53" s="295"/>
      <c r="R53" s="279"/>
    </row>
    <row r="54" spans="1:18" ht="15" customHeight="1" x14ac:dyDescent="0.3">
      <c r="A54" s="293" t="s">
        <v>395</v>
      </c>
      <c r="B54" s="295"/>
      <c r="C54" s="295"/>
      <c r="D54" s="295"/>
      <c r="E54" s="295"/>
      <c r="F54" s="295"/>
      <c r="G54" s="295"/>
      <c r="H54" s="295"/>
      <c r="I54" s="295"/>
      <c r="J54" s="295"/>
      <c r="K54" s="295"/>
      <c r="L54" s="295"/>
      <c r="M54" s="295"/>
      <c r="N54" s="295"/>
      <c r="O54" s="295"/>
      <c r="P54" s="295"/>
      <c r="Q54" s="295"/>
    </row>
    <row r="55" spans="1:18" ht="15" customHeight="1" x14ac:dyDescent="0.3">
      <c r="A55" s="298" t="s">
        <v>19</v>
      </c>
      <c r="B55" s="295"/>
      <c r="C55" s="295"/>
      <c r="D55" s="295"/>
      <c r="E55" s="295"/>
      <c r="F55" s="295"/>
      <c r="G55" s="295"/>
      <c r="H55" s="295"/>
      <c r="I55" s="295"/>
      <c r="J55" s="295"/>
      <c r="K55" s="295"/>
      <c r="L55" s="295"/>
      <c r="M55" s="295"/>
      <c r="N55" s="295"/>
      <c r="O55" s="295"/>
      <c r="P55" s="295"/>
      <c r="Q55" s="295"/>
    </row>
    <row r="56" spans="1:18" ht="15" customHeight="1" x14ac:dyDescent="0.3">
      <c r="A56" s="299" t="s">
        <v>20</v>
      </c>
      <c r="B56" s="295"/>
      <c r="C56" s="295"/>
      <c r="D56" s="295"/>
      <c r="E56" s="295"/>
      <c r="F56" s="295"/>
      <c r="G56" s="295"/>
      <c r="H56" s="295"/>
      <c r="I56" s="295"/>
      <c r="J56" s="295"/>
      <c r="K56" s="295"/>
      <c r="L56" s="295"/>
      <c r="M56" s="295"/>
      <c r="N56" s="295"/>
      <c r="O56" s="295"/>
      <c r="P56" s="295"/>
      <c r="Q56" s="295"/>
    </row>
    <row r="57" spans="1:18" ht="15" customHeight="1" x14ac:dyDescent="0.3">
      <c r="A57" s="299" t="s">
        <v>21</v>
      </c>
      <c r="B57" s="295"/>
      <c r="C57" s="295"/>
      <c r="D57" s="295"/>
      <c r="E57" s="295"/>
      <c r="F57" s="295"/>
      <c r="G57" s="295"/>
      <c r="H57" s="295"/>
      <c r="I57" s="295"/>
      <c r="J57" s="295"/>
      <c r="K57" s="295"/>
      <c r="L57" s="295"/>
      <c r="M57" s="295"/>
      <c r="N57" s="295"/>
      <c r="O57" s="295"/>
      <c r="P57" s="295"/>
      <c r="Q57" s="295"/>
    </row>
    <row r="58" spans="1:18" ht="15" customHeight="1" x14ac:dyDescent="0.3">
      <c r="A58" s="299" t="s">
        <v>22</v>
      </c>
      <c r="B58" s="295"/>
      <c r="C58" s="295"/>
      <c r="D58" s="295"/>
      <c r="E58" s="295"/>
      <c r="F58" s="295"/>
      <c r="G58" s="295"/>
      <c r="H58" s="295"/>
      <c r="I58" s="295"/>
      <c r="J58" s="295"/>
      <c r="K58" s="295"/>
      <c r="L58" s="295"/>
      <c r="M58" s="295"/>
      <c r="N58" s="295"/>
      <c r="O58" s="295"/>
      <c r="P58" s="295"/>
      <c r="Q58" s="295"/>
    </row>
    <row r="59" spans="1:18" ht="15" customHeight="1" x14ac:dyDescent="0.3">
      <c r="B59" s="295"/>
      <c r="C59" s="295"/>
      <c r="D59" s="295"/>
      <c r="E59" s="295"/>
      <c r="F59" s="295"/>
      <c r="G59" s="295"/>
      <c r="H59" s="295"/>
      <c r="I59" s="295"/>
      <c r="J59" s="295"/>
      <c r="K59" s="295"/>
      <c r="L59" s="296"/>
      <c r="M59" s="295"/>
      <c r="N59" s="295"/>
      <c r="O59" s="295"/>
      <c r="P59" s="295"/>
      <c r="Q59" s="295"/>
    </row>
    <row r="60" spans="1:18" ht="15" customHeight="1" thickBot="1" x14ac:dyDescent="0.35">
      <c r="A60" s="250"/>
    </row>
    <row r="61" spans="1:18" ht="25.05" customHeight="1" thickBot="1" x14ac:dyDescent="0.35">
      <c r="A61" s="353" t="s">
        <v>292</v>
      </c>
      <c r="B61" s="280" t="s">
        <v>172</v>
      </c>
      <c r="C61" s="280" t="s">
        <v>173</v>
      </c>
      <c r="D61" s="280" t="s">
        <v>174</v>
      </c>
      <c r="E61" s="280" t="s">
        <v>175</v>
      </c>
      <c r="F61" s="280" t="s">
        <v>176</v>
      </c>
      <c r="G61" s="280" t="s">
        <v>177</v>
      </c>
      <c r="H61" s="280" t="s">
        <v>178</v>
      </c>
      <c r="I61" s="280" t="s">
        <v>179</v>
      </c>
      <c r="J61" s="280" t="s">
        <v>180</v>
      </c>
      <c r="K61" s="280" t="s">
        <v>181</v>
      </c>
      <c r="L61" s="280" t="s">
        <v>182</v>
      </c>
      <c r="M61" s="280" t="s">
        <v>183</v>
      </c>
      <c r="N61" s="280" t="s">
        <v>184</v>
      </c>
      <c r="O61" s="280" t="s">
        <v>185</v>
      </c>
      <c r="P61" s="280" t="s">
        <v>186</v>
      </c>
      <c r="Q61" s="280" t="s">
        <v>187</v>
      </c>
      <c r="R61" s="281" t="s">
        <v>188</v>
      </c>
    </row>
    <row r="62" spans="1:18" ht="4.95" customHeight="1" thickBot="1" x14ac:dyDescent="0.35">
      <c r="A62" s="12"/>
      <c r="B62" s="261"/>
      <c r="C62" s="261"/>
      <c r="D62" s="261"/>
      <c r="E62" s="261"/>
      <c r="F62" s="261"/>
      <c r="G62" s="261"/>
      <c r="H62" s="261"/>
      <c r="I62" s="261"/>
      <c r="J62" s="261"/>
      <c r="K62" s="261"/>
      <c r="L62" s="262"/>
      <c r="M62" s="262"/>
      <c r="N62" s="262"/>
      <c r="O62" s="262"/>
      <c r="P62" s="262"/>
      <c r="Q62" s="262"/>
      <c r="R62" s="282"/>
    </row>
    <row r="63" spans="1:18" ht="15" customHeight="1" x14ac:dyDescent="0.3">
      <c r="A63" s="12" t="s">
        <v>404</v>
      </c>
      <c r="B63" s="261">
        <v>15089.6</v>
      </c>
      <c r="C63" s="261">
        <v>16968.400000000001</v>
      </c>
      <c r="D63" s="261">
        <v>18601.7</v>
      </c>
      <c r="E63" s="261">
        <v>19604.3</v>
      </c>
      <c r="F63" s="261">
        <v>22264.9</v>
      </c>
      <c r="G63" s="261">
        <v>25174.1</v>
      </c>
      <c r="H63" s="261">
        <v>26810</v>
      </c>
      <c r="I63" s="261">
        <v>31406.400000000001</v>
      </c>
      <c r="J63" s="261">
        <v>39525.300000000003</v>
      </c>
      <c r="K63" s="261">
        <v>42405.3</v>
      </c>
      <c r="L63" s="262">
        <v>42553.716515</v>
      </c>
      <c r="M63" s="262">
        <v>56358.33006588</v>
      </c>
      <c r="N63" s="262">
        <v>62174.589231959202</v>
      </c>
      <c r="O63" s="262">
        <v>74939.260407030204</v>
      </c>
      <c r="P63" s="262">
        <v>91741.2864451122</v>
      </c>
      <c r="Q63" s="262">
        <v>92475.979338021396</v>
      </c>
      <c r="R63" s="282" t="s">
        <v>17</v>
      </c>
    </row>
    <row r="64" spans="1:18" ht="15" customHeight="1" x14ac:dyDescent="0.3">
      <c r="A64" s="12" t="s">
        <v>405</v>
      </c>
      <c r="B64" s="261">
        <v>7206.3752037300228</v>
      </c>
      <c r="C64" s="261">
        <v>8030.3190922600379</v>
      </c>
      <c r="D64" s="261">
        <v>8828.4520832199923</v>
      </c>
      <c r="E64" s="261">
        <v>9866.3144626400372</v>
      </c>
      <c r="F64" s="261">
        <v>10339.927598320024</v>
      </c>
      <c r="G64" s="261">
        <v>11758.022359680021</v>
      </c>
      <c r="H64" s="261">
        <v>13369.636162419876</v>
      </c>
      <c r="I64" s="261">
        <v>15239.006986920076</v>
      </c>
      <c r="J64" s="261">
        <v>19101.278957489907</v>
      </c>
      <c r="K64" s="261">
        <v>21392.438337706499</v>
      </c>
      <c r="L64" s="261">
        <v>22238</v>
      </c>
      <c r="M64" s="261">
        <v>24760</v>
      </c>
      <c r="N64" s="261">
        <v>29624</v>
      </c>
      <c r="O64" s="261">
        <v>35938</v>
      </c>
      <c r="P64" s="261">
        <v>40333</v>
      </c>
      <c r="Q64" s="261">
        <v>44813</v>
      </c>
      <c r="R64" s="263" t="s">
        <v>17</v>
      </c>
    </row>
    <row r="65" spans="1:21" ht="15" customHeight="1" x14ac:dyDescent="0.3">
      <c r="A65" s="12" t="s">
        <v>387</v>
      </c>
      <c r="B65" s="261">
        <v>51928.491999999998</v>
      </c>
      <c r="C65" s="261">
        <v>53790.326999999997</v>
      </c>
      <c r="D65" s="261">
        <v>56682.328000000001</v>
      </c>
      <c r="E65" s="261">
        <v>61904.449000000001</v>
      </c>
      <c r="F65" s="261">
        <v>69626.112999999998</v>
      </c>
      <c r="G65" s="261">
        <v>77023.816999999995</v>
      </c>
      <c r="H65" s="261">
        <v>91747.794999999998</v>
      </c>
      <c r="I65" s="261">
        <v>103009.182</v>
      </c>
      <c r="J65" s="261">
        <v>120693.764</v>
      </c>
      <c r="K65" s="261">
        <v>121726.745</v>
      </c>
      <c r="L65" s="262">
        <v>137875.568</v>
      </c>
      <c r="M65" s="262">
        <v>166231.56299999999</v>
      </c>
      <c r="N65" s="262">
        <v>187153.878</v>
      </c>
      <c r="O65" s="262">
        <v>211856.03200000001</v>
      </c>
      <c r="P65" s="262">
        <v>228003.65900000001</v>
      </c>
      <c r="Q65" s="262">
        <v>228031.37</v>
      </c>
      <c r="R65" s="263">
        <v>233602.193</v>
      </c>
    </row>
    <row r="66" spans="1:21" ht="15" customHeight="1" x14ac:dyDescent="0.3">
      <c r="A66" s="12" t="s">
        <v>406</v>
      </c>
      <c r="B66" s="261">
        <v>2787370</v>
      </c>
      <c r="C66" s="261">
        <v>2895659</v>
      </c>
      <c r="D66" s="261">
        <v>3012024</v>
      </c>
      <c r="E66" s="261">
        <v>3214515</v>
      </c>
      <c r="F66" s="261">
        <v>3214515</v>
      </c>
      <c r="G66" s="261">
        <v>3301624.2259545522</v>
      </c>
      <c r="H66" s="261">
        <v>3391094</v>
      </c>
      <c r="I66" s="261">
        <v>3423464</v>
      </c>
      <c r="J66" s="261">
        <v>3698174</v>
      </c>
      <c r="K66" s="261">
        <v>3734311</v>
      </c>
      <c r="L66" s="253">
        <v>3706675.2408167617</v>
      </c>
      <c r="M66" s="253">
        <v>3679244</v>
      </c>
      <c r="N66" s="253">
        <v>3550131</v>
      </c>
      <c r="O66" s="253">
        <v>3512461</v>
      </c>
      <c r="P66" s="253">
        <v>3917972</v>
      </c>
      <c r="Q66" s="253">
        <v>3675946</v>
      </c>
      <c r="R66" s="283" t="s">
        <v>17</v>
      </c>
      <c r="S66" s="273"/>
    </row>
    <row r="67" spans="1:21" ht="15" customHeight="1" x14ac:dyDescent="0.3">
      <c r="A67" s="12" t="s">
        <v>407</v>
      </c>
      <c r="B67" s="261">
        <v>4260</v>
      </c>
      <c r="C67" s="261">
        <v>4800</v>
      </c>
      <c r="D67" s="261">
        <v>5160</v>
      </c>
      <c r="E67" s="261">
        <v>5280</v>
      </c>
      <c r="F67" s="261">
        <v>5280</v>
      </c>
      <c r="G67" s="261">
        <v>5280</v>
      </c>
      <c r="H67" s="261">
        <v>6000</v>
      </c>
      <c r="I67" s="261">
        <v>6300</v>
      </c>
      <c r="J67" s="261">
        <v>6930</v>
      </c>
      <c r="K67" s="261">
        <v>7764</v>
      </c>
      <c r="L67" s="253">
        <v>8154</v>
      </c>
      <c r="M67" s="253">
        <v>9784.80029296875</v>
      </c>
      <c r="N67" s="253">
        <v>12000</v>
      </c>
      <c r="O67" s="253">
        <v>14400</v>
      </c>
      <c r="P67" s="253">
        <v>17280</v>
      </c>
      <c r="Q67" s="253">
        <v>19872</v>
      </c>
      <c r="R67" s="283" t="s">
        <v>18</v>
      </c>
    </row>
    <row r="68" spans="1:21" ht="15" customHeight="1" x14ac:dyDescent="0.3">
      <c r="A68" s="12" t="s">
        <v>408</v>
      </c>
      <c r="B68" s="261">
        <v>8724.5487027600066</v>
      </c>
      <c r="C68" s="261">
        <v>8396.8586354082054</v>
      </c>
      <c r="D68" s="261">
        <v>9082.8373052892439</v>
      </c>
      <c r="E68" s="261">
        <v>12602.513589065076</v>
      </c>
      <c r="F68" s="261">
        <v>12602.513589065076</v>
      </c>
      <c r="G68" s="261">
        <v>12424.764548710373</v>
      </c>
      <c r="H68" s="261">
        <v>12249.522525794986</v>
      </c>
      <c r="I68" s="261">
        <v>13396.127177554616</v>
      </c>
      <c r="J68" s="261">
        <v>15683.498461974155</v>
      </c>
      <c r="K68" s="261">
        <v>17452.227306655954</v>
      </c>
      <c r="L68" s="253">
        <v>19340.255212993481</v>
      </c>
      <c r="M68" s="253">
        <v>21432.53494991253</v>
      </c>
      <c r="N68" s="253">
        <v>24285.753260368292</v>
      </c>
      <c r="O68" s="253">
        <v>27860.570767502817</v>
      </c>
      <c r="P68" s="253">
        <v>29154.829732091595</v>
      </c>
      <c r="Q68" s="253">
        <v>30683.755977019959</v>
      </c>
      <c r="R68" s="283" t="s">
        <v>18</v>
      </c>
    </row>
    <row r="69" spans="1:21" ht="15" customHeight="1" x14ac:dyDescent="0.3">
      <c r="A69" s="12" t="s">
        <v>409</v>
      </c>
      <c r="B69" s="261">
        <v>22544.346917977644</v>
      </c>
      <c r="C69" s="261">
        <v>22561.212823543348</v>
      </c>
      <c r="D69" s="261">
        <v>23744.556790175178</v>
      </c>
      <c r="E69" s="261">
        <v>46728.556439026914</v>
      </c>
      <c r="F69" s="261">
        <v>46728.556439026914</v>
      </c>
      <c r="G69" s="261">
        <v>38352.825130784266</v>
      </c>
      <c r="H69" s="261">
        <v>31478.378696158768</v>
      </c>
      <c r="I69" s="261">
        <v>31075.95781389255</v>
      </c>
      <c r="J69" s="261">
        <v>31742.470254838205</v>
      </c>
      <c r="K69" s="261">
        <v>29711.142659117912</v>
      </c>
      <c r="L69" s="253">
        <v>32575.586853926659</v>
      </c>
      <c r="M69" s="262">
        <v>35716.191432040476</v>
      </c>
      <c r="N69" s="262">
        <v>40737.211769865287</v>
      </c>
      <c r="O69" s="262">
        <v>46691.347362825392</v>
      </c>
      <c r="P69" s="262">
        <v>47911.09061955916</v>
      </c>
      <c r="Q69" s="262">
        <v>49314.657810212317</v>
      </c>
      <c r="R69" s="284" t="s">
        <v>18</v>
      </c>
      <c r="T69" s="250" t="s">
        <v>17</v>
      </c>
      <c r="U69" s="250" t="s">
        <v>17</v>
      </c>
    </row>
    <row r="70" spans="1:21" ht="15" customHeight="1" x14ac:dyDescent="0.3">
      <c r="A70" s="711" t="s">
        <v>410</v>
      </c>
      <c r="B70" s="266">
        <v>6660.4865321390262</v>
      </c>
      <c r="C70" s="266">
        <v>6360.4105884748888</v>
      </c>
      <c r="D70" s="266">
        <v>7400.4087762200988</v>
      </c>
      <c r="E70" s="266">
        <v>8146.9400806446592</v>
      </c>
      <c r="F70" s="266">
        <v>8146.9400806446592</v>
      </c>
      <c r="G70" s="266">
        <v>8658.7594316489849</v>
      </c>
      <c r="H70" s="266">
        <v>9202.7330694738121</v>
      </c>
      <c r="I70" s="266">
        <v>10335.43319295593</v>
      </c>
      <c r="J70" s="266">
        <v>13198.335595995732</v>
      </c>
      <c r="K70" s="266">
        <v>15196.494911238398</v>
      </c>
      <c r="L70" s="285">
        <v>16663.465042645905</v>
      </c>
      <c r="M70" s="267">
        <v>18272.046866684603</v>
      </c>
      <c r="N70" s="267">
        <v>20477.755628477084</v>
      </c>
      <c r="O70" s="285">
        <v>22440.542873625738</v>
      </c>
      <c r="P70" s="267">
        <v>25362.43704231628</v>
      </c>
      <c r="Q70" s="267">
        <v>26317.0018853449</v>
      </c>
      <c r="R70" s="286" t="s">
        <v>18</v>
      </c>
      <c r="S70" s="273"/>
    </row>
    <row r="71" spans="1:21" ht="14.4" customHeight="1" x14ac:dyDescent="0.3">
      <c r="A71" s="242" t="s">
        <v>399</v>
      </c>
      <c r="B71" s="292"/>
      <c r="C71" s="292"/>
      <c r="D71" s="292"/>
      <c r="E71" s="292"/>
      <c r="F71" s="292"/>
      <c r="G71" s="292"/>
      <c r="H71" s="292"/>
      <c r="I71" s="292"/>
      <c r="J71" s="292"/>
      <c r="K71" s="292"/>
      <c r="L71" s="252"/>
      <c r="M71" s="252"/>
      <c r="N71" s="252"/>
      <c r="O71" s="252"/>
      <c r="P71" s="252"/>
      <c r="Q71" s="252"/>
    </row>
    <row r="72" spans="1:21" ht="14.4" customHeight="1" x14ac:dyDescent="0.3">
      <c r="A72" s="242" t="s">
        <v>414</v>
      </c>
      <c r="B72" s="292"/>
      <c r="C72" s="292"/>
      <c r="D72" s="292"/>
      <c r="E72" s="292"/>
      <c r="F72" s="292"/>
      <c r="G72" s="292"/>
      <c r="H72" s="292"/>
      <c r="I72" s="292"/>
      <c r="J72" s="292"/>
      <c r="K72" s="292"/>
      <c r="L72" s="252"/>
      <c r="M72" s="252"/>
      <c r="N72" s="252"/>
      <c r="O72" s="252"/>
      <c r="P72" s="252"/>
      <c r="Q72" s="252"/>
    </row>
    <row r="73" spans="1:21" ht="14.4" customHeight="1" x14ac:dyDescent="0.3">
      <c r="A73" s="242" t="s">
        <v>415</v>
      </c>
      <c r="B73" s="292"/>
      <c r="C73" s="292"/>
      <c r="D73" s="292"/>
      <c r="E73" s="292"/>
      <c r="F73" s="292"/>
      <c r="G73" s="292"/>
      <c r="H73" s="292"/>
      <c r="I73" s="292"/>
      <c r="J73" s="292"/>
      <c r="K73" s="292"/>
      <c r="L73" s="252"/>
      <c r="M73" s="252"/>
      <c r="N73" s="252"/>
      <c r="O73" s="252"/>
      <c r="P73" s="252"/>
      <c r="Q73" s="252"/>
    </row>
    <row r="74" spans="1:21" x14ac:dyDescent="0.3">
      <c r="A74" s="242" t="s">
        <v>416</v>
      </c>
    </row>
    <row r="75" spans="1:21" x14ac:dyDescent="0.3">
      <c r="A75" s="242"/>
    </row>
    <row r="76" spans="1:21" x14ac:dyDescent="0.3">
      <c r="A76" s="242"/>
    </row>
    <row r="77" spans="1:21" x14ac:dyDescent="0.3">
      <c r="A77" s="250"/>
    </row>
    <row r="78" spans="1:21" x14ac:dyDescent="0.3">
      <c r="A78" s="250"/>
    </row>
    <row r="79" spans="1:21" x14ac:dyDescent="0.3">
      <c r="A79" s="250"/>
    </row>
    <row r="80" spans="1:21" x14ac:dyDescent="0.3">
      <c r="A80" s="250"/>
    </row>
    <row r="81" spans="1:1" x14ac:dyDescent="0.3">
      <c r="A81" s="250"/>
    </row>
    <row r="82" spans="1:1" x14ac:dyDescent="0.3">
      <c r="A82" s="250"/>
    </row>
    <row r="83" spans="1:1" x14ac:dyDescent="0.3">
      <c r="A83" s="250"/>
    </row>
  </sheetData>
  <hyperlinks>
    <hyperlink ref="A56" r:id="rId1" display="www.ine.gob.bo" xr:uid="{00000000-0004-0000-0100-000000000000}"/>
    <hyperlink ref="A57" r:id="rId2" xr:uid="{00000000-0004-0000-0100-000001000000}"/>
    <hyperlink ref="A58" r:id="rId3" xr:uid="{00000000-0004-0000-0100-000002000000}"/>
  </hyperlinks>
  <pageMargins left="0.7" right="0.7" top="0.75" bottom="0.75" header="0.3" footer="0.3"/>
  <pageSetup orientation="portrait" horizontalDpi="1200" verticalDpi="1200" r:id="rId4"/>
  <ignoredErrors>
    <ignoredError sqref="B61:R6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12"/>
  <sheetViews>
    <sheetView zoomScale="80" zoomScaleNormal="80" zoomScalePageLayoutView="150" workbookViewId="0">
      <pane xSplit="1" ySplit="4" topLeftCell="B5" activePane="bottomRight" state="frozen"/>
      <selection pane="topRight" activeCell="B1" sqref="B1"/>
      <selection pane="bottomLeft" activeCell="A5" sqref="A5"/>
      <selection pane="bottomRight" activeCell="A89" sqref="A89"/>
    </sheetView>
  </sheetViews>
  <sheetFormatPr defaultColWidth="39.44140625" defaultRowHeight="14.4" x14ac:dyDescent="0.3"/>
  <cols>
    <col min="1" max="1" width="74.44140625" style="61" customWidth="1"/>
    <col min="2" max="29" width="12.77734375" style="61" customWidth="1"/>
    <col min="30" max="32" width="12.77734375" style="13" customWidth="1"/>
    <col min="33" max="16384" width="39.44140625" style="13"/>
  </cols>
  <sheetData>
    <row r="1" spans="1:34" ht="30" customHeight="1" x14ac:dyDescent="0.3">
      <c r="A1" s="714" t="s">
        <v>481</v>
      </c>
      <c r="B1" s="343"/>
      <c r="C1" s="343"/>
      <c r="D1" s="343"/>
      <c r="E1" s="343"/>
      <c r="F1" s="343"/>
      <c r="G1" s="343"/>
      <c r="K1" s="344"/>
      <c r="W1" s="344"/>
    </row>
    <row r="2" spans="1:34" ht="30" customHeight="1" x14ac:dyDescent="0.3">
      <c r="A2" s="345"/>
      <c r="B2" s="345"/>
      <c r="C2" s="345"/>
      <c r="D2" s="345"/>
      <c r="E2" s="345"/>
      <c r="F2" s="345"/>
      <c r="G2" s="345"/>
      <c r="K2" s="344"/>
      <c r="W2" s="344"/>
    </row>
    <row r="3" spans="1:34" ht="19.95" customHeight="1" thickBot="1" x14ac:dyDescent="0.35">
      <c r="A3" s="718" t="s">
        <v>420</v>
      </c>
      <c r="B3" s="348"/>
      <c r="C3" s="348"/>
      <c r="D3" s="348"/>
      <c r="E3" s="348"/>
      <c r="F3" s="348"/>
      <c r="G3" s="348"/>
      <c r="K3" s="344"/>
      <c r="V3" s="339"/>
      <c r="W3" s="344"/>
    </row>
    <row r="4" spans="1:34" s="356" customFormat="1" ht="25.05" customHeight="1" thickBot="1" x14ac:dyDescent="0.35">
      <c r="A4" s="353" t="s">
        <v>482</v>
      </c>
      <c r="B4" s="107">
        <v>1990</v>
      </c>
      <c r="C4" s="107">
        <v>1991</v>
      </c>
      <c r="D4" s="107">
        <v>1992</v>
      </c>
      <c r="E4" s="107">
        <v>1993</v>
      </c>
      <c r="F4" s="107">
        <v>1994</v>
      </c>
      <c r="G4" s="107">
        <v>1995</v>
      </c>
      <c r="H4" s="107">
        <v>1996</v>
      </c>
      <c r="I4" s="107">
        <v>1997</v>
      </c>
      <c r="J4" s="107">
        <v>1998</v>
      </c>
      <c r="K4" s="107">
        <v>1999</v>
      </c>
      <c r="L4" s="107">
        <v>2000</v>
      </c>
      <c r="M4" s="107">
        <v>2001</v>
      </c>
      <c r="N4" s="107">
        <v>2002</v>
      </c>
      <c r="O4" s="107">
        <v>2003</v>
      </c>
      <c r="P4" s="107">
        <v>2004</v>
      </c>
      <c r="Q4" s="107">
        <v>2005</v>
      </c>
      <c r="R4" s="107">
        <v>2006</v>
      </c>
      <c r="S4" s="107">
        <v>2007</v>
      </c>
      <c r="T4" s="375">
        <v>2008</v>
      </c>
      <c r="U4" s="107">
        <v>2009</v>
      </c>
      <c r="V4" s="107">
        <v>2010</v>
      </c>
      <c r="W4" s="107">
        <v>2011</v>
      </c>
      <c r="X4" s="107">
        <v>2012</v>
      </c>
      <c r="Y4" s="107">
        <v>2013</v>
      </c>
      <c r="Z4" s="107">
        <v>2014</v>
      </c>
      <c r="AA4" s="108">
        <v>2015</v>
      </c>
      <c r="AB4" s="355"/>
      <c r="AC4" s="355"/>
    </row>
    <row r="5" spans="1:34" ht="4.95" customHeight="1" x14ac:dyDescent="0.3">
      <c r="A5" s="340"/>
      <c r="B5" s="341"/>
      <c r="C5" s="341"/>
      <c r="D5" s="341"/>
      <c r="E5" s="341"/>
      <c r="F5" s="341"/>
      <c r="G5" s="341"/>
      <c r="H5" s="341"/>
      <c r="I5" s="341"/>
      <c r="J5" s="341"/>
      <c r="K5" s="341"/>
      <c r="L5" s="341"/>
      <c r="M5" s="341"/>
      <c r="N5" s="341"/>
      <c r="O5" s="341"/>
      <c r="P5" s="341"/>
      <c r="Q5" s="341"/>
      <c r="R5" s="341"/>
      <c r="S5" s="341"/>
      <c r="T5" s="341"/>
      <c r="U5" s="341"/>
      <c r="V5" s="346"/>
      <c r="W5" s="346"/>
      <c r="X5" s="346"/>
      <c r="Y5" s="346"/>
      <c r="Z5" s="346"/>
      <c r="AA5" s="350"/>
    </row>
    <row r="6" spans="1:34" ht="15" customHeight="1" x14ac:dyDescent="0.3">
      <c r="A6" s="168" t="s">
        <v>261</v>
      </c>
      <c r="B6" s="384"/>
      <c r="C6" s="384"/>
      <c r="D6" s="384"/>
      <c r="E6" s="384"/>
      <c r="F6" s="384"/>
      <c r="G6" s="384"/>
      <c r="H6" s="384"/>
      <c r="I6" s="384"/>
      <c r="J6" s="384"/>
      <c r="K6" s="384"/>
      <c r="L6" s="384"/>
      <c r="M6" s="384"/>
      <c r="N6" s="384"/>
      <c r="O6" s="384"/>
      <c r="P6" s="384"/>
      <c r="Q6" s="384"/>
      <c r="R6" s="384"/>
      <c r="S6" s="384"/>
      <c r="T6" s="384"/>
      <c r="U6" s="384"/>
      <c r="V6" s="376"/>
      <c r="W6" s="376"/>
      <c r="X6" s="376"/>
      <c r="Y6" s="376"/>
      <c r="Z6" s="376"/>
      <c r="AA6" s="377"/>
    </row>
    <row r="7" spans="1:34" ht="15" customHeight="1" x14ac:dyDescent="0.3">
      <c r="A7" s="340" t="s">
        <v>23</v>
      </c>
      <c r="B7" s="423">
        <v>2832</v>
      </c>
      <c r="C7" s="423">
        <v>3785</v>
      </c>
      <c r="D7" s="423">
        <v>4208</v>
      </c>
      <c r="E7" s="423">
        <v>5056</v>
      </c>
      <c r="F7" s="423">
        <v>5571</v>
      </c>
      <c r="G7" s="423">
        <v>6533</v>
      </c>
      <c r="H7" s="423">
        <v>6616</v>
      </c>
      <c r="I7" s="423">
        <v>6686</v>
      </c>
      <c r="J7" s="423">
        <v>6638</v>
      </c>
      <c r="K7" s="423">
        <v>7940</v>
      </c>
      <c r="L7" s="423">
        <v>6575</v>
      </c>
      <c r="M7" s="423">
        <v>7198</v>
      </c>
      <c r="N7" s="423">
        <v>6601</v>
      </c>
      <c r="O7" s="423">
        <v>6626</v>
      </c>
      <c r="P7" s="423">
        <v>6786</v>
      </c>
      <c r="Q7" s="423">
        <v>197303</v>
      </c>
      <c r="R7" s="423">
        <v>218612</v>
      </c>
      <c r="S7" s="423">
        <v>273600</v>
      </c>
      <c r="T7" s="423">
        <v>319881</v>
      </c>
      <c r="U7" s="423" t="s">
        <v>24</v>
      </c>
      <c r="V7" s="424"/>
      <c r="W7" s="424"/>
      <c r="X7" s="424"/>
      <c r="Y7" s="424"/>
      <c r="Z7" s="424"/>
      <c r="AA7" s="425"/>
    </row>
    <row r="8" spans="1:34" ht="15" customHeight="1" x14ac:dyDescent="0.3">
      <c r="A8" s="340" t="s">
        <v>25</v>
      </c>
      <c r="B8" s="423" t="s">
        <v>24</v>
      </c>
      <c r="C8" s="423" t="s">
        <v>24</v>
      </c>
      <c r="D8" s="423" t="s">
        <v>24</v>
      </c>
      <c r="E8" s="423" t="s">
        <v>24</v>
      </c>
      <c r="F8" s="423" t="s">
        <v>24</v>
      </c>
      <c r="G8" s="423" t="s">
        <v>24</v>
      </c>
      <c r="H8" s="423" t="s">
        <v>24</v>
      </c>
      <c r="I8" s="423" t="s">
        <v>24</v>
      </c>
      <c r="J8" s="423" t="s">
        <v>24</v>
      </c>
      <c r="K8" s="423" t="s">
        <v>24</v>
      </c>
      <c r="L8" s="423" t="s">
        <v>24</v>
      </c>
      <c r="M8" s="423" t="s">
        <v>24</v>
      </c>
      <c r="N8" s="423" t="s">
        <v>24</v>
      </c>
      <c r="O8" s="423" t="s">
        <v>24</v>
      </c>
      <c r="P8" s="423" t="s">
        <v>24</v>
      </c>
      <c r="Q8" s="423" t="s">
        <v>24</v>
      </c>
      <c r="R8" s="423" t="s">
        <v>24</v>
      </c>
      <c r="S8" s="423" t="s">
        <v>24</v>
      </c>
      <c r="T8" s="423" t="s">
        <v>24</v>
      </c>
      <c r="U8" s="423">
        <v>24029</v>
      </c>
      <c r="V8" s="426">
        <v>65768.061000000002</v>
      </c>
      <c r="W8" s="426">
        <v>110751.59299999999</v>
      </c>
      <c r="X8" s="426">
        <v>174734.193</v>
      </c>
      <c r="Y8" s="426">
        <v>227091.30799999999</v>
      </c>
      <c r="Z8" s="426">
        <v>290196.859</v>
      </c>
      <c r="AA8" s="427">
        <v>352449.20600000001</v>
      </c>
      <c r="AD8" s="61"/>
      <c r="AE8" s="61"/>
      <c r="AF8" s="61"/>
      <c r="AG8" s="61"/>
      <c r="AH8" s="61"/>
    </row>
    <row r="9" spans="1:34" ht="15" customHeight="1" x14ac:dyDescent="0.3">
      <c r="A9" s="340" t="s">
        <v>26</v>
      </c>
      <c r="B9" s="423" t="s">
        <v>24</v>
      </c>
      <c r="C9" s="423" t="s">
        <v>24</v>
      </c>
      <c r="D9" s="423" t="s">
        <v>24</v>
      </c>
      <c r="E9" s="423" t="s">
        <v>24</v>
      </c>
      <c r="F9" s="423" t="s">
        <v>24</v>
      </c>
      <c r="G9" s="423" t="s">
        <v>24</v>
      </c>
      <c r="H9" s="423" t="s">
        <v>24</v>
      </c>
      <c r="I9" s="423" t="s">
        <v>24</v>
      </c>
      <c r="J9" s="423" t="s">
        <v>24</v>
      </c>
      <c r="K9" s="423" t="s">
        <v>24</v>
      </c>
      <c r="L9" s="423" t="s">
        <v>24</v>
      </c>
      <c r="M9" s="423" t="s">
        <v>24</v>
      </c>
      <c r="N9" s="423" t="s">
        <v>24</v>
      </c>
      <c r="O9" s="423" t="s">
        <v>24</v>
      </c>
      <c r="P9" s="423" t="s">
        <v>24</v>
      </c>
      <c r="Q9" s="423" t="s">
        <v>24</v>
      </c>
      <c r="R9" s="423" t="s">
        <v>24</v>
      </c>
      <c r="S9" s="423" t="s">
        <v>24</v>
      </c>
      <c r="T9" s="423" t="s">
        <v>24</v>
      </c>
      <c r="U9" s="423">
        <v>334742</v>
      </c>
      <c r="V9" s="426">
        <v>400403.03600000002</v>
      </c>
      <c r="W9" s="426">
        <v>412528.40299999999</v>
      </c>
      <c r="X9" s="426">
        <v>424675.95</v>
      </c>
      <c r="Y9" s="426">
        <v>431709.89</v>
      </c>
      <c r="Z9" s="426">
        <v>442277.03200000001</v>
      </c>
      <c r="AA9" s="427">
        <v>461226.16499999998</v>
      </c>
    </row>
    <row r="10" spans="1:34" ht="15" customHeight="1" x14ac:dyDescent="0.3">
      <c r="A10" s="340" t="s">
        <v>27</v>
      </c>
      <c r="B10" s="423" t="s">
        <v>24</v>
      </c>
      <c r="C10" s="423" t="s">
        <v>24</v>
      </c>
      <c r="D10" s="423" t="s">
        <v>24</v>
      </c>
      <c r="E10" s="423" t="s">
        <v>24</v>
      </c>
      <c r="F10" s="423" t="s">
        <v>24</v>
      </c>
      <c r="G10" s="423" t="s">
        <v>24</v>
      </c>
      <c r="H10" s="423" t="s">
        <v>24</v>
      </c>
      <c r="I10" s="423" t="s">
        <v>24</v>
      </c>
      <c r="J10" s="423" t="s">
        <v>24</v>
      </c>
      <c r="K10" s="423" t="s">
        <v>24</v>
      </c>
      <c r="L10" s="423" t="s">
        <v>24</v>
      </c>
      <c r="M10" s="423" t="s">
        <v>24</v>
      </c>
      <c r="N10" s="423" t="s">
        <v>24</v>
      </c>
      <c r="O10" s="423" t="s">
        <v>24</v>
      </c>
      <c r="P10" s="423" t="s">
        <v>24</v>
      </c>
      <c r="Q10" s="423" t="s">
        <v>24</v>
      </c>
      <c r="R10" s="423" t="s">
        <v>24</v>
      </c>
      <c r="S10" s="423" t="s">
        <v>24</v>
      </c>
      <c r="T10" s="423" t="s">
        <v>24</v>
      </c>
      <c r="U10" s="423">
        <v>172161</v>
      </c>
      <c r="V10" s="426">
        <v>209917.772</v>
      </c>
      <c r="W10" s="426">
        <v>211852.44099999999</v>
      </c>
      <c r="X10" s="426">
        <v>208953.364</v>
      </c>
      <c r="Y10" s="426">
        <v>199080.28</v>
      </c>
      <c r="Z10" s="426">
        <v>195395.924</v>
      </c>
      <c r="AA10" s="427">
        <v>200336.22099999999</v>
      </c>
    </row>
    <row r="11" spans="1:34" ht="15" customHeight="1" x14ac:dyDescent="0.3">
      <c r="A11" s="733" t="s">
        <v>262</v>
      </c>
      <c r="B11" s="428"/>
      <c r="C11" s="428"/>
      <c r="D11" s="428"/>
      <c r="E11" s="428"/>
      <c r="F11" s="428"/>
      <c r="G11" s="428"/>
      <c r="H11" s="428"/>
      <c r="I11" s="428"/>
      <c r="J11" s="428"/>
      <c r="K11" s="428"/>
      <c r="L11" s="428"/>
      <c r="M11" s="428"/>
      <c r="N11" s="428"/>
      <c r="O11" s="428"/>
      <c r="P11" s="428"/>
      <c r="Q11" s="428"/>
      <c r="R11" s="428"/>
      <c r="S11" s="428"/>
      <c r="T11" s="428"/>
      <c r="U11" s="428"/>
      <c r="V11" s="429"/>
      <c r="W11" s="429"/>
      <c r="X11" s="429"/>
      <c r="Y11" s="429"/>
      <c r="Z11" s="429"/>
      <c r="AA11" s="430"/>
    </row>
    <row r="12" spans="1:34" ht="15" customHeight="1" x14ac:dyDescent="0.3">
      <c r="A12" s="340" t="s">
        <v>28</v>
      </c>
      <c r="B12" s="423">
        <v>6150.7430999999997</v>
      </c>
      <c r="C12" s="423">
        <v>8401.0905000000002</v>
      </c>
      <c r="D12" s="423">
        <v>9520.7805000000008</v>
      </c>
      <c r="E12" s="423">
        <v>11798.751600000001</v>
      </c>
      <c r="F12" s="423">
        <v>15818.517</v>
      </c>
      <c r="G12" s="423">
        <v>19800.564750000001</v>
      </c>
      <c r="H12" s="423">
        <v>22739.873580000003</v>
      </c>
      <c r="I12" s="423">
        <v>24871.814370000004</v>
      </c>
      <c r="J12" s="423">
        <v>28284.139440000003</v>
      </c>
      <c r="K12" s="423">
        <v>34606.785060000002</v>
      </c>
      <c r="L12" s="423">
        <v>40942.818360000005</v>
      </c>
      <c r="M12" s="423">
        <v>45531.831510000004</v>
      </c>
      <c r="N12" s="423">
        <v>58459.170960000003</v>
      </c>
      <c r="O12" s="423">
        <v>66140.573220000006</v>
      </c>
      <c r="P12" s="423">
        <v>66632.981670000008</v>
      </c>
      <c r="Q12" s="423">
        <v>70835.747940000001</v>
      </c>
      <c r="R12" s="423">
        <v>67987.701000000001</v>
      </c>
      <c r="S12" s="423">
        <v>72190.962450000006</v>
      </c>
      <c r="T12" s="423">
        <v>79649.10603000001</v>
      </c>
      <c r="U12" s="423">
        <v>86052.545370000007</v>
      </c>
      <c r="V12" s="426">
        <v>84104.48453999999</v>
      </c>
      <c r="W12" s="426">
        <v>91163.661015000005</v>
      </c>
      <c r="X12" s="426">
        <v>99662.556779999999</v>
      </c>
      <c r="Y12" s="426">
        <v>111574.53702</v>
      </c>
      <c r="Z12" s="426">
        <v>119424.61792500001</v>
      </c>
      <c r="AA12" s="427">
        <v>123785.48232000001</v>
      </c>
    </row>
    <row r="13" spans="1:34" ht="15" customHeight="1" x14ac:dyDescent="0.3">
      <c r="A13" s="340" t="s">
        <v>29</v>
      </c>
      <c r="B13" s="423">
        <v>0</v>
      </c>
      <c r="C13" s="423">
        <v>0</v>
      </c>
      <c r="D13" s="423">
        <v>0</v>
      </c>
      <c r="E13" s="423">
        <v>0</v>
      </c>
      <c r="F13" s="423">
        <v>0</v>
      </c>
      <c r="G13" s="423">
        <v>0</v>
      </c>
      <c r="H13" s="423">
        <v>0</v>
      </c>
      <c r="I13" s="423">
        <v>0</v>
      </c>
      <c r="J13" s="423">
        <v>0</v>
      </c>
      <c r="K13" s="423">
        <v>0</v>
      </c>
      <c r="L13" s="423">
        <v>0</v>
      </c>
      <c r="M13" s="423">
        <v>0</v>
      </c>
      <c r="N13" s="423">
        <v>64755.076320000007</v>
      </c>
      <c r="O13" s="423">
        <v>79422.831450000012</v>
      </c>
      <c r="P13" s="423">
        <v>90780.414930000014</v>
      </c>
      <c r="Q13" s="423">
        <v>102588.28983000001</v>
      </c>
      <c r="R13" s="423">
        <v>133253.41914000001</v>
      </c>
      <c r="S13" s="423">
        <v>161121.86550000001</v>
      </c>
      <c r="T13" s="423">
        <v>175789.15569000001</v>
      </c>
      <c r="U13" s="423">
        <v>190328.22774</v>
      </c>
      <c r="V13" s="426">
        <v>194680.475985</v>
      </c>
      <c r="W13" s="426">
        <v>174372.73320000002</v>
      </c>
      <c r="X13" s="426">
        <v>276714.75424500002</v>
      </c>
      <c r="Y13" s="426">
        <v>317089.69984500005</v>
      </c>
      <c r="Z13" s="426">
        <v>356153.09170499997</v>
      </c>
      <c r="AA13" s="427">
        <v>379046.40240000002</v>
      </c>
    </row>
    <row r="14" spans="1:34" ht="15" customHeight="1" x14ac:dyDescent="0.3">
      <c r="A14" s="340" t="s">
        <v>30</v>
      </c>
      <c r="B14" s="423">
        <v>0</v>
      </c>
      <c r="C14" s="423">
        <v>0</v>
      </c>
      <c r="D14" s="423">
        <v>0</v>
      </c>
      <c r="E14" s="423">
        <v>0</v>
      </c>
      <c r="F14" s="423">
        <v>0</v>
      </c>
      <c r="G14" s="423">
        <v>0</v>
      </c>
      <c r="H14" s="423">
        <v>0</v>
      </c>
      <c r="I14" s="423">
        <v>0</v>
      </c>
      <c r="J14" s="423">
        <v>0</v>
      </c>
      <c r="K14" s="423">
        <v>0</v>
      </c>
      <c r="L14" s="423">
        <v>0</v>
      </c>
      <c r="M14" s="423">
        <v>0</v>
      </c>
      <c r="N14" s="423">
        <v>106564.13163</v>
      </c>
      <c r="O14" s="423">
        <v>104222.64762</v>
      </c>
      <c r="P14" s="423">
        <v>108874.02942000001</v>
      </c>
      <c r="Q14" s="423">
        <v>116807.82525000001</v>
      </c>
      <c r="R14" s="423">
        <v>130048.74837000002</v>
      </c>
      <c r="S14" s="423">
        <v>13.98933261</v>
      </c>
      <c r="T14" s="423">
        <v>165218.86575</v>
      </c>
      <c r="U14" s="423">
        <v>204541.52508000002</v>
      </c>
      <c r="V14" s="426">
        <v>277078.16265000001</v>
      </c>
      <c r="W14" s="426">
        <v>325030.47787499998</v>
      </c>
      <c r="X14" s="426">
        <v>267743.48169000004</v>
      </c>
      <c r="Y14" s="426">
        <v>315598.66563</v>
      </c>
      <c r="Z14" s="426">
        <v>370322.98193999997</v>
      </c>
      <c r="AA14" s="427">
        <v>473571.77304000006</v>
      </c>
    </row>
    <row r="15" spans="1:34" ht="15" customHeight="1" x14ac:dyDescent="0.3">
      <c r="A15" s="340" t="s">
        <v>31</v>
      </c>
      <c r="B15" s="423">
        <v>3469.23</v>
      </c>
      <c r="C15" s="423">
        <v>5105.43</v>
      </c>
      <c r="D15" s="423">
        <v>6561.5400000000009</v>
      </c>
      <c r="E15" s="423">
        <v>7528.4100000000008</v>
      </c>
      <c r="F15" s="423">
        <v>10049.67</v>
      </c>
      <c r="G15" s="423">
        <v>12985.92</v>
      </c>
      <c r="H15" s="423">
        <v>16538.850000000002</v>
      </c>
      <c r="I15" s="423">
        <v>18035.460000000003</v>
      </c>
      <c r="J15" s="423">
        <v>22321.170000000002</v>
      </c>
      <c r="K15" s="423">
        <v>25742.070000000003</v>
      </c>
      <c r="L15" s="423">
        <v>33014.169016077067</v>
      </c>
      <c r="M15" s="423">
        <v>38992.808577057796</v>
      </c>
      <c r="N15" s="423">
        <v>44531.855190000002</v>
      </c>
      <c r="O15" s="423">
        <v>54537.70824</v>
      </c>
      <c r="P15" s="423">
        <v>63026.357580000004</v>
      </c>
      <c r="Q15" s="423">
        <v>75664.324800000002</v>
      </c>
      <c r="R15" s="423">
        <v>88314.539220000006</v>
      </c>
      <c r="S15" s="423">
        <v>107885.78811000001</v>
      </c>
      <c r="T15" s="423">
        <v>125142.70959000001</v>
      </c>
      <c r="U15" s="423">
        <v>149645.76849000002</v>
      </c>
      <c r="V15" s="426">
        <v>173740.33957500002</v>
      </c>
      <c r="W15" s="426">
        <v>199605.10891500002</v>
      </c>
      <c r="X15" s="426">
        <v>231585.86531999998</v>
      </c>
      <c r="Y15" s="426">
        <v>254685.00972</v>
      </c>
      <c r="Z15" s="426">
        <v>285029.20494000003</v>
      </c>
      <c r="AA15" s="427">
        <v>319880.65342500003</v>
      </c>
    </row>
    <row r="16" spans="1:34" ht="15" customHeight="1" x14ac:dyDescent="0.3">
      <c r="A16" s="340" t="s">
        <v>32</v>
      </c>
      <c r="B16" s="423">
        <v>440.68320000000006</v>
      </c>
      <c r="C16" s="423">
        <v>5536.4180400000005</v>
      </c>
      <c r="D16" s="423">
        <v>6573.4969500000007</v>
      </c>
      <c r="E16" s="423">
        <v>2449.4861700000001</v>
      </c>
      <c r="F16" s="423">
        <v>8357.9385600000005</v>
      </c>
      <c r="G16" s="423">
        <v>11786.19282</v>
      </c>
      <c r="H16" s="423">
        <v>12471.25491</v>
      </c>
      <c r="I16" s="423">
        <v>13028.216580000002</v>
      </c>
      <c r="J16" s="423">
        <v>11683.10547</v>
      </c>
      <c r="K16" s="423">
        <v>8410.0947300000007</v>
      </c>
      <c r="L16" s="423">
        <v>835.92000000000007</v>
      </c>
      <c r="M16" s="423">
        <v>1602.0325800000001</v>
      </c>
      <c r="N16" s="423">
        <v>1383.9924600000002</v>
      </c>
      <c r="O16" s="423">
        <v>1488.53187</v>
      </c>
      <c r="P16" s="423">
        <v>2790.9411300000002</v>
      </c>
      <c r="Q16" s="423">
        <v>11677.880430000001</v>
      </c>
      <c r="R16" s="423">
        <v>12401.425080000001</v>
      </c>
      <c r="S16" s="423">
        <v>28312.155990000003</v>
      </c>
      <c r="T16" s="423">
        <v>36761.02029</v>
      </c>
      <c r="U16" s="423">
        <v>41864.077260000005</v>
      </c>
      <c r="V16" s="426">
        <v>61211.589495</v>
      </c>
      <c r="W16" s="426">
        <v>69259.411680000005</v>
      </c>
      <c r="X16" s="426">
        <v>68619.130904999998</v>
      </c>
      <c r="Y16" s="426">
        <v>61221.448815000003</v>
      </c>
      <c r="Z16" s="426">
        <v>66669.361380000002</v>
      </c>
      <c r="AA16" s="427">
        <v>110871.57444000001</v>
      </c>
    </row>
    <row r="17" spans="1:27" ht="15" customHeight="1" x14ac:dyDescent="0.3">
      <c r="A17" s="733" t="s">
        <v>264</v>
      </c>
      <c r="B17" s="428"/>
      <c r="C17" s="428"/>
      <c r="D17" s="428"/>
      <c r="E17" s="428"/>
      <c r="F17" s="428"/>
      <c r="G17" s="428"/>
      <c r="H17" s="428"/>
      <c r="I17" s="428"/>
      <c r="J17" s="428"/>
      <c r="K17" s="428"/>
      <c r="L17" s="428"/>
      <c r="M17" s="428"/>
      <c r="N17" s="428"/>
      <c r="O17" s="428"/>
      <c r="P17" s="428"/>
      <c r="Q17" s="428"/>
      <c r="R17" s="428"/>
      <c r="S17" s="428"/>
      <c r="T17" s="428"/>
      <c r="U17" s="428"/>
      <c r="V17" s="429"/>
      <c r="W17" s="429"/>
      <c r="X17" s="429"/>
      <c r="Y17" s="429"/>
      <c r="Z17" s="429"/>
      <c r="AA17" s="430"/>
    </row>
    <row r="18" spans="1:27" ht="15" customHeight="1" x14ac:dyDescent="0.3">
      <c r="A18" s="340" t="s">
        <v>33</v>
      </c>
      <c r="B18" s="423">
        <v>0</v>
      </c>
      <c r="C18" s="423">
        <v>0</v>
      </c>
      <c r="D18" s="423">
        <v>84.4</v>
      </c>
      <c r="E18" s="423">
        <v>110.3655</v>
      </c>
      <c r="F18" s="423">
        <v>93.314599999999999</v>
      </c>
      <c r="G18" s="423">
        <v>125.9264</v>
      </c>
      <c r="H18" s="423">
        <v>167.39930000000001</v>
      </c>
      <c r="I18" s="423">
        <v>176.10410000000002</v>
      </c>
      <c r="J18" s="423">
        <v>191.62350000000001</v>
      </c>
      <c r="K18" s="423">
        <v>195.42439999999999</v>
      </c>
      <c r="L18" s="423">
        <v>201.678</v>
      </c>
      <c r="M18" s="423">
        <v>206.72</v>
      </c>
      <c r="N18" s="423">
        <v>213.1283</v>
      </c>
      <c r="O18" s="423">
        <v>215.25960000000001</v>
      </c>
      <c r="P18" s="423">
        <v>3101.5860000000002</v>
      </c>
      <c r="Q18" s="423">
        <v>3501.6702</v>
      </c>
      <c r="R18" s="423">
        <v>3872.2824000000001</v>
      </c>
      <c r="S18" s="423">
        <v>5862.0447999999997</v>
      </c>
      <c r="T18" s="423">
        <v>6443.7142000000003</v>
      </c>
      <c r="U18" s="423">
        <v>7752.6935000000003</v>
      </c>
      <c r="V18" s="426">
        <v>2404.8578050000001</v>
      </c>
      <c r="W18" s="426">
        <v>2542.3677440000006</v>
      </c>
      <c r="X18" s="426">
        <v>3076.0996950000003</v>
      </c>
      <c r="Y18" s="426">
        <v>3460.038258</v>
      </c>
      <c r="Z18" s="426">
        <v>5416.3723040000004</v>
      </c>
      <c r="AA18" s="427">
        <v>8258.922294</v>
      </c>
    </row>
    <row r="19" spans="1:27" ht="15" customHeight="1" x14ac:dyDescent="0.3">
      <c r="A19" s="340" t="s">
        <v>34</v>
      </c>
      <c r="B19" s="423">
        <v>639.05380000000002</v>
      </c>
      <c r="C19" s="423">
        <v>930.04840000000013</v>
      </c>
      <c r="D19" s="423">
        <v>1394.9825000000001</v>
      </c>
      <c r="E19" s="423">
        <v>1540.2404000000001</v>
      </c>
      <c r="F19" s="423">
        <v>1909.9123</v>
      </c>
      <c r="G19" s="423">
        <v>2214.5484000000001</v>
      </c>
      <c r="H19" s="423">
        <v>2737.7782000000002</v>
      </c>
      <c r="I19" s="423">
        <v>3034.9598999999998</v>
      </c>
      <c r="J19" s="423">
        <v>3413.6673000000005</v>
      </c>
      <c r="K19" s="423">
        <v>3861.6093999999998</v>
      </c>
      <c r="L19" s="423">
        <v>4193.7393000000002</v>
      </c>
      <c r="M19" s="423">
        <v>4533.8056999999999</v>
      </c>
      <c r="N19" s="423">
        <v>4932.4010000000007</v>
      </c>
      <c r="O19" s="423">
        <v>5065.9998000000005</v>
      </c>
      <c r="P19" s="423">
        <v>5447.1785000000009</v>
      </c>
      <c r="Q19" s="423">
        <v>5957.2844000000005</v>
      </c>
      <c r="R19" s="423">
        <v>6424.431700000001</v>
      </c>
      <c r="S19" s="423">
        <v>10043.145700000001</v>
      </c>
      <c r="T19" s="423">
        <v>14279.466899999999</v>
      </c>
      <c r="U19" s="423">
        <v>14232.014799999999</v>
      </c>
      <c r="V19" s="426">
        <v>7685.2392479999999</v>
      </c>
      <c r="W19" s="426">
        <v>7166.5464599999996</v>
      </c>
      <c r="X19" s="426">
        <v>7891.8659640000005</v>
      </c>
      <c r="Y19" s="426">
        <v>9483.1882200000018</v>
      </c>
      <c r="Z19" s="426">
        <v>10787.089895999999</v>
      </c>
      <c r="AA19" s="427">
        <v>13716.911160000001</v>
      </c>
    </row>
    <row r="20" spans="1:27" ht="15" customHeight="1" x14ac:dyDescent="0.3">
      <c r="A20" s="340" t="s">
        <v>35</v>
      </c>
      <c r="B20" s="423" t="s">
        <v>24</v>
      </c>
      <c r="C20" s="423" t="s">
        <v>24</v>
      </c>
      <c r="D20" s="423" t="s">
        <v>24</v>
      </c>
      <c r="E20" s="423" t="s">
        <v>24</v>
      </c>
      <c r="F20" s="423" t="s">
        <v>24</v>
      </c>
      <c r="G20" s="423" t="s">
        <v>24</v>
      </c>
      <c r="H20" s="423" t="s">
        <v>24</v>
      </c>
      <c r="I20" s="423" t="s">
        <v>24</v>
      </c>
      <c r="J20" s="423" t="s">
        <v>24</v>
      </c>
      <c r="K20" s="423" t="s">
        <v>24</v>
      </c>
      <c r="L20" s="423" t="s">
        <v>24</v>
      </c>
      <c r="M20" s="423" t="s">
        <v>24</v>
      </c>
      <c r="N20" s="423" t="s">
        <v>24</v>
      </c>
      <c r="O20" s="423" t="s">
        <v>24</v>
      </c>
      <c r="P20" s="423" t="s">
        <v>24</v>
      </c>
      <c r="Q20" s="423">
        <v>821</v>
      </c>
      <c r="R20" s="423">
        <v>578</v>
      </c>
      <c r="S20" s="423">
        <v>328</v>
      </c>
      <c r="T20" s="423">
        <v>273</v>
      </c>
      <c r="U20" s="423">
        <v>194</v>
      </c>
      <c r="V20" s="426">
        <v>151.191</v>
      </c>
      <c r="W20" s="426">
        <v>86.134</v>
      </c>
      <c r="X20" s="426">
        <v>60.347000000000001</v>
      </c>
      <c r="Y20" s="426">
        <v>44.151000000000003</v>
      </c>
      <c r="Z20" s="426">
        <v>26.472999999999999</v>
      </c>
      <c r="AA20" s="427">
        <v>22.513999999999999</v>
      </c>
    </row>
    <row r="21" spans="1:27" ht="15" customHeight="1" x14ac:dyDescent="0.3">
      <c r="A21" s="342" t="s">
        <v>36</v>
      </c>
      <c r="B21" s="431">
        <v>0</v>
      </c>
      <c r="C21" s="431">
        <v>0</v>
      </c>
      <c r="D21" s="431">
        <v>0</v>
      </c>
      <c r="E21" s="431">
        <v>0</v>
      </c>
      <c r="F21" s="431">
        <v>0</v>
      </c>
      <c r="G21" s="431">
        <v>0</v>
      </c>
      <c r="H21" s="431">
        <v>0</v>
      </c>
      <c r="I21" s="431">
        <v>0</v>
      </c>
      <c r="J21" s="431">
        <v>0</v>
      </c>
      <c r="K21" s="431">
        <v>0</v>
      </c>
      <c r="L21" s="431">
        <v>0</v>
      </c>
      <c r="M21" s="431">
        <v>0</v>
      </c>
      <c r="N21" s="431">
        <v>0</v>
      </c>
      <c r="O21" s="431">
        <v>0</v>
      </c>
      <c r="P21" s="431">
        <v>0</v>
      </c>
      <c r="Q21" s="431">
        <v>0</v>
      </c>
      <c r="R21" s="431">
        <v>0</v>
      </c>
      <c r="S21" s="431">
        <v>0</v>
      </c>
      <c r="T21" s="431">
        <v>0</v>
      </c>
      <c r="U21" s="431">
        <v>0</v>
      </c>
      <c r="V21" s="432">
        <v>0</v>
      </c>
      <c r="W21" s="432">
        <v>0</v>
      </c>
      <c r="X21" s="432">
        <v>0</v>
      </c>
      <c r="Y21" s="432">
        <v>333.87688125318243</v>
      </c>
      <c r="Z21" s="432">
        <v>515.26106049402665</v>
      </c>
      <c r="AA21" s="433">
        <v>525.69972679350269</v>
      </c>
    </row>
    <row r="22" spans="1:27" ht="15" customHeight="1" x14ac:dyDescent="0.3">
      <c r="A22" s="342" t="s">
        <v>37</v>
      </c>
      <c r="B22" s="431">
        <v>0</v>
      </c>
      <c r="C22" s="431">
        <v>0</v>
      </c>
      <c r="D22" s="431">
        <v>0</v>
      </c>
      <c r="E22" s="431">
        <v>0</v>
      </c>
      <c r="F22" s="431">
        <v>0</v>
      </c>
      <c r="G22" s="431">
        <v>0</v>
      </c>
      <c r="H22" s="431">
        <v>0</v>
      </c>
      <c r="I22" s="431">
        <v>0</v>
      </c>
      <c r="J22" s="431">
        <v>0</v>
      </c>
      <c r="K22" s="431">
        <v>0</v>
      </c>
      <c r="L22" s="431">
        <v>0</v>
      </c>
      <c r="M22" s="431">
        <v>0</v>
      </c>
      <c r="N22" s="431">
        <v>0</v>
      </c>
      <c r="O22" s="431">
        <v>0</v>
      </c>
      <c r="P22" s="431">
        <v>0</v>
      </c>
      <c r="Q22" s="431">
        <v>0</v>
      </c>
      <c r="R22" s="431">
        <v>0</v>
      </c>
      <c r="S22" s="431">
        <v>0</v>
      </c>
      <c r="T22" s="431">
        <v>0</v>
      </c>
      <c r="U22" s="431">
        <v>0</v>
      </c>
      <c r="V22" s="432">
        <v>0</v>
      </c>
      <c r="W22" s="432">
        <v>0</v>
      </c>
      <c r="X22" s="432">
        <v>0</v>
      </c>
      <c r="Y22" s="432">
        <v>1765.6917355706573</v>
      </c>
      <c r="Z22" s="432">
        <v>1822.2165882278059</v>
      </c>
      <c r="AA22" s="433">
        <v>2031.4659391138264</v>
      </c>
    </row>
    <row r="23" spans="1:27" ht="15" customHeight="1" x14ac:dyDescent="0.3">
      <c r="A23" s="342" t="s">
        <v>38</v>
      </c>
      <c r="B23" s="431">
        <v>0</v>
      </c>
      <c r="C23" s="431">
        <v>0</v>
      </c>
      <c r="D23" s="431">
        <v>0</v>
      </c>
      <c r="E23" s="431">
        <v>0</v>
      </c>
      <c r="F23" s="431">
        <v>0</v>
      </c>
      <c r="G23" s="431">
        <v>0</v>
      </c>
      <c r="H23" s="431">
        <v>0</v>
      </c>
      <c r="I23" s="431">
        <v>0</v>
      </c>
      <c r="J23" s="431">
        <v>0</v>
      </c>
      <c r="K23" s="431">
        <v>0</v>
      </c>
      <c r="L23" s="431">
        <v>0</v>
      </c>
      <c r="M23" s="431">
        <v>0</v>
      </c>
      <c r="N23" s="431">
        <v>0</v>
      </c>
      <c r="O23" s="431">
        <v>0</v>
      </c>
      <c r="P23" s="431">
        <v>0</v>
      </c>
      <c r="Q23" s="431">
        <v>0</v>
      </c>
      <c r="R23" s="431">
        <v>0</v>
      </c>
      <c r="S23" s="431">
        <v>0</v>
      </c>
      <c r="T23" s="431">
        <v>0</v>
      </c>
      <c r="U23" s="431">
        <v>0</v>
      </c>
      <c r="V23" s="432">
        <v>0</v>
      </c>
      <c r="W23" s="432">
        <v>0</v>
      </c>
      <c r="X23" s="432">
        <v>0</v>
      </c>
      <c r="Y23" s="432">
        <v>0</v>
      </c>
      <c r="Z23" s="432">
        <v>0</v>
      </c>
      <c r="AA23" s="433">
        <v>10441.02816</v>
      </c>
    </row>
    <row r="24" spans="1:27" ht="15" customHeight="1" x14ac:dyDescent="0.3">
      <c r="A24" s="342" t="s">
        <v>39</v>
      </c>
      <c r="B24" s="431">
        <v>0</v>
      </c>
      <c r="C24" s="431">
        <v>0</v>
      </c>
      <c r="D24" s="431">
        <v>0</v>
      </c>
      <c r="E24" s="431">
        <v>0</v>
      </c>
      <c r="F24" s="431">
        <v>0</v>
      </c>
      <c r="G24" s="431">
        <v>0</v>
      </c>
      <c r="H24" s="431">
        <v>0</v>
      </c>
      <c r="I24" s="431">
        <v>0</v>
      </c>
      <c r="J24" s="431">
        <v>0</v>
      </c>
      <c r="K24" s="431">
        <v>0</v>
      </c>
      <c r="L24" s="431">
        <v>0</v>
      </c>
      <c r="M24" s="431">
        <v>0</v>
      </c>
      <c r="N24" s="431">
        <v>0</v>
      </c>
      <c r="O24" s="431">
        <v>0</v>
      </c>
      <c r="P24" s="431">
        <v>0</v>
      </c>
      <c r="Q24" s="431">
        <v>0</v>
      </c>
      <c r="R24" s="431">
        <v>0</v>
      </c>
      <c r="S24" s="431">
        <v>0</v>
      </c>
      <c r="T24" s="431">
        <v>0</v>
      </c>
      <c r="U24" s="431">
        <v>0</v>
      </c>
      <c r="V24" s="432">
        <v>0</v>
      </c>
      <c r="W24" s="432">
        <v>1586.75152</v>
      </c>
      <c r="X24" s="432">
        <v>4238.9364800000003</v>
      </c>
      <c r="Y24" s="432">
        <v>2914.4606400000002</v>
      </c>
      <c r="Z24" s="432">
        <v>3390.6910400000002</v>
      </c>
      <c r="AA24" s="433">
        <v>2975.3243199999997</v>
      </c>
    </row>
    <row r="25" spans="1:27" ht="15" customHeight="1" x14ac:dyDescent="0.3">
      <c r="A25" s="342" t="s">
        <v>40</v>
      </c>
      <c r="B25" s="431">
        <v>4.4400000000000004</v>
      </c>
      <c r="C25" s="431">
        <v>51.872600000000006</v>
      </c>
      <c r="D25" s="431">
        <v>6.93</v>
      </c>
      <c r="E25" s="431">
        <v>10.4472</v>
      </c>
      <c r="F25" s="431">
        <v>184.14500000000001</v>
      </c>
      <c r="G25" s="431">
        <v>182.3888</v>
      </c>
      <c r="H25" s="431">
        <v>124.384</v>
      </c>
      <c r="I25" s="431">
        <v>1823.1180000000002</v>
      </c>
      <c r="J25" s="431">
        <v>2078.335</v>
      </c>
      <c r="K25" s="431">
        <v>2418.6637999999998</v>
      </c>
      <c r="L25" s="431">
        <v>1330.0638000000001</v>
      </c>
      <c r="M25" s="431">
        <v>1512.7582000000002</v>
      </c>
      <c r="N25" s="431">
        <v>1483.5188000000001</v>
      </c>
      <c r="O25" s="431">
        <v>1423.8224</v>
      </c>
      <c r="P25" s="431">
        <v>1359.4318000000001</v>
      </c>
      <c r="Q25" s="431">
        <v>1374.1038000000001</v>
      </c>
      <c r="R25" s="431">
        <v>1415.3270000000002</v>
      </c>
      <c r="S25" s="431">
        <v>1517.2344000000001</v>
      </c>
      <c r="T25" s="431">
        <v>2018.5982000000001</v>
      </c>
      <c r="U25" s="431">
        <v>2143.7512000000002</v>
      </c>
      <c r="V25" s="432">
        <v>1705.0460800000001</v>
      </c>
      <c r="W25" s="432">
        <v>881.89792</v>
      </c>
      <c r="X25" s="432">
        <v>713.39792</v>
      </c>
      <c r="Y25" s="432">
        <v>709.10271999999998</v>
      </c>
      <c r="Z25" s="432">
        <v>1312.5755200000001</v>
      </c>
      <c r="AA25" s="433">
        <v>986.22016000000008</v>
      </c>
    </row>
    <row r="26" spans="1:27" ht="15" customHeight="1" x14ac:dyDescent="0.3">
      <c r="A26" s="342" t="s">
        <v>41</v>
      </c>
      <c r="B26" s="431">
        <v>0</v>
      </c>
      <c r="C26" s="431">
        <v>0</v>
      </c>
      <c r="D26" s="431">
        <v>9.6812000000000005</v>
      </c>
      <c r="E26" s="431">
        <v>11.429600000000001</v>
      </c>
      <c r="F26" s="431">
        <v>2.3839999999999999</v>
      </c>
      <c r="G26" s="431">
        <v>0</v>
      </c>
      <c r="H26" s="431">
        <v>0</v>
      </c>
      <c r="I26" s="431">
        <v>0</v>
      </c>
      <c r="J26" s="431">
        <v>0</v>
      </c>
      <c r="K26" s="431">
        <v>0</v>
      </c>
      <c r="L26" s="431">
        <v>13.209600000000002</v>
      </c>
      <c r="M26" s="431">
        <v>41</v>
      </c>
      <c r="N26" s="431">
        <v>8.309800000000001</v>
      </c>
      <c r="O26" s="431">
        <v>8.309800000000001</v>
      </c>
      <c r="P26" s="431">
        <v>8.1536000000000008</v>
      </c>
      <c r="Q26" s="431">
        <v>8.2416</v>
      </c>
      <c r="R26" s="431">
        <v>0</v>
      </c>
      <c r="S26" s="431">
        <v>0</v>
      </c>
      <c r="T26" s="431">
        <v>137.54400000000001</v>
      </c>
      <c r="U26" s="431">
        <v>146.07180000000002</v>
      </c>
      <c r="V26" s="432">
        <v>129.2912</v>
      </c>
      <c r="W26" s="432">
        <v>310.80063999999999</v>
      </c>
      <c r="X26" s="432">
        <v>575.71680000000003</v>
      </c>
      <c r="Y26" s="432">
        <v>591.96144000000004</v>
      </c>
      <c r="Z26" s="432">
        <v>777.36207999999999</v>
      </c>
      <c r="AA26" s="433">
        <v>763.44607999999994</v>
      </c>
    </row>
    <row r="27" spans="1:27" ht="15" customHeight="1" x14ac:dyDescent="0.3">
      <c r="A27" s="342" t="s">
        <v>42</v>
      </c>
      <c r="B27" s="431">
        <v>0</v>
      </c>
      <c r="C27" s="431">
        <v>0</v>
      </c>
      <c r="D27" s="431">
        <v>0</v>
      </c>
      <c r="E27" s="431">
        <v>0</v>
      </c>
      <c r="F27" s="431">
        <v>0</v>
      </c>
      <c r="G27" s="431">
        <v>0</v>
      </c>
      <c r="H27" s="431">
        <v>0</v>
      </c>
      <c r="I27" s="431">
        <v>0</v>
      </c>
      <c r="J27" s="431">
        <v>0</v>
      </c>
      <c r="K27" s="431">
        <v>0</v>
      </c>
      <c r="L27" s="431">
        <v>0</v>
      </c>
      <c r="M27" s="431">
        <v>0</v>
      </c>
      <c r="N27" s="431">
        <v>0</v>
      </c>
      <c r="O27" s="431">
        <v>0</v>
      </c>
      <c r="P27" s="431">
        <v>0</v>
      </c>
      <c r="Q27" s="431">
        <v>0</v>
      </c>
      <c r="R27" s="431">
        <v>0</v>
      </c>
      <c r="S27" s="431">
        <v>0</v>
      </c>
      <c r="T27" s="431">
        <v>0</v>
      </c>
      <c r="U27" s="431">
        <v>0</v>
      </c>
      <c r="V27" s="432">
        <v>0</v>
      </c>
      <c r="W27" s="432">
        <v>42.47296</v>
      </c>
      <c r="X27" s="432">
        <v>126.4736</v>
      </c>
      <c r="Y27" s="432">
        <v>0</v>
      </c>
      <c r="Z27" s="432">
        <v>0</v>
      </c>
      <c r="AA27" s="433">
        <v>0</v>
      </c>
    </row>
    <row r="28" spans="1:27" ht="15" customHeight="1" x14ac:dyDescent="0.3">
      <c r="A28" s="342" t="s">
        <v>43</v>
      </c>
      <c r="B28" s="431">
        <v>0</v>
      </c>
      <c r="C28" s="431">
        <v>0</v>
      </c>
      <c r="D28" s="431">
        <v>0</v>
      </c>
      <c r="E28" s="431">
        <v>0</v>
      </c>
      <c r="F28" s="431">
        <v>0</v>
      </c>
      <c r="G28" s="431">
        <v>0</v>
      </c>
      <c r="H28" s="431">
        <v>0</v>
      </c>
      <c r="I28" s="431">
        <v>0</v>
      </c>
      <c r="J28" s="431">
        <v>0</v>
      </c>
      <c r="K28" s="431">
        <v>0</v>
      </c>
      <c r="L28" s="431">
        <v>0</v>
      </c>
      <c r="M28" s="431">
        <v>0</v>
      </c>
      <c r="N28" s="431">
        <v>47.580600000000004</v>
      </c>
      <c r="O28" s="431">
        <v>0</v>
      </c>
      <c r="P28" s="431">
        <v>0</v>
      </c>
      <c r="Q28" s="431">
        <v>0</v>
      </c>
      <c r="R28" s="431">
        <v>0</v>
      </c>
      <c r="S28" s="431">
        <v>0</v>
      </c>
      <c r="T28" s="431">
        <v>0</v>
      </c>
      <c r="U28" s="431">
        <v>422.64420000000001</v>
      </c>
      <c r="V28" s="432">
        <v>263.07168000000001</v>
      </c>
      <c r="W28" s="432">
        <v>343.78160000000003</v>
      </c>
      <c r="X28" s="432">
        <v>317.5104</v>
      </c>
      <c r="Y28" s="432">
        <v>88.895359999999997</v>
      </c>
      <c r="Z28" s="432">
        <v>191.53040000000001</v>
      </c>
      <c r="AA28" s="433">
        <v>188.35968</v>
      </c>
    </row>
    <row r="29" spans="1:27" ht="15" customHeight="1" x14ac:dyDescent="0.3">
      <c r="A29" s="342" t="s">
        <v>44</v>
      </c>
      <c r="B29" s="431">
        <v>0</v>
      </c>
      <c r="C29" s="431">
        <v>0</v>
      </c>
      <c r="D29" s="431">
        <v>0</v>
      </c>
      <c r="E29" s="431">
        <v>0</v>
      </c>
      <c r="F29" s="431">
        <v>0</v>
      </c>
      <c r="G29" s="431">
        <v>0</v>
      </c>
      <c r="H29" s="431">
        <v>0</v>
      </c>
      <c r="I29" s="431">
        <v>0</v>
      </c>
      <c r="J29" s="431">
        <v>0</v>
      </c>
      <c r="K29" s="431">
        <v>0</v>
      </c>
      <c r="L29" s="431">
        <v>0</v>
      </c>
      <c r="M29" s="431">
        <v>0</v>
      </c>
      <c r="N29" s="431">
        <v>0</v>
      </c>
      <c r="O29" s="431">
        <v>0</v>
      </c>
      <c r="P29" s="431">
        <v>0</v>
      </c>
      <c r="Q29" s="431">
        <v>0</v>
      </c>
      <c r="R29" s="431">
        <v>0</v>
      </c>
      <c r="S29" s="431">
        <v>309.70640000000003</v>
      </c>
      <c r="T29" s="431">
        <v>322.714</v>
      </c>
      <c r="U29" s="431">
        <v>322.15880000000004</v>
      </c>
      <c r="V29" s="432">
        <v>227.73488</v>
      </c>
      <c r="W29" s="432">
        <v>0</v>
      </c>
      <c r="X29" s="432">
        <v>0</v>
      </c>
      <c r="Y29" s="432">
        <v>0</v>
      </c>
      <c r="Z29" s="432">
        <v>0</v>
      </c>
      <c r="AA29" s="433">
        <v>0</v>
      </c>
    </row>
    <row r="30" spans="1:27" ht="15" customHeight="1" x14ac:dyDescent="0.3">
      <c r="A30" s="342" t="s">
        <v>45</v>
      </c>
      <c r="B30" s="431">
        <v>0</v>
      </c>
      <c r="C30" s="431">
        <v>0</v>
      </c>
      <c r="D30" s="431">
        <v>0</v>
      </c>
      <c r="E30" s="431">
        <v>0</v>
      </c>
      <c r="F30" s="431">
        <v>0</v>
      </c>
      <c r="G30" s="431">
        <v>0</v>
      </c>
      <c r="H30" s="431">
        <v>0</v>
      </c>
      <c r="I30" s="431">
        <v>0</v>
      </c>
      <c r="J30" s="431">
        <v>0</v>
      </c>
      <c r="K30" s="431">
        <v>0</v>
      </c>
      <c r="L30" s="431">
        <v>0</v>
      </c>
      <c r="M30" s="431">
        <v>0</v>
      </c>
      <c r="N30" s="431">
        <v>0</v>
      </c>
      <c r="O30" s="431">
        <v>0</v>
      </c>
      <c r="P30" s="431">
        <v>0</v>
      </c>
      <c r="Q30" s="431">
        <v>0</v>
      </c>
      <c r="R30" s="431">
        <v>0</v>
      </c>
      <c r="S30" s="431">
        <v>220.45500000000004</v>
      </c>
      <c r="T30" s="431">
        <v>229.71420000000001</v>
      </c>
      <c r="U30" s="431">
        <v>243.9564</v>
      </c>
      <c r="V30" s="432">
        <v>113.02495999999999</v>
      </c>
      <c r="W30" s="432">
        <v>0</v>
      </c>
      <c r="X30" s="432">
        <v>0</v>
      </c>
      <c r="Y30" s="432">
        <v>0</v>
      </c>
      <c r="Z30" s="432">
        <v>0</v>
      </c>
      <c r="AA30" s="433">
        <v>0</v>
      </c>
    </row>
    <row r="31" spans="1:27" ht="15" customHeight="1" x14ac:dyDescent="0.3">
      <c r="A31" s="342" t="s">
        <v>46</v>
      </c>
      <c r="B31" s="431">
        <v>0</v>
      </c>
      <c r="C31" s="431">
        <v>0</v>
      </c>
      <c r="D31" s="431">
        <v>43.89</v>
      </c>
      <c r="E31" s="431">
        <v>57.088000000000001</v>
      </c>
      <c r="F31" s="431">
        <v>54.331200000000003</v>
      </c>
      <c r="G31" s="431">
        <v>165.53120000000001</v>
      </c>
      <c r="H31" s="431">
        <v>202.4008</v>
      </c>
      <c r="I31" s="431">
        <v>262.92199999999997</v>
      </c>
      <c r="J31" s="431">
        <v>160.67340000000002</v>
      </c>
      <c r="K31" s="431">
        <v>159.75300000000001</v>
      </c>
      <c r="L31" s="431">
        <v>176.62960000000001</v>
      </c>
      <c r="M31" s="431">
        <v>188.32860000000002</v>
      </c>
      <c r="N31" s="431">
        <v>0</v>
      </c>
      <c r="O31" s="431">
        <v>0</v>
      </c>
      <c r="P31" s="431">
        <v>0</v>
      </c>
      <c r="Q31" s="431">
        <v>0</v>
      </c>
      <c r="R31" s="431">
        <v>0</v>
      </c>
      <c r="S31" s="431">
        <v>0</v>
      </c>
      <c r="T31" s="431">
        <v>289.15500000000003</v>
      </c>
      <c r="U31" s="431">
        <v>307.08260000000001</v>
      </c>
      <c r="V31" s="432"/>
      <c r="W31" s="432"/>
      <c r="X31" s="432"/>
      <c r="Y31" s="432"/>
      <c r="Z31" s="432"/>
      <c r="AA31" s="433"/>
    </row>
    <row r="32" spans="1:27" ht="15" customHeight="1" x14ac:dyDescent="0.3">
      <c r="A32" s="342" t="s">
        <v>47</v>
      </c>
      <c r="B32" s="431">
        <v>0</v>
      </c>
      <c r="C32" s="431">
        <v>0</v>
      </c>
      <c r="D32" s="431">
        <v>0</v>
      </c>
      <c r="E32" s="431">
        <v>0</v>
      </c>
      <c r="F32" s="431">
        <v>0</v>
      </c>
      <c r="G32" s="431">
        <v>0</v>
      </c>
      <c r="H32" s="431">
        <v>0</v>
      </c>
      <c r="I32" s="431">
        <v>0</v>
      </c>
      <c r="J32" s="431">
        <v>0</v>
      </c>
      <c r="K32" s="431">
        <v>0</v>
      </c>
      <c r="L32" s="431">
        <v>0</v>
      </c>
      <c r="M32" s="431">
        <v>0</v>
      </c>
      <c r="N32" s="431">
        <v>0</v>
      </c>
      <c r="O32" s="431">
        <v>0</v>
      </c>
      <c r="P32" s="431">
        <v>0</v>
      </c>
      <c r="Q32" s="431">
        <v>0</v>
      </c>
      <c r="R32" s="431">
        <v>0</v>
      </c>
      <c r="S32" s="431">
        <v>315.33760000000007</v>
      </c>
      <c r="T32" s="431">
        <v>415.38100000000009</v>
      </c>
      <c r="U32" s="431">
        <v>441.13459999999998</v>
      </c>
      <c r="V32" s="432">
        <v>358.20128</v>
      </c>
      <c r="W32" s="432">
        <v>276.52127999999999</v>
      </c>
      <c r="X32" s="432">
        <v>511.32672000000002</v>
      </c>
      <c r="Y32" s="432">
        <v>662.66351999999995</v>
      </c>
      <c r="Z32" s="432">
        <v>702.12703999999997</v>
      </c>
      <c r="AA32" s="433">
        <v>704.74751999999989</v>
      </c>
    </row>
    <row r="33" spans="1:34" s="62" customFormat="1" ht="15" customHeight="1" x14ac:dyDescent="0.3">
      <c r="A33" s="342" t="s">
        <v>48</v>
      </c>
      <c r="B33" s="431">
        <v>0</v>
      </c>
      <c r="C33" s="431">
        <v>0</v>
      </c>
      <c r="D33" s="431">
        <v>1177.1912</v>
      </c>
      <c r="E33" s="431">
        <v>1115.4010000000001</v>
      </c>
      <c r="F33" s="431">
        <v>2215.3322000000003</v>
      </c>
      <c r="G33" s="431">
        <v>1510.9590000000001</v>
      </c>
      <c r="H33" s="431">
        <v>1256.7</v>
      </c>
      <c r="I33" s="431">
        <v>100</v>
      </c>
      <c r="J33" s="431">
        <v>160</v>
      </c>
      <c r="K33" s="431">
        <v>300</v>
      </c>
      <c r="L33" s="431">
        <v>309.60000000000002</v>
      </c>
      <c r="M33" s="431">
        <v>184.5</v>
      </c>
      <c r="N33" s="431">
        <v>190.21960000000001</v>
      </c>
      <c r="O33" s="431">
        <v>190.21960000000001</v>
      </c>
      <c r="P33" s="431">
        <v>193.87180000000001</v>
      </c>
      <c r="Q33" s="431">
        <v>235.15720000000002</v>
      </c>
      <c r="R33" s="431">
        <v>242.21199999999999</v>
      </c>
      <c r="S33" s="431">
        <v>250.68939999999998</v>
      </c>
      <c r="T33" s="431">
        <v>1720.0184000000002</v>
      </c>
      <c r="U33" s="431">
        <v>3305.3382000000001</v>
      </c>
      <c r="V33" s="432"/>
      <c r="W33" s="432"/>
      <c r="X33" s="432"/>
      <c r="Y33" s="432"/>
      <c r="Z33" s="432"/>
      <c r="AA33" s="433"/>
      <c r="AB33" s="61"/>
      <c r="AC33" s="61"/>
      <c r="AD33" s="13"/>
      <c r="AE33" s="13"/>
      <c r="AF33" s="13"/>
      <c r="AG33" s="13"/>
      <c r="AH33" s="13"/>
    </row>
    <row r="34" spans="1:34" s="62" customFormat="1" ht="15" customHeight="1" x14ac:dyDescent="0.3">
      <c r="A34" s="342" t="s">
        <v>49</v>
      </c>
      <c r="B34" s="431">
        <v>0</v>
      </c>
      <c r="C34" s="431">
        <v>0</v>
      </c>
      <c r="D34" s="431">
        <v>0</v>
      </c>
      <c r="E34" s="431">
        <v>0</v>
      </c>
      <c r="F34" s="431">
        <v>0</v>
      </c>
      <c r="G34" s="431">
        <v>0</v>
      </c>
      <c r="H34" s="431">
        <v>0</v>
      </c>
      <c r="I34" s="431">
        <v>0</v>
      </c>
      <c r="J34" s="431">
        <v>0</v>
      </c>
      <c r="K34" s="431">
        <v>0</v>
      </c>
      <c r="L34" s="431">
        <v>0</v>
      </c>
      <c r="M34" s="431">
        <v>0</v>
      </c>
      <c r="N34" s="431">
        <v>0</v>
      </c>
      <c r="O34" s="431">
        <v>0</v>
      </c>
      <c r="P34" s="431">
        <v>0</v>
      </c>
      <c r="Q34" s="431">
        <v>0</v>
      </c>
      <c r="R34" s="431">
        <v>0</v>
      </c>
      <c r="S34" s="431">
        <v>0</v>
      </c>
      <c r="T34" s="431">
        <v>0</v>
      </c>
      <c r="U34" s="431">
        <v>0</v>
      </c>
      <c r="V34" s="432">
        <v>0</v>
      </c>
      <c r="W34" s="432">
        <v>0</v>
      </c>
      <c r="X34" s="432">
        <v>0</v>
      </c>
      <c r="Y34" s="432">
        <v>28.518560000000004</v>
      </c>
      <c r="Z34" s="432">
        <v>26.231359999999999</v>
      </c>
      <c r="AA34" s="433">
        <v>27.018080000000001</v>
      </c>
      <c r="AB34" s="61"/>
      <c r="AC34" s="61"/>
      <c r="AD34" s="13"/>
      <c r="AE34" s="13"/>
      <c r="AF34" s="13"/>
      <c r="AG34" s="13"/>
      <c r="AH34" s="13"/>
    </row>
    <row r="35" spans="1:34" ht="15" customHeight="1" x14ac:dyDescent="0.3">
      <c r="A35" s="342" t="s">
        <v>50</v>
      </c>
      <c r="B35" s="431">
        <v>0</v>
      </c>
      <c r="C35" s="431">
        <v>0</v>
      </c>
      <c r="D35" s="431">
        <v>0</v>
      </c>
      <c r="E35" s="431">
        <v>0</v>
      </c>
      <c r="F35" s="431">
        <v>0</v>
      </c>
      <c r="G35" s="431">
        <v>0</v>
      </c>
      <c r="H35" s="431">
        <v>0</v>
      </c>
      <c r="I35" s="431">
        <v>0</v>
      </c>
      <c r="J35" s="431">
        <v>0</v>
      </c>
      <c r="K35" s="431">
        <v>0</v>
      </c>
      <c r="L35" s="431">
        <v>0</v>
      </c>
      <c r="M35" s="431">
        <v>0</v>
      </c>
      <c r="N35" s="431">
        <v>0</v>
      </c>
      <c r="O35" s="431">
        <v>0</v>
      </c>
      <c r="P35" s="431">
        <v>0</v>
      </c>
      <c r="Q35" s="431">
        <v>422.28000000000003</v>
      </c>
      <c r="R35" s="431">
        <v>434.94840000000005</v>
      </c>
      <c r="S35" s="431">
        <v>567.21879999999999</v>
      </c>
      <c r="T35" s="431">
        <v>667.92200000000003</v>
      </c>
      <c r="U35" s="431">
        <v>709.33320000000003</v>
      </c>
      <c r="V35" s="432">
        <v>8613.6281600000002</v>
      </c>
      <c r="W35" s="432">
        <v>8572.885760000001</v>
      </c>
      <c r="X35" s="432">
        <v>7380.32</v>
      </c>
      <c r="Y35" s="432">
        <v>7297.279520000001</v>
      </c>
      <c r="Z35" s="432">
        <v>8521.7940800000015</v>
      </c>
      <c r="AA35" s="433">
        <v>12408.425759999998</v>
      </c>
      <c r="AD35" s="62"/>
      <c r="AE35" s="62"/>
      <c r="AF35" s="62"/>
      <c r="AG35" s="62"/>
      <c r="AH35" s="62"/>
    </row>
    <row r="36" spans="1:34" ht="15" customHeight="1" x14ac:dyDescent="0.3">
      <c r="A36" s="342" t="s">
        <v>51</v>
      </c>
      <c r="B36" s="431">
        <v>0</v>
      </c>
      <c r="C36" s="431">
        <v>0</v>
      </c>
      <c r="D36" s="431">
        <v>0</v>
      </c>
      <c r="E36" s="431">
        <v>0</v>
      </c>
      <c r="F36" s="431">
        <v>0</v>
      </c>
      <c r="G36" s="431">
        <v>0</v>
      </c>
      <c r="H36" s="431">
        <v>0</v>
      </c>
      <c r="I36" s="431">
        <v>0</v>
      </c>
      <c r="J36" s="431">
        <v>6.5960000000000001</v>
      </c>
      <c r="K36" s="431">
        <v>189.01060000000001</v>
      </c>
      <c r="L36" s="431">
        <v>188.43180000000001</v>
      </c>
      <c r="M36" s="431">
        <v>61.920000000000009</v>
      </c>
      <c r="N36" s="431">
        <v>105.67760000000001</v>
      </c>
      <c r="O36" s="431">
        <v>0.2</v>
      </c>
      <c r="P36" s="431">
        <v>0.20379999999999998</v>
      </c>
      <c r="Q36" s="431">
        <v>0.20600000000000002</v>
      </c>
      <c r="R36" s="431">
        <v>0.2122</v>
      </c>
      <c r="S36" s="431">
        <v>0.21960000000000002</v>
      </c>
      <c r="T36" s="431">
        <v>0</v>
      </c>
      <c r="U36" s="431">
        <v>0</v>
      </c>
      <c r="V36" s="432"/>
      <c r="W36" s="432"/>
      <c r="X36" s="432"/>
      <c r="Y36" s="432"/>
      <c r="Z36" s="432"/>
      <c r="AA36" s="433"/>
      <c r="AD36" s="62"/>
      <c r="AE36" s="62"/>
      <c r="AF36" s="62"/>
      <c r="AG36" s="62"/>
      <c r="AH36" s="62"/>
    </row>
    <row r="37" spans="1:34" ht="15" customHeight="1" x14ac:dyDescent="0.3">
      <c r="A37" s="352" t="s">
        <v>52</v>
      </c>
      <c r="B37" s="434">
        <v>0</v>
      </c>
      <c r="C37" s="434">
        <v>0</v>
      </c>
      <c r="D37" s="434">
        <v>0</v>
      </c>
      <c r="E37" s="434">
        <v>0</v>
      </c>
      <c r="F37" s="434">
        <v>0</v>
      </c>
      <c r="G37" s="434">
        <v>0</v>
      </c>
      <c r="H37" s="434">
        <v>0</v>
      </c>
      <c r="I37" s="434">
        <v>0</v>
      </c>
      <c r="J37" s="434">
        <v>0</v>
      </c>
      <c r="K37" s="434">
        <v>0</v>
      </c>
      <c r="L37" s="434">
        <v>0</v>
      </c>
      <c r="M37" s="434">
        <v>0</v>
      </c>
      <c r="N37" s="434">
        <v>0</v>
      </c>
      <c r="O37" s="434">
        <v>0</v>
      </c>
      <c r="P37" s="434">
        <v>0</v>
      </c>
      <c r="Q37" s="434">
        <v>0</v>
      </c>
      <c r="R37" s="434">
        <v>0</v>
      </c>
      <c r="S37" s="434">
        <v>0</v>
      </c>
      <c r="T37" s="434">
        <v>0</v>
      </c>
      <c r="U37" s="434">
        <v>0</v>
      </c>
      <c r="V37" s="435">
        <v>226.34464</v>
      </c>
      <c r="W37" s="435">
        <v>233.81439999999998</v>
      </c>
      <c r="X37" s="435">
        <v>240.32</v>
      </c>
      <c r="Y37" s="435">
        <v>246.93279999999999</v>
      </c>
      <c r="Z37" s="435">
        <v>252.36336</v>
      </c>
      <c r="AA37" s="436">
        <v>259.93407999999999</v>
      </c>
    </row>
    <row r="38" spans="1:34" ht="15" customHeight="1" x14ac:dyDescent="0.3">
      <c r="A38" s="739" t="s">
        <v>307</v>
      </c>
      <c r="B38" s="437">
        <f>+SUM(B7:B20)</f>
        <v>13531.710099999998</v>
      </c>
      <c r="C38" s="437">
        <f t="shared" ref="C38:U38" si="0">+SUM(C7:C20)</f>
        <v>23757.986939999999</v>
      </c>
      <c r="D38" s="437">
        <f t="shared" si="0"/>
        <v>28343.199950000002</v>
      </c>
      <c r="E38" s="437">
        <f t="shared" si="0"/>
        <v>28483.253670000002</v>
      </c>
      <c r="F38" s="437">
        <f t="shared" si="0"/>
        <v>41800.352459999995</v>
      </c>
      <c r="G38" s="437">
        <f t="shared" si="0"/>
        <v>53446.152369999996</v>
      </c>
      <c r="H38" s="437">
        <f t="shared" si="0"/>
        <v>61271.155990000007</v>
      </c>
      <c r="I38" s="437">
        <f t="shared" si="0"/>
        <v>65832.554950000005</v>
      </c>
      <c r="J38" s="437">
        <f t="shared" si="0"/>
        <v>72531.705709999995</v>
      </c>
      <c r="K38" s="437">
        <f t="shared" si="0"/>
        <v>80755.983590000003</v>
      </c>
      <c r="L38" s="437">
        <f t="shared" si="0"/>
        <v>85763.324676077071</v>
      </c>
      <c r="M38" s="437">
        <f t="shared" si="0"/>
        <v>98065.198367057805</v>
      </c>
      <c r="N38" s="437">
        <f t="shared" si="0"/>
        <v>287440.75585999998</v>
      </c>
      <c r="O38" s="437">
        <f t="shared" si="0"/>
        <v>317719.55180000002</v>
      </c>
      <c r="P38" s="437">
        <f t="shared" si="0"/>
        <v>347439.48923000001</v>
      </c>
      <c r="Q38" s="437">
        <f t="shared" si="0"/>
        <v>585157.02285000018</v>
      </c>
      <c r="R38" s="437">
        <f t="shared" si="0"/>
        <v>661492.54691000003</v>
      </c>
      <c r="S38" s="437">
        <f t="shared" si="0"/>
        <v>659357.95188260998</v>
      </c>
      <c r="T38" s="437">
        <f t="shared" si="0"/>
        <v>923438.03845000011</v>
      </c>
      <c r="U38" s="437">
        <f t="shared" si="0"/>
        <v>1225542.8522399999</v>
      </c>
      <c r="V38" s="438">
        <f t="shared" ref="V38:AA38" si="1">+SUM(V8:V20)</f>
        <v>1477145.2092980002</v>
      </c>
      <c r="W38" s="438">
        <f t="shared" si="1"/>
        <v>1604358.8778889999</v>
      </c>
      <c r="X38" s="438">
        <f t="shared" si="1"/>
        <v>1763717.6085990004</v>
      </c>
      <c r="Y38" s="438">
        <f t="shared" si="1"/>
        <v>1931038.2165079999</v>
      </c>
      <c r="Z38" s="438">
        <f t="shared" si="1"/>
        <v>2141699.0080900006</v>
      </c>
      <c r="AA38" s="439">
        <f t="shared" si="1"/>
        <v>2443165.8250790006</v>
      </c>
      <c r="AB38" s="378"/>
    </row>
    <row r="39" spans="1:34" s="62" customFormat="1" ht="15" customHeight="1" x14ac:dyDescent="0.3">
      <c r="A39" s="740" t="s">
        <v>312</v>
      </c>
      <c r="B39" s="379">
        <f>+B38/B93</f>
        <v>6.9648835626873531E-3</v>
      </c>
      <c r="C39" s="379">
        <f>+C38/C93</f>
        <v>9.0678370383827957E-3</v>
      </c>
      <c r="D39" s="379">
        <f>+D38/D93</f>
        <v>8.6357800086896488E-3</v>
      </c>
      <c r="E39" s="379">
        <f>+E38/E93</f>
        <v>7.1957735899296953E-3</v>
      </c>
      <c r="F39" s="379">
        <f>+F38/F93</f>
        <v>9.0567285422343321E-3</v>
      </c>
      <c r="G39" s="379">
        <f>+G38/G93</f>
        <v>1.0151090702583918E-2</v>
      </c>
      <c r="H39" s="379">
        <f>+H38/H93</f>
        <v>9.9822850757797076E-3</v>
      </c>
      <c r="I39" s="379">
        <f>+I38/I93</f>
        <v>9.5271756298429995E-3</v>
      </c>
      <c r="J39" s="379">
        <f>+J38/J93</f>
        <v>9.3205675157911339E-3</v>
      </c>
      <c r="K39" s="379">
        <f>+K38/K93</f>
        <v>9.5854198927770706E-3</v>
      </c>
      <c r="L39" s="379">
        <f>+L38/L93</f>
        <v>9.6759467247949805E-3</v>
      </c>
      <c r="M39" s="379">
        <f>+M38/M93</f>
        <v>1.0103623972143439E-2</v>
      </c>
      <c r="N39" s="379">
        <f>+N38/N93</f>
        <v>2.7759986828913692E-2</v>
      </c>
      <c r="O39" s="379">
        <f>+O38/O93</f>
        <v>2.9406205373368726E-2</v>
      </c>
      <c r="P39" s="379">
        <f>+P38/P93</f>
        <v>2.9938422030692097E-2</v>
      </c>
      <c r="Q39" s="379">
        <f>+Q38/Q93</f>
        <v>4.5887869855987626E-2</v>
      </c>
      <c r="R39" s="379">
        <f>+R38/R93</f>
        <v>4.696176643758438E-2</v>
      </c>
      <c r="S39" s="379">
        <f>+S38/S93</f>
        <v>4.1049192624856741E-2</v>
      </c>
      <c r="T39" s="379">
        <f>+T38/T93</f>
        <v>4.8866850063269227E-2</v>
      </c>
      <c r="U39" s="379">
        <f>+U38/U93</f>
        <v>5.4683835953692909E-2</v>
      </c>
      <c r="V39" s="440">
        <f>+V38/V93</f>
        <v>6.0854773886302331E-2</v>
      </c>
      <c r="W39" s="440">
        <f>+W38/W93</f>
        <v>6.400965327698814E-2</v>
      </c>
      <c r="X39" s="440">
        <f>+X38/X93</f>
        <v>6.3182102676863763E-2</v>
      </c>
      <c r="Y39" s="440">
        <f>+Y38/Y93</f>
        <v>6.5330466774424098E-2</v>
      </c>
      <c r="Z39" s="440">
        <f>+Z38/Z93</f>
        <v>6.5187326139854326E-2</v>
      </c>
      <c r="AA39" s="441">
        <f>+AA38/AA93</f>
        <v>6.6339451971010238E-2</v>
      </c>
      <c r="AB39" s="61"/>
      <c r="AC39" s="61"/>
    </row>
    <row r="40" spans="1:34" s="62" customFormat="1" ht="15" customHeight="1" x14ac:dyDescent="0.3">
      <c r="A40" s="740" t="s">
        <v>271</v>
      </c>
      <c r="B40" s="379">
        <f>+B38/B94</f>
        <v>1.1387606077335046E-2</v>
      </c>
      <c r="C40" s="379">
        <f>+C38/C94</f>
        <v>1.5014843544207799E-2</v>
      </c>
      <c r="D40" s="379">
        <f>+D38/D94</f>
        <v>1.4029682719451391E-2</v>
      </c>
      <c r="E40" s="379">
        <f>+E38/E94</f>
        <v>1.1411944019750665E-2</v>
      </c>
      <c r="F40" s="379">
        <f>+F38/F94</f>
        <v>1.4160341979538138E-2</v>
      </c>
      <c r="G40" s="379">
        <f>+G38/G94</f>
        <v>1.5540168738547567E-2</v>
      </c>
      <c r="H40" s="379">
        <f>+H38/H94</f>
        <v>1.512874399472788E-2</v>
      </c>
      <c r="I40" s="379">
        <f>+I38/I94</f>
        <v>1.4519665398992994E-2</v>
      </c>
      <c r="J40" s="379">
        <f>+J38/J94</f>
        <v>1.418173540041979E-2</v>
      </c>
      <c r="K40" s="379">
        <f>+K38/K94</f>
        <v>1.4165810247989437E-2</v>
      </c>
      <c r="L40" s="379">
        <f>+L38/L94</f>
        <v>1.4097193997234104E-2</v>
      </c>
      <c r="M40" s="379">
        <f>+M38/M94</f>
        <v>1.4820456702645523E-2</v>
      </c>
      <c r="N40" s="379">
        <f>+N38/N94</f>
        <v>4.0875911114182768E-2</v>
      </c>
      <c r="O40" s="379">
        <f>+O38/O94</f>
        <v>4.3076341683781355E-2</v>
      </c>
      <c r="P40" s="379">
        <f>+P38/P94</f>
        <v>4.4198447712971219E-2</v>
      </c>
      <c r="Q40" s="379">
        <f>+Q38/Q94</f>
        <v>6.87047709704076E-2</v>
      </c>
      <c r="R40" s="379">
        <f>+R38/R94</f>
        <v>7.0487957655813713E-2</v>
      </c>
      <c r="S40" s="379">
        <f>+S38/S94</f>
        <v>6.2225958229752999E-2</v>
      </c>
      <c r="T40" s="379">
        <f>+T38/T94</f>
        <v>7.3366495873205304E-2</v>
      </c>
      <c r="U40" s="379">
        <f>+U38/U94</f>
        <v>8.1178664531476374E-2</v>
      </c>
      <c r="V40" s="440">
        <f>+V38/V94</f>
        <v>8.8148569705152002E-2</v>
      </c>
      <c r="W40" s="440">
        <f>+W38/W94</f>
        <v>9.1202728892030113E-2</v>
      </c>
      <c r="X40" s="440">
        <f>+X38/X94</f>
        <v>9.0085407826569902E-2</v>
      </c>
      <c r="Y40" s="440">
        <f>+Y38/Y94</f>
        <v>9.2240013055118877E-2</v>
      </c>
      <c r="Z40" s="440">
        <f>+Z38/Z94</f>
        <v>9.403477927374225E-2</v>
      </c>
      <c r="AA40" s="441">
        <f>+AA38/AA94</f>
        <v>9.8711887347277455E-2</v>
      </c>
      <c r="AB40" s="61"/>
      <c r="AC40" s="61"/>
    </row>
    <row r="41" spans="1:34" s="62" customFormat="1" ht="15" customHeight="1" x14ac:dyDescent="0.3">
      <c r="A41" s="740" t="s">
        <v>309</v>
      </c>
      <c r="B41" s="379">
        <f>+B38/B95</f>
        <v>1.3402477520455967E-3</v>
      </c>
      <c r="C41" s="379">
        <f>+C38/C95</f>
        <v>1.7981220248447457E-3</v>
      </c>
      <c r="D41" s="379">
        <f>+D38/D95</f>
        <v>1.7006859544916649E-3</v>
      </c>
      <c r="E41" s="379">
        <f>+E38/E95</f>
        <v>1.4295462857643309E-3</v>
      </c>
      <c r="F41" s="379">
        <f>+F38/F95</f>
        <v>1.74504054531104E-3</v>
      </c>
      <c r="G41" s="379">
        <f>+G38/G95</f>
        <v>1.8340162620385844E-3</v>
      </c>
      <c r="H41" s="379">
        <f>+H38/H95</f>
        <v>1.9044056477396296E-3</v>
      </c>
      <c r="I41" s="379">
        <f>+I38/I95</f>
        <v>1.8481194493733012E-3</v>
      </c>
      <c r="J41" s="379">
        <f>+J38/J95</f>
        <v>1.9316406257290403E-3</v>
      </c>
      <c r="K41" s="379">
        <f>+K38/K95</f>
        <v>2.1114373891798618E-3</v>
      </c>
      <c r="L41" s="379">
        <f>+L38/L95</f>
        <v>2.0417314128063583E-3</v>
      </c>
      <c r="M41" s="379">
        <f>+M38/M95</f>
        <v>2.1759388873270214E-3</v>
      </c>
      <c r="N41" s="379">
        <f>+N38/N95</f>
        <v>5.9828051551364999E-3</v>
      </c>
      <c r="O41" s="379">
        <f>+O38/O95</f>
        <v>6.0749566230733189E-3</v>
      </c>
      <c r="P41" s="379">
        <f>+P38/P95</f>
        <v>5.7454880120305259E-3</v>
      </c>
      <c r="Q41" s="379">
        <f>+Q38/Q95</f>
        <v>8.5012716047007213E-3</v>
      </c>
      <c r="R41" s="379">
        <f>+R38/R95</f>
        <v>8.059098137007786E-3</v>
      </c>
      <c r="S41" s="379">
        <f>+S38/S95</f>
        <v>7.2694249912499736E-3</v>
      </c>
      <c r="T41" s="379">
        <f>+T38/T95</f>
        <v>9.8390795475189387E-3</v>
      </c>
      <c r="U41" s="379">
        <f>+U38/U95</f>
        <v>1.267544762319067E-2</v>
      </c>
      <c r="V41" s="440">
        <f>+V38/V95</f>
        <v>1.3307766887944534E-2</v>
      </c>
      <c r="W41" s="440">
        <f>+W38/W95</f>
        <v>1.3224249880716342E-2</v>
      </c>
      <c r="X41" s="440">
        <f>+X38/X95</f>
        <v>1.3669309954742463E-2</v>
      </c>
      <c r="Y41" s="440">
        <f>+Y38/Y95</f>
        <v>1.4071589198100457E-2</v>
      </c>
      <c r="Z41" s="440">
        <f>+Z38/Z95</f>
        <v>1.4513291742547308E-2</v>
      </c>
      <c r="AA41" s="441">
        <f>+AA38/AA95</f>
        <v>1.5548603601756715E-2</v>
      </c>
      <c r="AB41" s="61"/>
      <c r="AC41" s="61"/>
    </row>
    <row r="42" spans="1:34" s="62" customFormat="1" ht="15" customHeight="1" x14ac:dyDescent="0.3">
      <c r="A42" s="740" t="s">
        <v>310</v>
      </c>
      <c r="B42" s="442">
        <f>+B38/B96</f>
        <v>5.249950281145283E-3</v>
      </c>
      <c r="C42" s="442">
        <f>+C38/C96</f>
        <v>9.2801482683986906E-3</v>
      </c>
      <c r="D42" s="442">
        <f>+D38/D96</f>
        <v>1.0807508864474118E-2</v>
      </c>
      <c r="E42" s="442">
        <f>+E38/E96</f>
        <v>1.0340100219992449E-2</v>
      </c>
      <c r="F42" s="442">
        <f>+F38/F96</f>
        <v>1.5389027075623543E-2</v>
      </c>
      <c r="G42" s="442">
        <f>+G38/G96</f>
        <v>1.9670169657765933E-2</v>
      </c>
      <c r="H42" s="442">
        <f>+H38/H96</f>
        <v>2.2245813962860687E-2</v>
      </c>
      <c r="I42" s="442">
        <f>+I38/I96</f>
        <v>2.4054968365820106E-2</v>
      </c>
      <c r="J42" s="442">
        <f>+J38/J96</f>
        <v>2.5633495750509622E-2</v>
      </c>
      <c r="K42" s="442">
        <f>+K38/K96</f>
        <v>2.8670796324133007E-2</v>
      </c>
      <c r="L42" s="442">
        <f>+L38/L96</f>
        <v>3.1288475130557873E-2</v>
      </c>
      <c r="M42" s="442">
        <f>+M38/M96</f>
        <v>3.4986941003725257E-2</v>
      </c>
      <c r="N42" s="442">
        <f>+N38/N96</f>
        <v>9.9391450776027665E-2</v>
      </c>
      <c r="O42" s="442">
        <f>+O38/O96</f>
        <v>0.10729844342515488</v>
      </c>
      <c r="P42" s="442">
        <f>+P38/P96</f>
        <v>0.10985519093807934</v>
      </c>
      <c r="Q42" s="442">
        <f>+Q38/Q96</f>
        <v>0.19573375568761117</v>
      </c>
      <c r="R42" s="442">
        <f>+R38/R96</f>
        <v>0.22460616127617125</v>
      </c>
      <c r="S42" s="442">
        <f>+S38/S96</f>
        <v>0.23637298547027566</v>
      </c>
      <c r="T42" s="442">
        <f>+T38/T96</f>
        <v>0.34670591825601421</v>
      </c>
      <c r="U42" s="442">
        <f>+U38/U96</f>
        <v>0.46633358646504103</v>
      </c>
      <c r="V42" s="443">
        <f>+V38/V96</f>
        <v>0.49542721427467629</v>
      </c>
      <c r="W42" s="443">
        <f>+W38/W96</f>
        <v>0.54396175456060714</v>
      </c>
      <c r="X42" s="443">
        <f>+X38/X96</f>
        <v>0.614410124943786</v>
      </c>
      <c r="Y42" s="443">
        <f>+Y38/Y96</f>
        <v>0.66061617623783364</v>
      </c>
      <c r="Z42" s="443">
        <f>+Z38/Z96</f>
        <v>0.73613698852499376</v>
      </c>
      <c r="AA42" s="444">
        <f>+AA38/AA96</f>
        <v>0.82149346270419277</v>
      </c>
      <c r="AB42" s="61"/>
      <c r="AC42" s="61"/>
    </row>
    <row r="43" spans="1:34" s="62" customFormat="1" ht="15" customHeight="1" x14ac:dyDescent="0.3">
      <c r="A43" s="740" t="s">
        <v>311</v>
      </c>
      <c r="B43" s="379">
        <f>+B42/B97</f>
        <v>1.6826763721619498E-2</v>
      </c>
      <c r="C43" s="379">
        <f>+C42/C97</f>
        <v>2.3434717849491641E-2</v>
      </c>
      <c r="D43" s="379">
        <f>+D42/D97</f>
        <v>2.3332273023476076E-2</v>
      </c>
      <c r="E43" s="379">
        <f>+E42/E97</f>
        <v>1.8732065615928349E-2</v>
      </c>
      <c r="F43" s="379">
        <f>+F42/F97</f>
        <v>2.4590966883386932E-2</v>
      </c>
      <c r="G43" s="379">
        <f>+G42/G97</f>
        <v>2.7829894818570931E-2</v>
      </c>
      <c r="H43" s="379">
        <f>+H42/H97</f>
        <v>2.8302562293715885E-2</v>
      </c>
      <c r="I43" s="379">
        <f>+I42/I97</f>
        <v>2.8075359904085093E-2</v>
      </c>
      <c r="J43" s="379">
        <f>+J42/J97</f>
        <v>2.6535709886655923E-2</v>
      </c>
      <c r="K43" s="379">
        <f>+K42/K97</f>
        <v>2.640036493934899E-2</v>
      </c>
      <c r="L43" s="379">
        <f>+L42/L97</f>
        <v>2.6073729275464894E-2</v>
      </c>
      <c r="M43" s="379">
        <f>+M42/M97</f>
        <v>2.7635814378929903E-2</v>
      </c>
      <c r="N43" s="379">
        <f>+N42/N97</f>
        <v>7.4484000881315696E-2</v>
      </c>
      <c r="O43" s="379">
        <f>+O42/O97</f>
        <v>7.7316831697013699E-2</v>
      </c>
      <c r="P43" s="379">
        <f>+P42/P97</f>
        <v>7.6288327040332879E-2</v>
      </c>
      <c r="Q43" s="379">
        <f>+Q42/Q97</f>
        <v>0.12793055927294847</v>
      </c>
      <c r="R43" s="379">
        <f>+R42/R97</f>
        <v>0.13864577856553781</v>
      </c>
      <c r="S43" s="379">
        <f>+S42/S97</f>
        <v>0.13678992214715027</v>
      </c>
      <c r="T43" s="379">
        <f>+T42/T97</f>
        <v>0.18171169719916888</v>
      </c>
      <c r="U43" s="379">
        <f>+U42/U97</f>
        <v>0.23552201336618234</v>
      </c>
      <c r="V43" s="445">
        <f>+V42/V97</f>
        <v>0.2400325650555602</v>
      </c>
      <c r="W43" s="445">
        <f>+W42/W97</f>
        <v>0.24906673743617541</v>
      </c>
      <c r="X43" s="445">
        <f>+X42/X97</f>
        <v>0.26528934583065028</v>
      </c>
      <c r="Y43" s="445">
        <f>+Y42/Y97</f>
        <v>0.26214927628485463</v>
      </c>
      <c r="Z43" s="445">
        <f>+Z42/Z97</f>
        <v>0.272643329083331</v>
      </c>
      <c r="AA43" s="446">
        <f>+AA42/AA97</f>
        <v>0.2840572139364429</v>
      </c>
      <c r="AB43" s="61"/>
      <c r="AC43" s="61"/>
    </row>
    <row r="44" spans="1:34" s="62" customFormat="1" ht="15" customHeight="1" thickBot="1" x14ac:dyDescent="0.35">
      <c r="A44" s="130" t="s">
        <v>602</v>
      </c>
      <c r="B44" s="380">
        <f>+B42/B99</f>
        <v>6.3647984662694923E-3</v>
      </c>
      <c r="C44" s="380">
        <f>+C42/C99</f>
        <v>8.8953210282651379E-3</v>
      </c>
      <c r="D44" s="380">
        <f>+D42/D99</f>
        <v>7.5666711350978067E-3</v>
      </c>
      <c r="E44" s="380">
        <f>+E42/E99</f>
        <v>5.9461785769017736E-3</v>
      </c>
      <c r="F44" s="380">
        <f>+F42/F99</f>
        <v>8.3737084696991343E-3</v>
      </c>
      <c r="G44" s="380">
        <f>+G42/G99</f>
        <v>9.3251345941950444E-3</v>
      </c>
      <c r="H44" s="380">
        <f>+H42/H99</f>
        <v>9.8113008815829336E-3</v>
      </c>
      <c r="I44" s="380">
        <f>+I42/I99</f>
        <v>9.551029149937872E-3</v>
      </c>
      <c r="J44" s="380">
        <f>+J42/J99</f>
        <v>9.4785877783470484E-3</v>
      </c>
      <c r="K44" s="380">
        <f>+K42/K99</f>
        <v>1.0207941033031298E-2</v>
      </c>
      <c r="L44" s="380">
        <f>+L42/L99</f>
        <v>1.1456293397621798E-2</v>
      </c>
      <c r="M44" s="380">
        <f>+M42/M99</f>
        <v>1.2343080028266422E-2</v>
      </c>
      <c r="N44" s="380">
        <f>+N42/N99</f>
        <v>3.43715442422102E-2</v>
      </c>
      <c r="O44" s="380">
        <f>+O42/O99</f>
        <v>3.6093943452244939E-2</v>
      </c>
      <c r="P44" s="380">
        <f>+P42/P99</f>
        <v>3.4302134850927778E-2</v>
      </c>
      <c r="Q44" s="380">
        <f>+Q42/Q99</f>
        <v>6.002093276086324E-2</v>
      </c>
      <c r="R44" s="380">
        <f>+R42/R99</f>
        <v>6.5934612741463366E-2</v>
      </c>
      <c r="S44" s="380">
        <f>+S42/S99</f>
        <v>6.4075758331500518E-2</v>
      </c>
      <c r="T44" s="380">
        <f>+T42/T99</f>
        <v>8.6119966987600396E-2</v>
      </c>
      <c r="U44" s="380">
        <f>+U42/U99</f>
        <v>0.11243356025068491</v>
      </c>
      <c r="V44" s="447">
        <f>+V42/V99</f>
        <v>0.16534926330058497</v>
      </c>
      <c r="W44" s="447">
        <f>+W42/W99</f>
        <v>0.13788511804723888</v>
      </c>
      <c r="X44" s="447">
        <f>+X42/X99</f>
        <v>0.17727390347203617</v>
      </c>
      <c r="Y44" s="447">
        <f>+Y42/Y99</f>
        <v>0.22766836095126017</v>
      </c>
      <c r="Z44" s="447">
        <f>+Z42/Z99</f>
        <v>0.18265330280869452</v>
      </c>
      <c r="AA44" s="448">
        <f>+AA42/AA99</f>
        <v>0.19086389075529872</v>
      </c>
      <c r="AB44" s="61"/>
      <c r="AC44" s="61"/>
    </row>
    <row r="45" spans="1:34" ht="15" customHeight="1" x14ac:dyDescent="0.3">
      <c r="B45" s="386"/>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row>
    <row r="46" spans="1:34" ht="15" customHeight="1" x14ac:dyDescent="0.3">
      <c r="A46" s="347"/>
      <c r="B46" s="347"/>
      <c r="C46" s="347"/>
      <c r="D46" s="347"/>
      <c r="E46" s="347"/>
      <c r="F46" s="347"/>
      <c r="G46" s="347"/>
      <c r="H46" s="386"/>
      <c r="I46" s="386"/>
      <c r="J46" s="386"/>
      <c r="K46" s="344"/>
      <c r="L46" s="386"/>
      <c r="M46" s="386"/>
      <c r="N46" s="386"/>
      <c r="O46" s="386"/>
      <c r="P46" s="386"/>
      <c r="Q46" s="386"/>
      <c r="R46" s="386"/>
      <c r="S46" s="386"/>
      <c r="T46" s="386"/>
      <c r="U46" s="386"/>
      <c r="V46" s="386"/>
      <c r="W46" s="344"/>
      <c r="X46" s="386"/>
      <c r="Y46" s="386"/>
      <c r="Z46" s="386"/>
      <c r="AA46" s="386"/>
    </row>
    <row r="47" spans="1:34" ht="19.95" customHeight="1" thickBot="1" x14ac:dyDescent="0.35">
      <c r="A47" s="718" t="s">
        <v>424</v>
      </c>
      <c r="B47" s="351"/>
      <c r="C47" s="351"/>
      <c r="D47" s="351"/>
      <c r="E47" s="351"/>
      <c r="F47" s="351"/>
      <c r="G47" s="351"/>
      <c r="H47" s="386"/>
      <c r="I47" s="386"/>
      <c r="J47" s="386"/>
      <c r="K47" s="344"/>
      <c r="L47" s="386"/>
      <c r="M47" s="386"/>
      <c r="N47" s="386"/>
      <c r="O47" s="386"/>
      <c r="P47" s="386"/>
      <c r="Q47" s="386"/>
      <c r="R47" s="386"/>
      <c r="S47" s="386"/>
      <c r="T47" s="386"/>
      <c r="U47" s="386"/>
      <c r="V47" s="387"/>
      <c r="W47" s="344"/>
      <c r="X47" s="386"/>
      <c r="Y47" s="386"/>
      <c r="Z47" s="386"/>
      <c r="AA47" s="386"/>
    </row>
    <row r="48" spans="1:34" s="358" customFormat="1" ht="25.05" customHeight="1" thickBot="1" x14ac:dyDescent="0.35">
      <c r="A48" s="353" t="s">
        <v>482</v>
      </c>
      <c r="B48" s="107">
        <v>1990</v>
      </c>
      <c r="C48" s="107">
        <v>1991</v>
      </c>
      <c r="D48" s="107">
        <v>1992</v>
      </c>
      <c r="E48" s="107">
        <v>1993</v>
      </c>
      <c r="F48" s="107">
        <v>1994</v>
      </c>
      <c r="G48" s="107">
        <v>1995</v>
      </c>
      <c r="H48" s="107">
        <v>1996</v>
      </c>
      <c r="I48" s="107">
        <v>1997</v>
      </c>
      <c r="J48" s="107">
        <v>1998</v>
      </c>
      <c r="K48" s="107">
        <v>1999</v>
      </c>
      <c r="L48" s="107">
        <v>2000</v>
      </c>
      <c r="M48" s="107">
        <v>2001</v>
      </c>
      <c r="N48" s="107">
        <v>2002</v>
      </c>
      <c r="O48" s="107">
        <v>2003</v>
      </c>
      <c r="P48" s="107">
        <v>2004</v>
      </c>
      <c r="Q48" s="107">
        <v>2005</v>
      </c>
      <c r="R48" s="107">
        <v>2006</v>
      </c>
      <c r="S48" s="107">
        <v>2007</v>
      </c>
      <c r="T48" s="107">
        <v>2008</v>
      </c>
      <c r="U48" s="107">
        <v>2009</v>
      </c>
      <c r="V48" s="107">
        <v>2010</v>
      </c>
      <c r="W48" s="107">
        <v>2011</v>
      </c>
      <c r="X48" s="107">
        <v>2012</v>
      </c>
      <c r="Y48" s="107">
        <v>2013</v>
      </c>
      <c r="Z48" s="107">
        <v>2014</v>
      </c>
      <c r="AA48" s="108">
        <v>2015</v>
      </c>
      <c r="AB48" s="357"/>
      <c r="AC48" s="357"/>
    </row>
    <row r="49" spans="1:27" ht="4.95" customHeight="1" x14ac:dyDescent="0.3">
      <c r="A49" s="340"/>
      <c r="B49" s="385"/>
      <c r="C49" s="385"/>
      <c r="D49" s="385"/>
      <c r="E49" s="385"/>
      <c r="F49" s="385"/>
      <c r="G49" s="385"/>
      <c r="H49" s="385"/>
      <c r="I49" s="385"/>
      <c r="J49" s="385"/>
      <c r="K49" s="385"/>
      <c r="L49" s="385"/>
      <c r="M49" s="385"/>
      <c r="N49" s="385"/>
      <c r="O49" s="385"/>
      <c r="P49" s="385"/>
      <c r="Q49" s="385"/>
      <c r="R49" s="385"/>
      <c r="S49" s="385"/>
      <c r="T49" s="385"/>
      <c r="U49" s="385"/>
      <c r="V49" s="346"/>
      <c r="W49" s="346"/>
      <c r="X49" s="346"/>
      <c r="Y49" s="346"/>
      <c r="Z49" s="346"/>
      <c r="AA49" s="350"/>
    </row>
    <row r="50" spans="1:27" ht="15" customHeight="1" x14ac:dyDescent="0.3">
      <c r="A50" s="168" t="s">
        <v>261</v>
      </c>
      <c r="B50" s="384"/>
      <c r="C50" s="384"/>
      <c r="D50" s="384"/>
      <c r="E50" s="384"/>
      <c r="F50" s="384"/>
      <c r="G50" s="384"/>
      <c r="H50" s="384"/>
      <c r="I50" s="384"/>
      <c r="J50" s="384"/>
      <c r="K50" s="384"/>
      <c r="L50" s="384"/>
      <c r="M50" s="384"/>
      <c r="N50" s="384"/>
      <c r="O50" s="384"/>
      <c r="P50" s="384"/>
      <c r="Q50" s="384"/>
      <c r="R50" s="384"/>
      <c r="S50" s="384"/>
      <c r="T50" s="384"/>
      <c r="U50" s="384"/>
      <c r="V50" s="376"/>
      <c r="W50" s="376"/>
      <c r="X50" s="376"/>
      <c r="Y50" s="376"/>
      <c r="Z50" s="376"/>
      <c r="AA50" s="377"/>
    </row>
    <row r="51" spans="1:27" ht="15" customHeight="1" x14ac:dyDescent="0.3">
      <c r="A51" s="340" t="s">
        <v>23</v>
      </c>
      <c r="B51" s="423">
        <v>2832</v>
      </c>
      <c r="C51" s="423">
        <v>3785</v>
      </c>
      <c r="D51" s="423">
        <v>4208</v>
      </c>
      <c r="E51" s="423">
        <v>5056</v>
      </c>
      <c r="F51" s="423">
        <v>5571</v>
      </c>
      <c r="G51" s="423">
        <v>6533</v>
      </c>
      <c r="H51" s="423">
        <v>6616</v>
      </c>
      <c r="I51" s="423">
        <v>6686</v>
      </c>
      <c r="J51" s="423">
        <v>6638</v>
      </c>
      <c r="K51" s="423">
        <v>7940</v>
      </c>
      <c r="L51" s="423">
        <v>6575</v>
      </c>
      <c r="M51" s="423">
        <v>7198</v>
      </c>
      <c r="N51" s="423">
        <v>6601</v>
      </c>
      <c r="O51" s="423">
        <v>6626</v>
      </c>
      <c r="P51" s="423">
        <v>6786</v>
      </c>
      <c r="Q51" s="423">
        <v>197303</v>
      </c>
      <c r="R51" s="423">
        <v>218612</v>
      </c>
      <c r="S51" s="423">
        <v>273600</v>
      </c>
      <c r="T51" s="423">
        <v>319881</v>
      </c>
      <c r="U51" s="423" t="s">
        <v>24</v>
      </c>
      <c r="V51" s="424"/>
      <c r="W51" s="424"/>
      <c r="X51" s="424"/>
      <c r="Y51" s="424"/>
      <c r="Z51" s="424"/>
      <c r="AA51" s="425"/>
    </row>
    <row r="52" spans="1:27" ht="15" customHeight="1" x14ac:dyDescent="0.3">
      <c r="A52" s="340" t="s">
        <v>25</v>
      </c>
      <c r="B52" s="423" t="s">
        <v>24</v>
      </c>
      <c r="C52" s="423" t="s">
        <v>24</v>
      </c>
      <c r="D52" s="423" t="s">
        <v>24</v>
      </c>
      <c r="E52" s="423" t="s">
        <v>24</v>
      </c>
      <c r="F52" s="423" t="s">
        <v>24</v>
      </c>
      <c r="G52" s="423" t="s">
        <v>24</v>
      </c>
      <c r="H52" s="423" t="s">
        <v>24</v>
      </c>
      <c r="I52" s="423" t="s">
        <v>24</v>
      </c>
      <c r="J52" s="423" t="s">
        <v>24</v>
      </c>
      <c r="K52" s="423" t="s">
        <v>24</v>
      </c>
      <c r="L52" s="423" t="s">
        <v>24</v>
      </c>
      <c r="M52" s="423" t="s">
        <v>24</v>
      </c>
      <c r="N52" s="423" t="s">
        <v>24</v>
      </c>
      <c r="O52" s="423" t="s">
        <v>24</v>
      </c>
      <c r="P52" s="423" t="s">
        <v>24</v>
      </c>
      <c r="Q52" s="423" t="s">
        <v>24</v>
      </c>
      <c r="R52" s="423" t="s">
        <v>24</v>
      </c>
      <c r="S52" s="423" t="s">
        <v>24</v>
      </c>
      <c r="T52" s="423" t="s">
        <v>24</v>
      </c>
      <c r="U52" s="423">
        <v>24029</v>
      </c>
      <c r="V52" s="426">
        <v>65768.061000000002</v>
      </c>
      <c r="W52" s="426">
        <v>110751.59299999999</v>
      </c>
      <c r="X52" s="426">
        <v>174734.193</v>
      </c>
      <c r="Y52" s="426">
        <v>227091.30799999999</v>
      </c>
      <c r="Z52" s="426">
        <v>290196.859</v>
      </c>
      <c r="AA52" s="427">
        <v>352449.20600000001</v>
      </c>
    </row>
    <row r="53" spans="1:27" ht="15" customHeight="1" x14ac:dyDescent="0.3">
      <c r="A53" s="340" t="s">
        <v>26</v>
      </c>
      <c r="B53" s="423" t="s">
        <v>24</v>
      </c>
      <c r="C53" s="423" t="s">
        <v>24</v>
      </c>
      <c r="D53" s="423" t="s">
        <v>24</v>
      </c>
      <c r="E53" s="423" t="s">
        <v>24</v>
      </c>
      <c r="F53" s="423" t="s">
        <v>24</v>
      </c>
      <c r="G53" s="423" t="s">
        <v>24</v>
      </c>
      <c r="H53" s="423" t="s">
        <v>24</v>
      </c>
      <c r="I53" s="423" t="s">
        <v>24</v>
      </c>
      <c r="J53" s="423" t="s">
        <v>24</v>
      </c>
      <c r="K53" s="423" t="s">
        <v>24</v>
      </c>
      <c r="L53" s="423" t="s">
        <v>24</v>
      </c>
      <c r="M53" s="423" t="s">
        <v>24</v>
      </c>
      <c r="N53" s="423" t="s">
        <v>24</v>
      </c>
      <c r="O53" s="423" t="s">
        <v>24</v>
      </c>
      <c r="P53" s="423" t="s">
        <v>24</v>
      </c>
      <c r="Q53" s="423" t="s">
        <v>24</v>
      </c>
      <c r="R53" s="423" t="s">
        <v>24</v>
      </c>
      <c r="S53" s="423" t="s">
        <v>24</v>
      </c>
      <c r="T53" s="423" t="s">
        <v>24</v>
      </c>
      <c r="U53" s="423">
        <v>334742</v>
      </c>
      <c r="V53" s="426">
        <v>400403.03600000002</v>
      </c>
      <c r="W53" s="426">
        <v>412528.40299999999</v>
      </c>
      <c r="X53" s="426">
        <v>424675.95</v>
      </c>
      <c r="Y53" s="426">
        <v>431709.89</v>
      </c>
      <c r="Z53" s="426">
        <v>442277.03200000001</v>
      </c>
      <c r="AA53" s="427">
        <v>461226.16499999998</v>
      </c>
    </row>
    <row r="54" spans="1:27" ht="15" customHeight="1" x14ac:dyDescent="0.3">
      <c r="A54" s="340" t="s">
        <v>27</v>
      </c>
      <c r="B54" s="423" t="s">
        <v>24</v>
      </c>
      <c r="C54" s="423" t="s">
        <v>24</v>
      </c>
      <c r="D54" s="423" t="s">
        <v>24</v>
      </c>
      <c r="E54" s="423" t="s">
        <v>24</v>
      </c>
      <c r="F54" s="423" t="s">
        <v>24</v>
      </c>
      <c r="G54" s="423" t="s">
        <v>24</v>
      </c>
      <c r="H54" s="423" t="s">
        <v>24</v>
      </c>
      <c r="I54" s="423" t="s">
        <v>24</v>
      </c>
      <c r="J54" s="423" t="s">
        <v>24</v>
      </c>
      <c r="K54" s="423" t="s">
        <v>24</v>
      </c>
      <c r="L54" s="423" t="s">
        <v>24</v>
      </c>
      <c r="M54" s="423" t="s">
        <v>24</v>
      </c>
      <c r="N54" s="423" t="s">
        <v>24</v>
      </c>
      <c r="O54" s="423" t="s">
        <v>24</v>
      </c>
      <c r="P54" s="423" t="s">
        <v>24</v>
      </c>
      <c r="Q54" s="423" t="s">
        <v>24</v>
      </c>
      <c r="R54" s="423" t="s">
        <v>24</v>
      </c>
      <c r="S54" s="423" t="s">
        <v>24</v>
      </c>
      <c r="T54" s="423" t="s">
        <v>24</v>
      </c>
      <c r="U54" s="423">
        <v>172161</v>
      </c>
      <c r="V54" s="426">
        <v>209917.772</v>
      </c>
      <c r="W54" s="426">
        <v>211852.44099999999</v>
      </c>
      <c r="X54" s="426">
        <v>208953.364</v>
      </c>
      <c r="Y54" s="426">
        <v>199080.28</v>
      </c>
      <c r="Z54" s="426">
        <v>195395.924</v>
      </c>
      <c r="AA54" s="427">
        <v>200336.22099999999</v>
      </c>
    </row>
    <row r="55" spans="1:27" ht="15" customHeight="1" x14ac:dyDescent="0.3">
      <c r="A55" s="733" t="s">
        <v>262</v>
      </c>
      <c r="B55" s="428"/>
      <c r="C55" s="428"/>
      <c r="D55" s="428"/>
      <c r="E55" s="428"/>
      <c r="F55" s="428"/>
      <c r="G55" s="428"/>
      <c r="H55" s="428"/>
      <c r="I55" s="428"/>
      <c r="J55" s="428"/>
      <c r="K55" s="428"/>
      <c r="L55" s="428"/>
      <c r="M55" s="428"/>
      <c r="N55" s="428"/>
      <c r="O55" s="428"/>
      <c r="P55" s="428"/>
      <c r="Q55" s="428"/>
      <c r="R55" s="428"/>
      <c r="S55" s="428"/>
      <c r="T55" s="428"/>
      <c r="U55" s="428"/>
      <c r="V55" s="429"/>
      <c r="W55" s="429"/>
      <c r="X55" s="429"/>
      <c r="Y55" s="429"/>
      <c r="Z55" s="429"/>
      <c r="AA55" s="430"/>
    </row>
    <row r="56" spans="1:27" ht="15" customHeight="1" x14ac:dyDescent="0.3">
      <c r="A56" s="340" t="s">
        <v>28</v>
      </c>
      <c r="B56" s="423">
        <v>6150.7430999999997</v>
      </c>
      <c r="C56" s="423">
        <v>8401.0905000000002</v>
      </c>
      <c r="D56" s="423">
        <v>9520.7805000000008</v>
      </c>
      <c r="E56" s="423">
        <v>11798.751600000001</v>
      </c>
      <c r="F56" s="423">
        <v>15818.517</v>
      </c>
      <c r="G56" s="423">
        <v>19800.564750000001</v>
      </c>
      <c r="H56" s="423">
        <v>22739.873580000003</v>
      </c>
      <c r="I56" s="423">
        <v>24871.814370000004</v>
      </c>
      <c r="J56" s="423">
        <v>28284.139440000003</v>
      </c>
      <c r="K56" s="423">
        <v>34606.785060000002</v>
      </c>
      <c r="L56" s="423">
        <v>40942.818360000005</v>
      </c>
      <c r="M56" s="423">
        <v>45531.831510000004</v>
      </c>
      <c r="N56" s="423">
        <v>58459.170960000003</v>
      </c>
      <c r="O56" s="423">
        <v>66140.573220000006</v>
      </c>
      <c r="P56" s="423">
        <v>66632.981670000008</v>
      </c>
      <c r="Q56" s="423">
        <v>70835.747940000001</v>
      </c>
      <c r="R56" s="423">
        <v>67987.701000000001</v>
      </c>
      <c r="S56" s="423">
        <v>72190.962450000006</v>
      </c>
      <c r="T56" s="423">
        <v>79649.10603000001</v>
      </c>
      <c r="U56" s="423">
        <v>86052.545370000007</v>
      </c>
      <c r="V56" s="426">
        <v>84104.48453999999</v>
      </c>
      <c r="W56" s="426">
        <v>91163.661015000005</v>
      </c>
      <c r="X56" s="426">
        <v>99662.556779999999</v>
      </c>
      <c r="Y56" s="426">
        <v>111574.53702</v>
      </c>
      <c r="Z56" s="426">
        <v>119424.61792500001</v>
      </c>
      <c r="AA56" s="427">
        <v>123785.48232000001</v>
      </c>
    </row>
    <row r="57" spans="1:27" ht="15" customHeight="1" x14ac:dyDescent="0.3">
      <c r="A57" s="340" t="s">
        <v>29</v>
      </c>
      <c r="B57" s="423">
        <v>0</v>
      </c>
      <c r="C57" s="423">
        <v>0</v>
      </c>
      <c r="D57" s="423">
        <v>0</v>
      </c>
      <c r="E57" s="423">
        <v>0</v>
      </c>
      <c r="F57" s="423">
        <v>0</v>
      </c>
      <c r="G57" s="423">
        <v>0</v>
      </c>
      <c r="H57" s="423">
        <v>0</v>
      </c>
      <c r="I57" s="423">
        <v>0</v>
      </c>
      <c r="J57" s="423">
        <v>0</v>
      </c>
      <c r="K57" s="423">
        <v>0</v>
      </c>
      <c r="L57" s="423">
        <v>0</v>
      </c>
      <c r="M57" s="423">
        <v>0</v>
      </c>
      <c r="N57" s="423">
        <v>64755.076320000007</v>
      </c>
      <c r="O57" s="423">
        <v>79422.831450000012</v>
      </c>
      <c r="P57" s="423">
        <v>90780.414930000014</v>
      </c>
      <c r="Q57" s="423">
        <v>102588.28983000001</v>
      </c>
      <c r="R57" s="423">
        <v>133253.41914000001</v>
      </c>
      <c r="S57" s="423">
        <v>161121.86550000001</v>
      </c>
      <c r="T57" s="423">
        <v>175789.15569000001</v>
      </c>
      <c r="U57" s="423">
        <v>190328.22774</v>
      </c>
      <c r="V57" s="426">
        <v>194680.475985</v>
      </c>
      <c r="W57" s="426">
        <v>174372.73320000002</v>
      </c>
      <c r="X57" s="426">
        <v>276714.75424500002</v>
      </c>
      <c r="Y57" s="426">
        <v>317089.69984500005</v>
      </c>
      <c r="Z57" s="426">
        <v>356153.09170499997</v>
      </c>
      <c r="AA57" s="427">
        <v>379046.40240000002</v>
      </c>
    </row>
    <row r="58" spans="1:27" ht="15" customHeight="1" x14ac:dyDescent="0.3">
      <c r="A58" s="340" t="s">
        <v>30</v>
      </c>
      <c r="B58" s="423">
        <v>0</v>
      </c>
      <c r="C58" s="423">
        <v>0</v>
      </c>
      <c r="D58" s="423">
        <v>0</v>
      </c>
      <c r="E58" s="423">
        <v>0</v>
      </c>
      <c r="F58" s="423">
        <v>0</v>
      </c>
      <c r="G58" s="423">
        <v>0</v>
      </c>
      <c r="H58" s="423">
        <v>0</v>
      </c>
      <c r="I58" s="423">
        <v>0</v>
      </c>
      <c r="J58" s="423">
        <v>0</v>
      </c>
      <c r="K58" s="423">
        <v>0</v>
      </c>
      <c r="L58" s="423">
        <v>0</v>
      </c>
      <c r="M58" s="423">
        <v>0</v>
      </c>
      <c r="N58" s="423">
        <v>106564.13163</v>
      </c>
      <c r="O58" s="423">
        <v>104222.64762</v>
      </c>
      <c r="P58" s="423">
        <v>108874.02942000001</v>
      </c>
      <c r="Q58" s="423">
        <v>116807.82525000001</v>
      </c>
      <c r="R58" s="423">
        <v>130048.74837000002</v>
      </c>
      <c r="S58" s="423">
        <v>13.98933261</v>
      </c>
      <c r="T58" s="423">
        <v>165218.86575</v>
      </c>
      <c r="U58" s="423">
        <v>204541.52508000002</v>
      </c>
      <c r="V58" s="426">
        <v>277078.16265000001</v>
      </c>
      <c r="W58" s="426">
        <v>325030.47787499998</v>
      </c>
      <c r="X58" s="426">
        <v>267743.48169000004</v>
      </c>
      <c r="Y58" s="426">
        <v>315598.66563</v>
      </c>
      <c r="Z58" s="426">
        <v>370322.98193999997</v>
      </c>
      <c r="AA58" s="427">
        <v>473571.77304000006</v>
      </c>
    </row>
    <row r="59" spans="1:27" ht="15" customHeight="1" x14ac:dyDescent="0.3">
      <c r="A59" s="340" t="s">
        <v>31</v>
      </c>
      <c r="B59" s="423">
        <v>3469.23</v>
      </c>
      <c r="C59" s="423">
        <v>5105.43</v>
      </c>
      <c r="D59" s="423">
        <v>6561.5400000000009</v>
      </c>
      <c r="E59" s="423">
        <v>7528.4100000000008</v>
      </c>
      <c r="F59" s="423">
        <v>10049.67</v>
      </c>
      <c r="G59" s="423">
        <v>12985.92</v>
      </c>
      <c r="H59" s="423">
        <v>16538.850000000002</v>
      </c>
      <c r="I59" s="423">
        <v>18035.460000000003</v>
      </c>
      <c r="J59" s="423">
        <v>22321.170000000002</v>
      </c>
      <c r="K59" s="423">
        <v>25742.070000000003</v>
      </c>
      <c r="L59" s="423">
        <v>33014.169016077067</v>
      </c>
      <c r="M59" s="423">
        <v>38992.808577057796</v>
      </c>
      <c r="N59" s="423">
        <v>44531.855190000002</v>
      </c>
      <c r="O59" s="423">
        <v>54537.70824</v>
      </c>
      <c r="P59" s="423">
        <v>63026.357580000004</v>
      </c>
      <c r="Q59" s="423">
        <v>75664.324800000002</v>
      </c>
      <c r="R59" s="423">
        <v>88314.539220000006</v>
      </c>
      <c r="S59" s="423">
        <v>107885.78811000001</v>
      </c>
      <c r="T59" s="423">
        <v>125142.70959000001</v>
      </c>
      <c r="U59" s="423">
        <v>149645.76849000002</v>
      </c>
      <c r="V59" s="426">
        <v>173740.33957500002</v>
      </c>
      <c r="W59" s="426">
        <v>199605.10891500002</v>
      </c>
      <c r="X59" s="426">
        <v>231585.86531999998</v>
      </c>
      <c r="Y59" s="426">
        <v>254685.00972</v>
      </c>
      <c r="Z59" s="426">
        <v>285029.20494000003</v>
      </c>
      <c r="AA59" s="427">
        <v>319880.65342500003</v>
      </c>
    </row>
    <row r="60" spans="1:27" ht="15" customHeight="1" x14ac:dyDescent="0.3">
      <c r="A60" s="340" t="s">
        <v>32</v>
      </c>
      <c r="B60" s="423">
        <v>440.68320000000006</v>
      </c>
      <c r="C60" s="423">
        <v>5536.4180400000005</v>
      </c>
      <c r="D60" s="423">
        <v>6573.4969500000007</v>
      </c>
      <c r="E60" s="423">
        <v>2449.4861700000001</v>
      </c>
      <c r="F60" s="423">
        <v>8357.9385600000005</v>
      </c>
      <c r="G60" s="423">
        <v>11786.19282</v>
      </c>
      <c r="H60" s="423">
        <v>12471.25491</v>
      </c>
      <c r="I60" s="423">
        <v>13028.216580000002</v>
      </c>
      <c r="J60" s="423">
        <v>11683.10547</v>
      </c>
      <c r="K60" s="423">
        <v>8410.0947300000007</v>
      </c>
      <c r="L60" s="423">
        <v>835.92000000000007</v>
      </c>
      <c r="M60" s="423">
        <v>1602.0325800000001</v>
      </c>
      <c r="N60" s="423">
        <v>1383.9924600000002</v>
      </c>
      <c r="O60" s="423">
        <v>1488.53187</v>
      </c>
      <c r="P60" s="423">
        <v>2790.9411300000002</v>
      </c>
      <c r="Q60" s="423">
        <v>11677.880430000001</v>
      </c>
      <c r="R60" s="423">
        <v>12401.425080000001</v>
      </c>
      <c r="S60" s="423">
        <v>28312.155990000003</v>
      </c>
      <c r="T60" s="423">
        <v>36761.02029</v>
      </c>
      <c r="U60" s="423">
        <v>41864.077260000005</v>
      </c>
      <c r="V60" s="426">
        <v>61211.589495</v>
      </c>
      <c r="W60" s="426">
        <v>69259.411680000005</v>
      </c>
      <c r="X60" s="426">
        <v>68619.130904999998</v>
      </c>
      <c r="Y60" s="426">
        <v>61221.448815000003</v>
      </c>
      <c r="Z60" s="426">
        <v>66669.361380000002</v>
      </c>
      <c r="AA60" s="427">
        <v>110871.57444000001</v>
      </c>
    </row>
    <row r="61" spans="1:27" ht="15" customHeight="1" x14ac:dyDescent="0.3">
      <c r="A61" s="109" t="s">
        <v>264</v>
      </c>
      <c r="B61" s="428"/>
      <c r="C61" s="428"/>
      <c r="D61" s="428"/>
      <c r="E61" s="428"/>
      <c r="F61" s="428"/>
      <c r="G61" s="428"/>
      <c r="H61" s="428"/>
      <c r="I61" s="428"/>
      <c r="J61" s="428"/>
      <c r="K61" s="428"/>
      <c r="L61" s="428"/>
      <c r="M61" s="428"/>
      <c r="N61" s="428"/>
      <c r="O61" s="428"/>
      <c r="P61" s="428"/>
      <c r="Q61" s="428"/>
      <c r="R61" s="428"/>
      <c r="S61" s="428"/>
      <c r="T61" s="428"/>
      <c r="U61" s="428"/>
      <c r="V61" s="429"/>
      <c r="W61" s="429"/>
      <c r="X61" s="429"/>
      <c r="Y61" s="429"/>
      <c r="Z61" s="429"/>
      <c r="AA61" s="430"/>
    </row>
    <row r="62" spans="1:27" ht="15" customHeight="1" x14ac:dyDescent="0.3">
      <c r="A62" s="340" t="s">
        <v>33</v>
      </c>
      <c r="B62" s="423">
        <v>0</v>
      </c>
      <c r="C62" s="423">
        <v>0</v>
      </c>
      <c r="D62" s="423">
        <v>84.4</v>
      </c>
      <c r="E62" s="423">
        <v>110.3655</v>
      </c>
      <c r="F62" s="423">
        <v>93.314599999999999</v>
      </c>
      <c r="G62" s="423">
        <v>125.9264</v>
      </c>
      <c r="H62" s="423">
        <v>167.39930000000001</v>
      </c>
      <c r="I62" s="423">
        <v>176.10410000000002</v>
      </c>
      <c r="J62" s="423">
        <v>191.62350000000001</v>
      </c>
      <c r="K62" s="423">
        <v>195.42439999999999</v>
      </c>
      <c r="L62" s="423">
        <v>201.678</v>
      </c>
      <c r="M62" s="423">
        <v>206.72</v>
      </c>
      <c r="N62" s="423">
        <v>213.1283</v>
      </c>
      <c r="O62" s="423">
        <v>215.25960000000001</v>
      </c>
      <c r="P62" s="423">
        <v>3101.5860000000002</v>
      </c>
      <c r="Q62" s="423">
        <v>3501.6702</v>
      </c>
      <c r="R62" s="423">
        <v>3872.2824000000001</v>
      </c>
      <c r="S62" s="423">
        <v>5862.0447999999997</v>
      </c>
      <c r="T62" s="423">
        <v>6443.7142000000003</v>
      </c>
      <c r="U62" s="423">
        <v>7752.6935000000003</v>
      </c>
      <c r="V62" s="426">
        <v>2404.8578050000001</v>
      </c>
      <c r="W62" s="426">
        <v>2542.3677440000006</v>
      </c>
      <c r="X62" s="426">
        <v>3076.0996950000003</v>
      </c>
      <c r="Y62" s="426">
        <v>3460.038258</v>
      </c>
      <c r="Z62" s="426">
        <v>5416.3723040000004</v>
      </c>
      <c r="AA62" s="427">
        <v>8258.922294</v>
      </c>
    </row>
    <row r="63" spans="1:27" ht="15" customHeight="1" x14ac:dyDescent="0.3">
      <c r="A63" s="340" t="s">
        <v>34</v>
      </c>
      <c r="B63" s="423">
        <v>639.05380000000002</v>
      </c>
      <c r="C63" s="423">
        <v>930.04840000000013</v>
      </c>
      <c r="D63" s="423">
        <v>1394.9825000000001</v>
      </c>
      <c r="E63" s="423">
        <v>1540.2404000000001</v>
      </c>
      <c r="F63" s="423">
        <v>1909.9123</v>
      </c>
      <c r="G63" s="423">
        <v>2214.5484000000001</v>
      </c>
      <c r="H63" s="423">
        <v>2737.7782000000002</v>
      </c>
      <c r="I63" s="423">
        <v>3034.9598999999998</v>
      </c>
      <c r="J63" s="423">
        <v>3413.6673000000005</v>
      </c>
      <c r="K63" s="423">
        <v>3861.6093999999998</v>
      </c>
      <c r="L63" s="423">
        <v>4193.7393000000002</v>
      </c>
      <c r="M63" s="423">
        <v>4533.8056999999999</v>
      </c>
      <c r="N63" s="423">
        <v>4932.4010000000007</v>
      </c>
      <c r="O63" s="423">
        <v>5065.9998000000005</v>
      </c>
      <c r="P63" s="423">
        <v>5447.1785000000009</v>
      </c>
      <c r="Q63" s="423">
        <v>5957.2844000000005</v>
      </c>
      <c r="R63" s="423">
        <v>6424.431700000001</v>
      </c>
      <c r="S63" s="423">
        <v>10043.145700000001</v>
      </c>
      <c r="T63" s="423">
        <v>14279.466899999999</v>
      </c>
      <c r="U63" s="423">
        <v>14232.014799999999</v>
      </c>
      <c r="V63" s="426">
        <v>7685.2392479999999</v>
      </c>
      <c r="W63" s="426">
        <v>7166.5464599999996</v>
      </c>
      <c r="X63" s="426">
        <v>7891.8659640000005</v>
      </c>
      <c r="Y63" s="426">
        <v>9483.1882200000018</v>
      </c>
      <c r="Z63" s="426">
        <v>10787.089895999999</v>
      </c>
      <c r="AA63" s="427">
        <v>13716.911160000001</v>
      </c>
    </row>
    <row r="64" spans="1:27" ht="15" customHeight="1" x14ac:dyDescent="0.3">
      <c r="A64" s="340" t="s">
        <v>35</v>
      </c>
      <c r="B64" s="423" t="s">
        <v>24</v>
      </c>
      <c r="C64" s="423" t="s">
        <v>24</v>
      </c>
      <c r="D64" s="423" t="s">
        <v>24</v>
      </c>
      <c r="E64" s="423" t="s">
        <v>24</v>
      </c>
      <c r="F64" s="423" t="s">
        <v>24</v>
      </c>
      <c r="G64" s="423" t="s">
        <v>24</v>
      </c>
      <c r="H64" s="423" t="s">
        <v>24</v>
      </c>
      <c r="I64" s="423" t="s">
        <v>24</v>
      </c>
      <c r="J64" s="423" t="s">
        <v>24</v>
      </c>
      <c r="K64" s="423" t="s">
        <v>24</v>
      </c>
      <c r="L64" s="423" t="s">
        <v>24</v>
      </c>
      <c r="M64" s="423" t="s">
        <v>24</v>
      </c>
      <c r="N64" s="423" t="s">
        <v>24</v>
      </c>
      <c r="O64" s="423" t="s">
        <v>24</v>
      </c>
      <c r="P64" s="423" t="s">
        <v>24</v>
      </c>
      <c r="Q64" s="423">
        <v>821</v>
      </c>
      <c r="R64" s="423">
        <v>578</v>
      </c>
      <c r="S64" s="423">
        <v>328</v>
      </c>
      <c r="T64" s="423">
        <v>273</v>
      </c>
      <c r="U64" s="423">
        <v>194</v>
      </c>
      <c r="V64" s="426">
        <v>151.191</v>
      </c>
      <c r="W64" s="426">
        <v>86.134</v>
      </c>
      <c r="X64" s="426">
        <v>60.347000000000001</v>
      </c>
      <c r="Y64" s="426">
        <v>44.151000000000003</v>
      </c>
      <c r="Z64" s="426">
        <v>26.472999999999999</v>
      </c>
      <c r="AA64" s="427">
        <v>22.513999999999999</v>
      </c>
    </row>
    <row r="65" spans="1:27" ht="15" customHeight="1" x14ac:dyDescent="0.3">
      <c r="A65" s="342" t="s">
        <v>36</v>
      </c>
      <c r="B65" s="431">
        <v>0</v>
      </c>
      <c r="C65" s="431">
        <v>0</v>
      </c>
      <c r="D65" s="431">
        <v>0</v>
      </c>
      <c r="E65" s="431">
        <v>0</v>
      </c>
      <c r="F65" s="431">
        <v>0</v>
      </c>
      <c r="G65" s="431">
        <v>0</v>
      </c>
      <c r="H65" s="431">
        <v>0</v>
      </c>
      <c r="I65" s="431">
        <v>0</v>
      </c>
      <c r="J65" s="431">
        <v>0</v>
      </c>
      <c r="K65" s="431">
        <v>0</v>
      </c>
      <c r="L65" s="431">
        <v>0</v>
      </c>
      <c r="M65" s="431">
        <v>0</v>
      </c>
      <c r="N65" s="431">
        <v>0</v>
      </c>
      <c r="O65" s="431">
        <v>0</v>
      </c>
      <c r="P65" s="431">
        <v>0</v>
      </c>
      <c r="Q65" s="431">
        <v>0</v>
      </c>
      <c r="R65" s="431">
        <v>0</v>
      </c>
      <c r="S65" s="431">
        <v>0</v>
      </c>
      <c r="T65" s="431">
        <v>0</v>
      </c>
      <c r="U65" s="431">
        <v>0</v>
      </c>
      <c r="V65" s="432">
        <v>0</v>
      </c>
      <c r="W65" s="432">
        <v>0</v>
      </c>
      <c r="X65" s="432">
        <v>0</v>
      </c>
      <c r="Y65" s="432">
        <v>333.87688125318243</v>
      </c>
      <c r="Z65" s="432">
        <v>515.26106049402665</v>
      </c>
      <c r="AA65" s="433">
        <v>525.69972679350269</v>
      </c>
    </row>
    <row r="66" spans="1:27" ht="15" customHeight="1" x14ac:dyDescent="0.3">
      <c r="A66" s="342" t="s">
        <v>37</v>
      </c>
      <c r="B66" s="431">
        <v>0</v>
      </c>
      <c r="C66" s="431">
        <v>0</v>
      </c>
      <c r="D66" s="431">
        <v>0</v>
      </c>
      <c r="E66" s="431">
        <v>0</v>
      </c>
      <c r="F66" s="431">
        <v>0</v>
      </c>
      <c r="G66" s="431">
        <v>0</v>
      </c>
      <c r="H66" s="431">
        <v>0</v>
      </c>
      <c r="I66" s="431">
        <v>0</v>
      </c>
      <c r="J66" s="431">
        <v>0</v>
      </c>
      <c r="K66" s="431">
        <v>0</v>
      </c>
      <c r="L66" s="431">
        <v>0</v>
      </c>
      <c r="M66" s="431">
        <v>0</v>
      </c>
      <c r="N66" s="431">
        <v>0</v>
      </c>
      <c r="O66" s="431">
        <v>0</v>
      </c>
      <c r="P66" s="431">
        <v>0</v>
      </c>
      <c r="Q66" s="431">
        <v>0</v>
      </c>
      <c r="R66" s="431">
        <v>0</v>
      </c>
      <c r="S66" s="431">
        <v>0</v>
      </c>
      <c r="T66" s="431">
        <v>0</v>
      </c>
      <c r="U66" s="431">
        <v>0</v>
      </c>
      <c r="V66" s="432">
        <v>0</v>
      </c>
      <c r="W66" s="432">
        <v>0</v>
      </c>
      <c r="X66" s="432">
        <v>0</v>
      </c>
      <c r="Y66" s="432">
        <v>1765.6917355706573</v>
      </c>
      <c r="Z66" s="432">
        <v>1822.2165882278059</v>
      </c>
      <c r="AA66" s="433">
        <v>2031.4659391138264</v>
      </c>
    </row>
    <row r="67" spans="1:27" ht="15" customHeight="1" x14ac:dyDescent="0.3">
      <c r="A67" s="342" t="s">
        <v>38</v>
      </c>
      <c r="B67" s="431">
        <v>0</v>
      </c>
      <c r="C67" s="431">
        <v>0</v>
      </c>
      <c r="D67" s="431">
        <v>0</v>
      </c>
      <c r="E67" s="431">
        <v>0</v>
      </c>
      <c r="F67" s="431">
        <v>0</v>
      </c>
      <c r="G67" s="431">
        <v>0</v>
      </c>
      <c r="H67" s="431">
        <v>0</v>
      </c>
      <c r="I67" s="431">
        <v>0</v>
      </c>
      <c r="J67" s="431">
        <v>0</v>
      </c>
      <c r="K67" s="431">
        <v>0</v>
      </c>
      <c r="L67" s="431">
        <v>0</v>
      </c>
      <c r="M67" s="431">
        <v>0</v>
      </c>
      <c r="N67" s="431">
        <v>0</v>
      </c>
      <c r="O67" s="431">
        <v>0</v>
      </c>
      <c r="P67" s="431">
        <v>0</v>
      </c>
      <c r="Q67" s="431">
        <v>0</v>
      </c>
      <c r="R67" s="431">
        <v>0</v>
      </c>
      <c r="S67" s="431">
        <v>0</v>
      </c>
      <c r="T67" s="431">
        <v>0</v>
      </c>
      <c r="U67" s="431">
        <v>0</v>
      </c>
      <c r="V67" s="432">
        <v>0</v>
      </c>
      <c r="W67" s="432">
        <v>0</v>
      </c>
      <c r="X67" s="432">
        <v>0</v>
      </c>
      <c r="Y67" s="432">
        <v>0</v>
      </c>
      <c r="Z67" s="432">
        <v>0</v>
      </c>
      <c r="AA67" s="433">
        <v>10441.02816</v>
      </c>
    </row>
    <row r="68" spans="1:27" ht="15" customHeight="1" x14ac:dyDescent="0.3">
      <c r="A68" s="342" t="s">
        <v>39</v>
      </c>
      <c r="B68" s="431">
        <v>0</v>
      </c>
      <c r="C68" s="431">
        <v>0</v>
      </c>
      <c r="D68" s="431">
        <v>0</v>
      </c>
      <c r="E68" s="431">
        <v>0</v>
      </c>
      <c r="F68" s="431">
        <v>0</v>
      </c>
      <c r="G68" s="431">
        <v>0</v>
      </c>
      <c r="H68" s="431">
        <v>0</v>
      </c>
      <c r="I68" s="431">
        <v>0</v>
      </c>
      <c r="J68" s="431">
        <v>0</v>
      </c>
      <c r="K68" s="431">
        <v>0</v>
      </c>
      <c r="L68" s="431">
        <v>0</v>
      </c>
      <c r="M68" s="431">
        <v>0</v>
      </c>
      <c r="N68" s="431">
        <v>0</v>
      </c>
      <c r="O68" s="431">
        <v>0</v>
      </c>
      <c r="P68" s="431">
        <v>0</v>
      </c>
      <c r="Q68" s="431">
        <v>0</v>
      </c>
      <c r="R68" s="431">
        <v>0</v>
      </c>
      <c r="S68" s="431">
        <v>0</v>
      </c>
      <c r="T68" s="431">
        <v>0</v>
      </c>
      <c r="U68" s="431">
        <v>0</v>
      </c>
      <c r="V68" s="432">
        <v>0</v>
      </c>
      <c r="W68" s="432">
        <v>1586.75152</v>
      </c>
      <c r="X68" s="432">
        <v>4238.9364800000003</v>
      </c>
      <c r="Y68" s="432">
        <v>2914.4606400000002</v>
      </c>
      <c r="Z68" s="432">
        <v>3390.6910400000002</v>
      </c>
      <c r="AA68" s="433">
        <v>2975.3243199999997</v>
      </c>
    </row>
    <row r="69" spans="1:27" ht="15" customHeight="1" x14ac:dyDescent="0.3">
      <c r="A69" s="342" t="s">
        <v>40</v>
      </c>
      <c r="B69" s="431">
        <v>4.4400000000000004</v>
      </c>
      <c r="C69" s="431">
        <v>51.872600000000006</v>
      </c>
      <c r="D69" s="431">
        <v>6.93</v>
      </c>
      <c r="E69" s="431">
        <v>10.4472</v>
      </c>
      <c r="F69" s="431">
        <v>184.14500000000001</v>
      </c>
      <c r="G69" s="431">
        <v>182.3888</v>
      </c>
      <c r="H69" s="431">
        <v>124.384</v>
      </c>
      <c r="I69" s="431">
        <v>1823.1180000000002</v>
      </c>
      <c r="J69" s="431">
        <v>2078.335</v>
      </c>
      <c r="K69" s="431">
        <v>2418.6637999999998</v>
      </c>
      <c r="L69" s="431">
        <v>1330.0638000000001</v>
      </c>
      <c r="M69" s="431">
        <v>1512.7582000000002</v>
      </c>
      <c r="N69" s="431">
        <v>1483.5188000000001</v>
      </c>
      <c r="O69" s="431">
        <v>1423.8224</v>
      </c>
      <c r="P69" s="431">
        <v>1359.4318000000001</v>
      </c>
      <c r="Q69" s="431">
        <v>1374.1038000000001</v>
      </c>
      <c r="R69" s="431">
        <v>1415.3270000000002</v>
      </c>
      <c r="S69" s="431">
        <v>1517.2344000000001</v>
      </c>
      <c r="T69" s="431">
        <v>2018.5982000000001</v>
      </c>
      <c r="U69" s="431">
        <v>2143.7512000000002</v>
      </c>
      <c r="V69" s="432">
        <v>1705.0460800000001</v>
      </c>
      <c r="W69" s="432">
        <v>881.89792</v>
      </c>
      <c r="X69" s="432">
        <v>713.39792</v>
      </c>
      <c r="Y69" s="432">
        <v>709.10271999999998</v>
      </c>
      <c r="Z69" s="432">
        <v>1312.5755200000001</v>
      </c>
      <c r="AA69" s="433">
        <v>986.22016000000008</v>
      </c>
    </row>
    <row r="70" spans="1:27" ht="15" customHeight="1" x14ac:dyDescent="0.3">
      <c r="A70" s="342" t="s">
        <v>41</v>
      </c>
      <c r="B70" s="431">
        <v>0</v>
      </c>
      <c r="C70" s="431">
        <v>0</v>
      </c>
      <c r="D70" s="431">
        <v>9.6812000000000005</v>
      </c>
      <c r="E70" s="431">
        <v>11.429600000000001</v>
      </c>
      <c r="F70" s="431">
        <v>2.3839999999999999</v>
      </c>
      <c r="G70" s="431">
        <v>0</v>
      </c>
      <c r="H70" s="431">
        <v>0</v>
      </c>
      <c r="I70" s="431">
        <v>0</v>
      </c>
      <c r="J70" s="431">
        <v>0</v>
      </c>
      <c r="K70" s="431">
        <v>0</v>
      </c>
      <c r="L70" s="431">
        <v>13.209600000000002</v>
      </c>
      <c r="M70" s="431">
        <v>41</v>
      </c>
      <c r="N70" s="431">
        <v>8.309800000000001</v>
      </c>
      <c r="O70" s="431">
        <v>8.309800000000001</v>
      </c>
      <c r="P70" s="431">
        <v>8.1536000000000008</v>
      </c>
      <c r="Q70" s="431">
        <v>8.2416</v>
      </c>
      <c r="R70" s="431">
        <v>0</v>
      </c>
      <c r="S70" s="431">
        <v>0</v>
      </c>
      <c r="T70" s="431">
        <v>137.54400000000001</v>
      </c>
      <c r="U70" s="431">
        <v>146.07180000000002</v>
      </c>
      <c r="V70" s="432">
        <v>129.2912</v>
      </c>
      <c r="W70" s="432">
        <v>310.80063999999999</v>
      </c>
      <c r="X70" s="432">
        <v>575.71680000000003</v>
      </c>
      <c r="Y70" s="432">
        <v>591.96144000000004</v>
      </c>
      <c r="Z70" s="432">
        <v>777.36207999999999</v>
      </c>
      <c r="AA70" s="433">
        <v>763.44607999999994</v>
      </c>
    </row>
    <row r="71" spans="1:27" ht="15" customHeight="1" x14ac:dyDescent="0.3">
      <c r="A71" s="342" t="s">
        <v>42</v>
      </c>
      <c r="B71" s="431">
        <v>0</v>
      </c>
      <c r="C71" s="431">
        <v>0</v>
      </c>
      <c r="D71" s="431">
        <v>0</v>
      </c>
      <c r="E71" s="431">
        <v>0</v>
      </c>
      <c r="F71" s="431">
        <v>0</v>
      </c>
      <c r="G71" s="431">
        <v>0</v>
      </c>
      <c r="H71" s="431">
        <v>0</v>
      </c>
      <c r="I71" s="431">
        <v>0</v>
      </c>
      <c r="J71" s="431">
        <v>0</v>
      </c>
      <c r="K71" s="431">
        <v>0</v>
      </c>
      <c r="L71" s="431">
        <v>0</v>
      </c>
      <c r="M71" s="431">
        <v>0</v>
      </c>
      <c r="N71" s="431">
        <v>0</v>
      </c>
      <c r="O71" s="431">
        <v>0</v>
      </c>
      <c r="P71" s="431">
        <v>0</v>
      </c>
      <c r="Q71" s="431">
        <v>0</v>
      </c>
      <c r="R71" s="431">
        <v>0</v>
      </c>
      <c r="S71" s="431">
        <v>0</v>
      </c>
      <c r="T71" s="431">
        <v>0</v>
      </c>
      <c r="U71" s="431">
        <v>0</v>
      </c>
      <c r="V71" s="432">
        <v>0</v>
      </c>
      <c r="W71" s="432">
        <v>42.47296</v>
      </c>
      <c r="X71" s="432">
        <v>126.4736</v>
      </c>
      <c r="Y71" s="432">
        <v>0</v>
      </c>
      <c r="Z71" s="432">
        <v>0</v>
      </c>
      <c r="AA71" s="433">
        <v>0</v>
      </c>
    </row>
    <row r="72" spans="1:27" ht="15" customHeight="1" x14ac:dyDescent="0.3">
      <c r="A72" s="342" t="s">
        <v>43</v>
      </c>
      <c r="B72" s="431">
        <v>0</v>
      </c>
      <c r="C72" s="431">
        <v>0</v>
      </c>
      <c r="D72" s="431">
        <v>0</v>
      </c>
      <c r="E72" s="431">
        <v>0</v>
      </c>
      <c r="F72" s="431">
        <v>0</v>
      </c>
      <c r="G72" s="431">
        <v>0</v>
      </c>
      <c r="H72" s="431">
        <v>0</v>
      </c>
      <c r="I72" s="431">
        <v>0</v>
      </c>
      <c r="J72" s="431">
        <v>0</v>
      </c>
      <c r="K72" s="431">
        <v>0</v>
      </c>
      <c r="L72" s="431">
        <v>0</v>
      </c>
      <c r="M72" s="431">
        <v>0</v>
      </c>
      <c r="N72" s="431">
        <v>47.580600000000004</v>
      </c>
      <c r="O72" s="431">
        <v>0</v>
      </c>
      <c r="P72" s="431">
        <v>0</v>
      </c>
      <c r="Q72" s="431">
        <v>0</v>
      </c>
      <c r="R72" s="431">
        <v>0</v>
      </c>
      <c r="S72" s="431">
        <v>0</v>
      </c>
      <c r="T72" s="431">
        <v>0</v>
      </c>
      <c r="U72" s="431">
        <v>422.64420000000001</v>
      </c>
      <c r="V72" s="432">
        <v>263.07168000000001</v>
      </c>
      <c r="W72" s="432">
        <v>343.78160000000003</v>
      </c>
      <c r="X72" s="432">
        <v>317.5104</v>
      </c>
      <c r="Y72" s="432">
        <v>88.895359999999997</v>
      </c>
      <c r="Z72" s="432">
        <v>191.53040000000001</v>
      </c>
      <c r="AA72" s="433">
        <v>188.35968</v>
      </c>
    </row>
    <row r="73" spans="1:27" ht="15" customHeight="1" x14ac:dyDescent="0.3">
      <c r="A73" s="342" t="s">
        <v>44</v>
      </c>
      <c r="B73" s="431">
        <v>0</v>
      </c>
      <c r="C73" s="431">
        <v>0</v>
      </c>
      <c r="D73" s="431">
        <v>0</v>
      </c>
      <c r="E73" s="431">
        <v>0</v>
      </c>
      <c r="F73" s="431">
        <v>0</v>
      </c>
      <c r="G73" s="431">
        <v>0</v>
      </c>
      <c r="H73" s="431">
        <v>0</v>
      </c>
      <c r="I73" s="431">
        <v>0</v>
      </c>
      <c r="J73" s="431">
        <v>0</v>
      </c>
      <c r="K73" s="431">
        <v>0</v>
      </c>
      <c r="L73" s="431">
        <v>0</v>
      </c>
      <c r="M73" s="431">
        <v>0</v>
      </c>
      <c r="N73" s="431">
        <v>0</v>
      </c>
      <c r="O73" s="431">
        <v>0</v>
      </c>
      <c r="P73" s="431">
        <v>0</v>
      </c>
      <c r="Q73" s="431">
        <v>0</v>
      </c>
      <c r="R73" s="431">
        <v>0</v>
      </c>
      <c r="S73" s="431">
        <v>309.70640000000003</v>
      </c>
      <c r="T73" s="431">
        <v>322.714</v>
      </c>
      <c r="U73" s="431">
        <v>322.15880000000004</v>
      </c>
      <c r="V73" s="432">
        <v>227.73488</v>
      </c>
      <c r="W73" s="432">
        <v>0</v>
      </c>
      <c r="X73" s="432">
        <v>0</v>
      </c>
      <c r="Y73" s="432">
        <v>0</v>
      </c>
      <c r="Z73" s="432">
        <v>0</v>
      </c>
      <c r="AA73" s="433">
        <v>0</v>
      </c>
    </row>
    <row r="74" spans="1:27" ht="15" customHeight="1" x14ac:dyDescent="0.3">
      <c r="A74" s="342" t="s">
        <v>45</v>
      </c>
      <c r="B74" s="431">
        <v>0</v>
      </c>
      <c r="C74" s="431">
        <v>0</v>
      </c>
      <c r="D74" s="431">
        <v>0</v>
      </c>
      <c r="E74" s="431">
        <v>0</v>
      </c>
      <c r="F74" s="431">
        <v>0</v>
      </c>
      <c r="G74" s="431">
        <v>0</v>
      </c>
      <c r="H74" s="431">
        <v>0</v>
      </c>
      <c r="I74" s="431">
        <v>0</v>
      </c>
      <c r="J74" s="431">
        <v>0</v>
      </c>
      <c r="K74" s="431">
        <v>0</v>
      </c>
      <c r="L74" s="431">
        <v>0</v>
      </c>
      <c r="M74" s="431">
        <v>0</v>
      </c>
      <c r="N74" s="431">
        <v>0</v>
      </c>
      <c r="O74" s="431">
        <v>0</v>
      </c>
      <c r="P74" s="431">
        <v>0</v>
      </c>
      <c r="Q74" s="431">
        <v>0</v>
      </c>
      <c r="R74" s="431">
        <v>0</v>
      </c>
      <c r="S74" s="431">
        <v>220.45500000000004</v>
      </c>
      <c r="T74" s="431">
        <v>229.71420000000001</v>
      </c>
      <c r="U74" s="431">
        <v>243.9564</v>
      </c>
      <c r="V74" s="432">
        <v>113.02495999999999</v>
      </c>
      <c r="W74" s="432">
        <v>0</v>
      </c>
      <c r="X74" s="432">
        <v>0</v>
      </c>
      <c r="Y74" s="432">
        <v>0</v>
      </c>
      <c r="Z74" s="432">
        <v>0</v>
      </c>
      <c r="AA74" s="433">
        <v>0</v>
      </c>
    </row>
    <row r="75" spans="1:27" ht="15" customHeight="1" x14ac:dyDescent="0.3">
      <c r="A75" s="342" t="s">
        <v>46</v>
      </c>
      <c r="B75" s="431">
        <v>0</v>
      </c>
      <c r="C75" s="431">
        <v>0</v>
      </c>
      <c r="D75" s="431">
        <v>43.89</v>
      </c>
      <c r="E75" s="431">
        <v>57.088000000000001</v>
      </c>
      <c r="F75" s="431">
        <v>54.331200000000003</v>
      </c>
      <c r="G75" s="431">
        <v>165.53120000000001</v>
      </c>
      <c r="H75" s="431">
        <v>202.4008</v>
      </c>
      <c r="I75" s="431">
        <v>262.92199999999997</v>
      </c>
      <c r="J75" s="431">
        <v>160.67340000000002</v>
      </c>
      <c r="K75" s="431">
        <v>159.75300000000001</v>
      </c>
      <c r="L75" s="431">
        <v>176.62960000000001</v>
      </c>
      <c r="M75" s="431">
        <v>188.32860000000002</v>
      </c>
      <c r="N75" s="431">
        <v>0</v>
      </c>
      <c r="O75" s="431">
        <v>0</v>
      </c>
      <c r="P75" s="431">
        <v>0</v>
      </c>
      <c r="Q75" s="431">
        <v>0</v>
      </c>
      <c r="R75" s="431">
        <v>0</v>
      </c>
      <c r="S75" s="431">
        <v>0</v>
      </c>
      <c r="T75" s="431">
        <v>289.15500000000003</v>
      </c>
      <c r="U75" s="431">
        <v>307.08260000000001</v>
      </c>
      <c r="V75" s="432"/>
      <c r="W75" s="432"/>
      <c r="X75" s="432"/>
      <c r="Y75" s="432"/>
      <c r="Z75" s="432"/>
      <c r="AA75" s="433"/>
    </row>
    <row r="76" spans="1:27" ht="15" customHeight="1" x14ac:dyDescent="0.3">
      <c r="A76" s="342" t="s">
        <v>47</v>
      </c>
      <c r="B76" s="431">
        <v>0</v>
      </c>
      <c r="C76" s="431">
        <v>0</v>
      </c>
      <c r="D76" s="431">
        <v>0</v>
      </c>
      <c r="E76" s="431">
        <v>0</v>
      </c>
      <c r="F76" s="431">
        <v>0</v>
      </c>
      <c r="G76" s="431">
        <v>0</v>
      </c>
      <c r="H76" s="431">
        <v>0</v>
      </c>
      <c r="I76" s="431">
        <v>0</v>
      </c>
      <c r="J76" s="431">
        <v>0</v>
      </c>
      <c r="K76" s="431">
        <v>0</v>
      </c>
      <c r="L76" s="431">
        <v>0</v>
      </c>
      <c r="M76" s="431">
        <v>0</v>
      </c>
      <c r="N76" s="431">
        <v>0</v>
      </c>
      <c r="O76" s="431">
        <v>0</v>
      </c>
      <c r="P76" s="431">
        <v>0</v>
      </c>
      <c r="Q76" s="431">
        <v>0</v>
      </c>
      <c r="R76" s="431">
        <v>0</v>
      </c>
      <c r="S76" s="431">
        <v>315.33760000000007</v>
      </c>
      <c r="T76" s="431">
        <v>415.38100000000009</v>
      </c>
      <c r="U76" s="431">
        <v>441.13459999999998</v>
      </c>
      <c r="V76" s="432">
        <v>358.20128</v>
      </c>
      <c r="W76" s="432">
        <v>276.52127999999999</v>
      </c>
      <c r="X76" s="432">
        <v>511.32672000000002</v>
      </c>
      <c r="Y76" s="432">
        <v>662.66351999999995</v>
      </c>
      <c r="Z76" s="432">
        <v>702.12703999999997</v>
      </c>
      <c r="AA76" s="433">
        <v>704.74751999999989</v>
      </c>
    </row>
    <row r="77" spans="1:27" ht="15" customHeight="1" x14ac:dyDescent="0.3">
      <c r="A77" s="342" t="s">
        <v>48</v>
      </c>
      <c r="B77" s="431">
        <v>0</v>
      </c>
      <c r="C77" s="431">
        <v>0</v>
      </c>
      <c r="D77" s="431">
        <v>1177.1912</v>
      </c>
      <c r="E77" s="431">
        <v>1115.4010000000001</v>
      </c>
      <c r="F77" s="431">
        <v>2215.3322000000003</v>
      </c>
      <c r="G77" s="431">
        <v>1510.9590000000001</v>
      </c>
      <c r="H77" s="431">
        <v>1256.7</v>
      </c>
      <c r="I77" s="431">
        <v>100</v>
      </c>
      <c r="J77" s="431">
        <v>160</v>
      </c>
      <c r="K77" s="431">
        <v>300</v>
      </c>
      <c r="L77" s="431">
        <v>309.60000000000002</v>
      </c>
      <c r="M77" s="431">
        <v>184.5</v>
      </c>
      <c r="N77" s="431">
        <v>190.21960000000001</v>
      </c>
      <c r="O77" s="431">
        <v>190.21960000000001</v>
      </c>
      <c r="P77" s="431">
        <v>193.87180000000001</v>
      </c>
      <c r="Q77" s="431">
        <v>235.15720000000002</v>
      </c>
      <c r="R77" s="431">
        <v>242.21199999999999</v>
      </c>
      <c r="S77" s="431">
        <v>250.68939999999998</v>
      </c>
      <c r="T77" s="431">
        <v>1720.0184000000002</v>
      </c>
      <c r="U77" s="431">
        <v>3305.3382000000001</v>
      </c>
      <c r="V77" s="432"/>
      <c r="W77" s="432"/>
      <c r="X77" s="432"/>
      <c r="Y77" s="432"/>
      <c r="Z77" s="432"/>
      <c r="AA77" s="433"/>
    </row>
    <row r="78" spans="1:27" ht="15" customHeight="1" x14ac:dyDescent="0.3">
      <c r="A78" s="381" t="s">
        <v>49</v>
      </c>
      <c r="B78" s="431">
        <v>0</v>
      </c>
      <c r="C78" s="431">
        <v>0</v>
      </c>
      <c r="D78" s="431">
        <v>0</v>
      </c>
      <c r="E78" s="431">
        <v>0</v>
      </c>
      <c r="F78" s="431">
        <v>0</v>
      </c>
      <c r="G78" s="431">
        <v>0</v>
      </c>
      <c r="H78" s="431">
        <v>0</v>
      </c>
      <c r="I78" s="431">
        <v>0</v>
      </c>
      <c r="J78" s="431">
        <v>0</v>
      </c>
      <c r="K78" s="431">
        <v>0</v>
      </c>
      <c r="L78" s="431">
        <v>0</v>
      </c>
      <c r="M78" s="431">
        <v>0</v>
      </c>
      <c r="N78" s="431">
        <v>0</v>
      </c>
      <c r="O78" s="431">
        <v>0</v>
      </c>
      <c r="P78" s="431">
        <v>0</v>
      </c>
      <c r="Q78" s="431">
        <v>0</v>
      </c>
      <c r="R78" s="431">
        <v>0</v>
      </c>
      <c r="S78" s="431">
        <v>0</v>
      </c>
      <c r="T78" s="431">
        <v>0</v>
      </c>
      <c r="U78" s="431">
        <v>0</v>
      </c>
      <c r="V78" s="432">
        <v>0</v>
      </c>
      <c r="W78" s="432">
        <v>0</v>
      </c>
      <c r="X78" s="432">
        <v>0</v>
      </c>
      <c r="Y78" s="432">
        <v>28.518560000000004</v>
      </c>
      <c r="Z78" s="432">
        <v>26.231359999999999</v>
      </c>
      <c r="AA78" s="433">
        <v>27.018080000000001</v>
      </c>
    </row>
    <row r="79" spans="1:27" ht="15" customHeight="1" x14ac:dyDescent="0.3">
      <c r="A79" s="342" t="s">
        <v>50</v>
      </c>
      <c r="B79" s="431">
        <v>0</v>
      </c>
      <c r="C79" s="431">
        <v>0</v>
      </c>
      <c r="D79" s="431">
        <v>0</v>
      </c>
      <c r="E79" s="431">
        <v>0</v>
      </c>
      <c r="F79" s="431">
        <v>0</v>
      </c>
      <c r="G79" s="431">
        <v>0</v>
      </c>
      <c r="H79" s="431">
        <v>0</v>
      </c>
      <c r="I79" s="431">
        <v>0</v>
      </c>
      <c r="J79" s="431">
        <v>0</v>
      </c>
      <c r="K79" s="431">
        <v>0</v>
      </c>
      <c r="L79" s="431">
        <v>0</v>
      </c>
      <c r="M79" s="431">
        <v>0</v>
      </c>
      <c r="N79" s="431">
        <v>0</v>
      </c>
      <c r="O79" s="431">
        <v>0</v>
      </c>
      <c r="P79" s="431">
        <v>0</v>
      </c>
      <c r="Q79" s="431">
        <v>422.28000000000003</v>
      </c>
      <c r="R79" s="431">
        <v>434.94840000000005</v>
      </c>
      <c r="S79" s="431">
        <v>567.21879999999999</v>
      </c>
      <c r="T79" s="431">
        <v>667.92200000000003</v>
      </c>
      <c r="U79" s="431">
        <v>709.33320000000003</v>
      </c>
      <c r="V79" s="432">
        <v>8613.6281600000002</v>
      </c>
      <c r="W79" s="432">
        <v>8572.885760000001</v>
      </c>
      <c r="X79" s="432">
        <v>7380.32</v>
      </c>
      <c r="Y79" s="432">
        <v>7297.279520000001</v>
      </c>
      <c r="Z79" s="432">
        <v>8521.7940800000015</v>
      </c>
      <c r="AA79" s="433">
        <v>12408.425759999998</v>
      </c>
    </row>
    <row r="80" spans="1:27" ht="15" customHeight="1" x14ac:dyDescent="0.3">
      <c r="A80" s="342" t="s">
        <v>51</v>
      </c>
      <c r="B80" s="431">
        <v>0</v>
      </c>
      <c r="C80" s="431">
        <v>0</v>
      </c>
      <c r="D80" s="431">
        <v>0</v>
      </c>
      <c r="E80" s="431">
        <v>0</v>
      </c>
      <c r="F80" s="431">
        <v>0</v>
      </c>
      <c r="G80" s="431">
        <v>0</v>
      </c>
      <c r="H80" s="431">
        <v>0</v>
      </c>
      <c r="I80" s="431">
        <v>0</v>
      </c>
      <c r="J80" s="431">
        <v>6.5960000000000001</v>
      </c>
      <c r="K80" s="431">
        <v>189.01060000000001</v>
      </c>
      <c r="L80" s="431">
        <v>188.43180000000001</v>
      </c>
      <c r="M80" s="431">
        <v>61.920000000000009</v>
      </c>
      <c r="N80" s="431">
        <v>105.67760000000001</v>
      </c>
      <c r="O80" s="431">
        <v>0.2</v>
      </c>
      <c r="P80" s="431">
        <v>0.20379999999999998</v>
      </c>
      <c r="Q80" s="431">
        <v>0.20600000000000002</v>
      </c>
      <c r="R80" s="431">
        <v>0.2122</v>
      </c>
      <c r="S80" s="431">
        <v>0.21960000000000002</v>
      </c>
      <c r="T80" s="431">
        <v>0</v>
      </c>
      <c r="U80" s="431">
        <v>0</v>
      </c>
      <c r="V80" s="432"/>
      <c r="W80" s="432"/>
      <c r="X80" s="432"/>
      <c r="Y80" s="432"/>
      <c r="Z80" s="432"/>
      <c r="AA80" s="433"/>
    </row>
    <row r="81" spans="1:29" ht="15" customHeight="1" x14ac:dyDescent="0.3">
      <c r="A81" s="352" t="s">
        <v>52</v>
      </c>
      <c r="B81" s="434">
        <v>0</v>
      </c>
      <c r="C81" s="434">
        <v>0</v>
      </c>
      <c r="D81" s="434">
        <v>0</v>
      </c>
      <c r="E81" s="434">
        <v>0</v>
      </c>
      <c r="F81" s="434">
        <v>0</v>
      </c>
      <c r="G81" s="434">
        <v>0</v>
      </c>
      <c r="H81" s="434">
        <v>0</v>
      </c>
      <c r="I81" s="434">
        <v>0</v>
      </c>
      <c r="J81" s="434">
        <v>0</v>
      </c>
      <c r="K81" s="434">
        <v>0</v>
      </c>
      <c r="L81" s="434">
        <v>0</v>
      </c>
      <c r="M81" s="434">
        <v>0</v>
      </c>
      <c r="N81" s="434">
        <v>0</v>
      </c>
      <c r="O81" s="434">
        <v>0</v>
      </c>
      <c r="P81" s="434">
        <v>0</v>
      </c>
      <c r="Q81" s="434">
        <v>0</v>
      </c>
      <c r="R81" s="434">
        <v>0</v>
      </c>
      <c r="S81" s="434">
        <v>0</v>
      </c>
      <c r="T81" s="434">
        <v>0</v>
      </c>
      <c r="U81" s="434">
        <v>0</v>
      </c>
      <c r="V81" s="435">
        <v>226.34464</v>
      </c>
      <c r="W81" s="435">
        <v>233.81439999999998</v>
      </c>
      <c r="X81" s="435">
        <v>240.32</v>
      </c>
      <c r="Y81" s="435">
        <v>246.93279999999999</v>
      </c>
      <c r="Z81" s="435">
        <v>252.36336</v>
      </c>
      <c r="AA81" s="436">
        <v>259.93407999999999</v>
      </c>
    </row>
    <row r="82" spans="1:29" s="62" customFormat="1" ht="15" customHeight="1" x14ac:dyDescent="0.3">
      <c r="A82" s="739" t="s">
        <v>308</v>
      </c>
      <c r="B82" s="382">
        <f t="shared" ref="B82:AA82" si="2">+SUM(B51:B64)+SUM(B65:B81)</f>
        <v>13536.150099999999</v>
      </c>
      <c r="C82" s="382">
        <f t="shared" si="2"/>
        <v>23809.859539999998</v>
      </c>
      <c r="D82" s="382">
        <f t="shared" si="2"/>
        <v>29580.892350000002</v>
      </c>
      <c r="E82" s="382">
        <f t="shared" si="2"/>
        <v>29677.619470000001</v>
      </c>
      <c r="F82" s="382">
        <f t="shared" si="2"/>
        <v>44256.544859999995</v>
      </c>
      <c r="G82" s="382">
        <f t="shared" si="2"/>
        <v>55305.031369999997</v>
      </c>
      <c r="H82" s="382">
        <f t="shared" si="2"/>
        <v>62854.640790000005</v>
      </c>
      <c r="I82" s="382">
        <f t="shared" si="2"/>
        <v>68018.594949999999</v>
      </c>
      <c r="J82" s="382">
        <f t="shared" si="2"/>
        <v>74937.310109999991</v>
      </c>
      <c r="K82" s="382">
        <f t="shared" si="2"/>
        <v>83823.410990000004</v>
      </c>
      <c r="L82" s="382">
        <f t="shared" si="2"/>
        <v>87781.259476077073</v>
      </c>
      <c r="M82" s="382">
        <f t="shared" si="2"/>
        <v>100053.70516705781</v>
      </c>
      <c r="N82" s="382">
        <f t="shared" si="2"/>
        <v>289276.06225999998</v>
      </c>
      <c r="O82" s="382">
        <f t="shared" si="2"/>
        <v>319342.10360000003</v>
      </c>
      <c r="P82" s="382">
        <f t="shared" si="2"/>
        <v>349001.15023000003</v>
      </c>
      <c r="Q82" s="382">
        <f t="shared" si="2"/>
        <v>587197.01145000022</v>
      </c>
      <c r="R82" s="382">
        <f t="shared" si="2"/>
        <v>663585.24651000008</v>
      </c>
      <c r="S82" s="382">
        <f t="shared" si="2"/>
        <v>662538.81308261002</v>
      </c>
      <c r="T82" s="382">
        <f t="shared" si="2"/>
        <v>929239.08525000012</v>
      </c>
      <c r="U82" s="382">
        <f t="shared" si="2"/>
        <v>1233584.3232399998</v>
      </c>
      <c r="V82" s="382">
        <f t="shared" si="2"/>
        <v>1488781.5521780001</v>
      </c>
      <c r="W82" s="382">
        <f t="shared" si="2"/>
        <v>1616607.8039689998</v>
      </c>
      <c r="X82" s="382">
        <f t="shared" si="2"/>
        <v>1777821.6105190003</v>
      </c>
      <c r="Y82" s="382">
        <f t="shared" si="2"/>
        <v>1945677.5996848238</v>
      </c>
      <c r="Z82" s="382">
        <f t="shared" si="2"/>
        <v>2159211.1606187224</v>
      </c>
      <c r="AA82" s="383">
        <f t="shared" si="2"/>
        <v>2474477.4945849078</v>
      </c>
      <c r="AB82" s="378"/>
      <c r="AC82" s="61"/>
    </row>
    <row r="83" spans="1:29" s="62" customFormat="1" ht="15" customHeight="1" x14ac:dyDescent="0.3">
      <c r="A83" s="740" t="s">
        <v>319</v>
      </c>
      <c r="B83" s="449">
        <f>+B82/B93</f>
        <v>6.967168867559376E-3</v>
      </c>
      <c r="C83" s="449">
        <f>+C82/C93</f>
        <v>9.0876355290859471E-3</v>
      </c>
      <c r="D83" s="449">
        <f>+D82/D93</f>
        <v>9.0128877207222534E-3</v>
      </c>
      <c r="E83" s="449">
        <f>+E82/E93</f>
        <v>7.4975082856890947E-3</v>
      </c>
      <c r="F83" s="449">
        <f>+F82/F93</f>
        <v>9.5889027107556608E-3</v>
      </c>
      <c r="G83" s="449">
        <f>+G82/G93</f>
        <v>1.0504149781626627E-2</v>
      </c>
      <c r="H83" s="449">
        <f>+H82/H93</f>
        <v>1.0240266118104807E-2</v>
      </c>
      <c r="I83" s="449">
        <f>+I82/I93</f>
        <v>9.8435356287778705E-3</v>
      </c>
      <c r="J83" s="449">
        <f>+J82/J93</f>
        <v>9.6296957516019861E-3</v>
      </c>
      <c r="K83" s="449">
        <f>+K82/K93</f>
        <v>9.9495115465780687E-3</v>
      </c>
      <c r="L83" s="449">
        <f>+L82/L93</f>
        <v>9.9036131508886075E-3</v>
      </c>
      <c r="M83" s="449">
        <f>+M82/M93</f>
        <v>1.0308499150165811E-2</v>
      </c>
      <c r="N83" s="449">
        <f>+N82/N93</f>
        <v>2.7937234071875421E-2</v>
      </c>
      <c r="O83" s="449">
        <f>+O82/O93</f>
        <v>2.9556378981475048E-2</v>
      </c>
      <c r="P83" s="449">
        <f>+P82/P93</f>
        <v>3.0072988386953124E-2</v>
      </c>
      <c r="Q83" s="449">
        <f>+Q82/Q93</f>
        <v>4.6047845260415943E-2</v>
      </c>
      <c r="R83" s="449">
        <f>+R82/R93</f>
        <v>4.7110334808155303E-2</v>
      </c>
      <c r="S83" s="449">
        <f>+S82/S93</f>
        <v>4.1247221303723693E-2</v>
      </c>
      <c r="T83" s="449">
        <f>+T82/T93</f>
        <v>4.9173832093878912E-2</v>
      </c>
      <c r="U83" s="449">
        <f>+U82/U93</f>
        <v>5.5042647136987428E-2</v>
      </c>
      <c r="V83" s="450">
        <f>+V82/V93</f>
        <v>6.1334162784813136E-2</v>
      </c>
      <c r="W83" s="450">
        <f>+W82/W93</f>
        <v>6.4498352857987065E-2</v>
      </c>
      <c r="X83" s="450">
        <f>+X82/X93</f>
        <v>6.3687353910462305E-2</v>
      </c>
      <c r="Y83" s="450">
        <f>+Y82/Y93</f>
        <v>6.5825743215902843E-2</v>
      </c>
      <c r="Z83" s="450">
        <f>+Z82/Z93</f>
        <v>6.5720347070427912E-2</v>
      </c>
      <c r="AA83" s="451">
        <f>+AA82/AA93</f>
        <v>6.7189659915963013E-2</v>
      </c>
      <c r="AB83" s="61"/>
      <c r="AC83" s="61"/>
    </row>
    <row r="84" spans="1:29" s="62" customFormat="1" ht="15" customHeight="1" x14ac:dyDescent="0.3">
      <c r="A84" s="740" t="s">
        <v>316</v>
      </c>
      <c r="B84" s="449">
        <f>+B82/B94</f>
        <v>1.1391342557839707E-2</v>
      </c>
      <c r="C84" s="449">
        <f>+C82/C94</f>
        <v>1.5047626581558489E-2</v>
      </c>
      <c r="D84" s="449">
        <f>+D82/D94</f>
        <v>1.4642331669002209E-2</v>
      </c>
      <c r="E84" s="449">
        <f>+E82/E94</f>
        <v>1.1890472063162382E-2</v>
      </c>
      <c r="F84" s="449">
        <f>+F82/F94</f>
        <v>1.4992404924098833E-2</v>
      </c>
      <c r="G84" s="449">
        <f>+G82/G94</f>
        <v>1.6080662151891151E-2</v>
      </c>
      <c r="H84" s="449">
        <f>+H82/H94</f>
        <v>1.551972953713633E-2</v>
      </c>
      <c r="I84" s="449">
        <f>+I82/I94</f>
        <v>1.5001806330222559E-2</v>
      </c>
      <c r="J84" s="449">
        <f>+J82/J94</f>
        <v>1.4652090326516366E-2</v>
      </c>
      <c r="K84" s="449">
        <f>+K82/K94</f>
        <v>1.4703883002059197E-2</v>
      </c>
      <c r="L84" s="449">
        <f>+L82/L94</f>
        <v>1.4428888441879449E-2</v>
      </c>
      <c r="M84" s="449">
        <f>+M82/M94</f>
        <v>1.5120976962870847E-2</v>
      </c>
      <c r="N84" s="449">
        <f>+N82/N94</f>
        <v>4.1136903404747953E-2</v>
      </c>
      <c r="O84" s="449">
        <f>+O82/O94</f>
        <v>4.3296326873047998E-2</v>
      </c>
      <c r="P84" s="449">
        <f>+P82/P94</f>
        <v>4.4397109621572499E-2</v>
      </c>
      <c r="Q84" s="449">
        <f>+Q82/Q94</f>
        <v>6.8944291208689307E-2</v>
      </c>
      <c r="R84" s="449">
        <f>+R82/R94</f>
        <v>7.071095354817894E-2</v>
      </c>
      <c r="S84" s="449">
        <f>+S82/S94</f>
        <v>6.2526147429869117E-2</v>
      </c>
      <c r="T84" s="449">
        <f>+T82/T94</f>
        <v>7.3827384918697572E-2</v>
      </c>
      <c r="U84" s="449">
        <f>+U82/U94</f>
        <v>8.171132307985389E-2</v>
      </c>
      <c r="V84" s="450">
        <f>+V82/V94</f>
        <v>8.8842967909887868E-2</v>
      </c>
      <c r="W84" s="450">
        <f>+W82/W94</f>
        <v>9.1899041606030032E-2</v>
      </c>
      <c r="X84" s="450">
        <f>+X82/X94</f>
        <v>9.0805797960883505E-2</v>
      </c>
      <c r="Y84" s="450">
        <f>+Y82/Y94</f>
        <v>9.2939293309546478E-2</v>
      </c>
      <c r="Z84" s="450">
        <f>+Z82/Z94</f>
        <v>9.4803678820983048E-2</v>
      </c>
      <c r="AA84" s="451">
        <f>+AA82/AA94</f>
        <v>9.9976981169888679E-2</v>
      </c>
      <c r="AB84" s="61"/>
      <c r="AC84" s="61"/>
    </row>
    <row r="85" spans="1:29" s="62" customFormat="1" ht="15" customHeight="1" x14ac:dyDescent="0.3">
      <c r="A85" s="740" t="s">
        <v>317</v>
      </c>
      <c r="B85" s="449">
        <f>+B82/B95</f>
        <v>1.3406875116898033E-3</v>
      </c>
      <c r="C85" s="449">
        <f>+C82/C95</f>
        <v>1.8020479999192129E-3</v>
      </c>
      <c r="D85" s="449">
        <f>+D82/D95</f>
        <v>1.7749516014325313E-3</v>
      </c>
      <c r="E85" s="449">
        <f>+E82/E95</f>
        <v>1.4894903221098789E-3</v>
      </c>
      <c r="F85" s="449">
        <f>+F82/F95</f>
        <v>1.8475792817771112E-3</v>
      </c>
      <c r="G85" s="449">
        <f>+G82/G95</f>
        <v>1.8978040964099069E-3</v>
      </c>
      <c r="H85" s="449">
        <f>+H82/H95</f>
        <v>1.9536228911146694E-3</v>
      </c>
      <c r="I85" s="449">
        <f>+I82/I95</f>
        <v>1.9094882211637388E-3</v>
      </c>
      <c r="J85" s="449">
        <f>+J82/J95</f>
        <v>1.9957058940553011E-3</v>
      </c>
      <c r="K85" s="449">
        <f>+K82/K95</f>
        <v>2.1916380209229783E-3</v>
      </c>
      <c r="L85" s="449">
        <f>+L82/L95</f>
        <v>2.0897715381829854E-3</v>
      </c>
      <c r="M85" s="449">
        <f>+M82/M95</f>
        <v>2.2200612604612578E-3</v>
      </c>
      <c r="N85" s="449">
        <f>+N82/N95</f>
        <v>6.0210053072280948E-3</v>
      </c>
      <c r="O85" s="449">
        <f>+O82/O95</f>
        <v>6.1059806244224534E-3</v>
      </c>
      <c r="P85" s="449">
        <f>+P82/P95</f>
        <v>5.7713126659126755E-3</v>
      </c>
      <c r="Q85" s="449">
        <f>+Q82/Q95</f>
        <v>8.5309089438795754E-3</v>
      </c>
      <c r="R85" s="449">
        <f>+R82/R95</f>
        <v>8.0845939215430165E-3</v>
      </c>
      <c r="S85" s="449">
        <f>+S82/S95</f>
        <v>7.3044940032107103E-3</v>
      </c>
      <c r="T85" s="449">
        <f>+T82/T95</f>
        <v>9.900888741582339E-3</v>
      </c>
      <c r="U85" s="449">
        <f>+U82/U95</f>
        <v>1.2758618313050762E-2</v>
      </c>
      <c r="V85" s="450">
        <f>+V82/V95</f>
        <v>1.3412600006246306E-2</v>
      </c>
      <c r="W85" s="450">
        <f>+W82/W95</f>
        <v>1.3325214111029623E-2</v>
      </c>
      <c r="X85" s="450">
        <f>+X82/X95</f>
        <v>1.3778619955905238E-2</v>
      </c>
      <c r="Y85" s="450">
        <f>+Y82/Y95</f>
        <v>1.4178267245389634E-2</v>
      </c>
      <c r="Z85" s="450">
        <f>+Z82/Z95</f>
        <v>1.4631963403564693E-2</v>
      </c>
      <c r="AA85" s="451">
        <f>+AA82/AA95</f>
        <v>1.5747874863764003E-2</v>
      </c>
      <c r="AB85" s="691"/>
      <c r="AC85" s="61"/>
    </row>
    <row r="86" spans="1:29" s="62" customFormat="1" ht="15" customHeight="1" x14ac:dyDescent="0.3">
      <c r="A86" s="740" t="s">
        <v>318</v>
      </c>
      <c r="B86" s="452">
        <f>+B82/B96</f>
        <v>5.251672885241589E-3</v>
      </c>
      <c r="C86" s="452">
        <f>+C82/C96</f>
        <v>9.3004103141807286E-3</v>
      </c>
      <c r="D86" s="452">
        <f>+D82/D96</f>
        <v>1.1279451750531069E-2</v>
      </c>
      <c r="E86" s="452">
        <f>+E82/E96</f>
        <v>1.0773683483141174E-2</v>
      </c>
      <c r="F86" s="452">
        <f>+F82/F96</f>
        <v>1.6293287664878409E-2</v>
      </c>
      <c r="G86" s="452">
        <f>+G82/G96</f>
        <v>2.0354306189243967E-2</v>
      </c>
      <c r="H86" s="452">
        <f>+H82/H96</f>
        <v>2.2820732253606937E-2</v>
      </c>
      <c r="I86" s="452">
        <f>+I82/I96</f>
        <v>2.485373917285252E-2</v>
      </c>
      <c r="J86" s="452">
        <f>+J82/J96</f>
        <v>2.6483662578398043E-2</v>
      </c>
      <c r="K86" s="452">
        <f>+K82/K96</f>
        <v>2.9759825053830197E-2</v>
      </c>
      <c r="L86" s="452">
        <f>+L82/L96</f>
        <v>3.2024665140021197E-2</v>
      </c>
      <c r="M86" s="452">
        <f>+M82/M96</f>
        <v>3.5696385039485017E-2</v>
      </c>
      <c r="N86" s="452">
        <f>+N82/N96</f>
        <v>0.10002606421199906</v>
      </c>
      <c r="O86" s="452">
        <f>+O82/O96</f>
        <v>0.10784640240825918</v>
      </c>
      <c r="P86" s="452">
        <f>+P82/P96</f>
        <v>0.11034896488333744</v>
      </c>
      <c r="Q86" s="452">
        <f>+Q82/Q96</f>
        <v>0.19641612745219014</v>
      </c>
      <c r="R86" s="452">
        <f>+R82/R96</f>
        <v>0.22531672593189692</v>
      </c>
      <c r="S86" s="452">
        <f>+S82/S96</f>
        <v>0.23751329121173798</v>
      </c>
      <c r="T86" s="452">
        <f>+T82/T96</f>
        <v>0.34888392822949987</v>
      </c>
      <c r="U86" s="452">
        <f>+U82/U96</f>
        <v>0.46939346152777789</v>
      </c>
      <c r="V86" s="453">
        <f>+V82/V96</f>
        <v>0.4993299862574816</v>
      </c>
      <c r="W86" s="453">
        <f>+W82/W96</f>
        <v>0.54811478254816504</v>
      </c>
      <c r="X86" s="453">
        <f>+X82/X96</f>
        <v>0.61932340671838826</v>
      </c>
      <c r="Y86" s="453">
        <f>+Y82/Y96</f>
        <v>0.66562436988935159</v>
      </c>
      <c r="Z86" s="453">
        <f>+Z82/Z96</f>
        <v>0.74215620185814102</v>
      </c>
      <c r="AA86" s="454">
        <f>+AA82/AA96</f>
        <v>0.83202174184980715</v>
      </c>
      <c r="AB86" s="61"/>
      <c r="AC86" s="61"/>
    </row>
    <row r="87" spans="1:29" s="62" customFormat="1" ht="15" customHeight="1" x14ac:dyDescent="0.3">
      <c r="A87" s="740" t="s">
        <v>338</v>
      </c>
      <c r="B87" s="449">
        <f>+B86/B97</f>
        <v>1.6832284888594836E-2</v>
      </c>
      <c r="C87" s="449">
        <f>+C86/C97</f>
        <v>2.3485884631769517E-2</v>
      </c>
      <c r="D87" s="449">
        <f>+D86/D97</f>
        <v>2.4351147993374501E-2</v>
      </c>
      <c r="E87" s="449">
        <f>+E86/E97</f>
        <v>1.9517542541922415E-2</v>
      </c>
      <c r="F87" s="449">
        <f>+F86/F97</f>
        <v>2.6035934267942488E-2</v>
      </c>
      <c r="G87" s="449">
        <f>+G86/G97</f>
        <v>2.8797829922529664E-2</v>
      </c>
      <c r="H87" s="449">
        <f>+H86/H97</f>
        <v>2.9034010500772183E-2</v>
      </c>
      <c r="I87" s="449">
        <f>+I86/I97</f>
        <v>2.9007632087829738E-2</v>
      </c>
      <c r="J87" s="449">
        <f>+J86/J97</f>
        <v>2.7415799770598388E-2</v>
      </c>
      <c r="K87" s="449">
        <f>+K86/K97</f>
        <v>2.7403153824889684E-2</v>
      </c>
      <c r="L87" s="449">
        <f>+L86/L97</f>
        <v>2.6687220950017666E-2</v>
      </c>
      <c r="M87" s="449">
        <f>+M86/M97</f>
        <v>2.8196196713653251E-2</v>
      </c>
      <c r="N87" s="449">
        <f>+N86/N97</f>
        <v>7.4959580494603606E-2</v>
      </c>
      <c r="O87" s="449">
        <f>+O86/O97</f>
        <v>7.7711678547733351E-2</v>
      </c>
      <c r="P87" s="449">
        <f>+P86/P97</f>
        <v>7.6631225613428777E-2</v>
      </c>
      <c r="Q87" s="449">
        <f>+Q86/Q97</f>
        <v>0.12837655389032035</v>
      </c>
      <c r="R87" s="449">
        <f>+R86/R97</f>
        <v>0.13908439872339315</v>
      </c>
      <c r="S87" s="449">
        <f>+S86/S97</f>
        <v>0.13744982130308911</v>
      </c>
      <c r="T87" s="449">
        <f>+T86/T97</f>
        <v>0.18285321186032488</v>
      </c>
      <c r="U87" s="449">
        <f>+U86/U97</f>
        <v>0.23706740481200902</v>
      </c>
      <c r="V87" s="455">
        <f>+V86/V97</f>
        <v>0.2419234429542062</v>
      </c>
      <c r="W87" s="455">
        <f>+W86/W97</f>
        <v>0.25096830702754808</v>
      </c>
      <c r="X87" s="455">
        <f>+X86/X97</f>
        <v>0.26741079737408824</v>
      </c>
      <c r="Y87" s="455">
        <f>+Y86/Y97</f>
        <v>0.26413665471799663</v>
      </c>
      <c r="Z87" s="455">
        <f>+Z86/Z97</f>
        <v>0.27487266735486704</v>
      </c>
      <c r="AA87" s="456">
        <f>+AA86/AA97</f>
        <v>0.28769769773506471</v>
      </c>
      <c r="AB87" s="61"/>
      <c r="AC87" s="61"/>
    </row>
    <row r="88" spans="1:29" s="62" customFormat="1" ht="15" customHeight="1" thickBot="1" x14ac:dyDescent="0.35">
      <c r="A88" s="130" t="s">
        <v>603</v>
      </c>
      <c r="B88" s="457">
        <f>+B86/B99</f>
        <v>6.366886872315838E-3</v>
      </c>
      <c r="C88" s="457">
        <f>+C86/C99</f>
        <v>8.9147428517864693E-3</v>
      </c>
      <c r="D88" s="457">
        <f>+D86/D99</f>
        <v>7.8970929425765321E-3</v>
      </c>
      <c r="E88" s="457">
        <f>+E86/E99</f>
        <v>6.1955149910356772E-3</v>
      </c>
      <c r="F88" s="457">
        <f>+F86/F99</f>
        <v>8.865748318472472E-3</v>
      </c>
      <c r="G88" s="457">
        <f>+G86/G99</f>
        <v>9.6494665825731761E-3</v>
      </c>
      <c r="H88" s="457">
        <f>+H86/H99</f>
        <v>1.0064863027803071E-2</v>
      </c>
      <c r="I88" s="457">
        <f>+I86/I99</f>
        <v>9.8681812303756996E-3</v>
      </c>
      <c r="J88" s="457">
        <f>+J86/J99</f>
        <v>9.7929569530710633E-3</v>
      </c>
      <c r="K88" s="457">
        <f>+K86/K99</f>
        <v>1.0595678469074141E-2</v>
      </c>
      <c r="L88" s="457">
        <f>+L86/L99</f>
        <v>1.1725849798488798E-2</v>
      </c>
      <c r="M88" s="457">
        <f>+M86/M99</f>
        <v>1.2593365542167927E-2</v>
      </c>
      <c r="N88" s="457">
        <f>+N86/N99</f>
        <v>3.4591006214249875E-2</v>
      </c>
      <c r="O88" s="457">
        <f>+O86/O99</f>
        <v>3.6278270455684762E-2</v>
      </c>
      <c r="P88" s="457">
        <f>+P86/P99</f>
        <v>3.4456315097773506E-2</v>
      </c>
      <c r="Q88" s="457">
        <f>+Q86/Q99</f>
        <v>6.0230179191842023E-2</v>
      </c>
      <c r="R88" s="457">
        <f>+R86/R99</f>
        <v>6.6143203659614708E-2</v>
      </c>
      <c r="S88" s="457">
        <f>+S86/S99</f>
        <v>6.4384871299586074E-2</v>
      </c>
      <c r="T88" s="457">
        <f>+T86/T99</f>
        <v>8.666097346351738E-2</v>
      </c>
      <c r="U88" s="457">
        <f>+U86/U99</f>
        <v>0.11317129962269469</v>
      </c>
      <c r="V88" s="458">
        <f>+V86/V99</f>
        <v>0.16665181684143515</v>
      </c>
      <c r="W88" s="458">
        <f>+W86/W99</f>
        <v>0.13893784050339847</v>
      </c>
      <c r="X88" s="458">
        <f>+X86/X99</f>
        <v>0.1786915178694575</v>
      </c>
      <c r="Y88" s="458">
        <f>+Y86/Y99</f>
        <v>0.22939433630726949</v>
      </c>
      <c r="Z88" s="458">
        <f>+Z86/Z99</f>
        <v>0.1841468144957141</v>
      </c>
      <c r="AA88" s="459">
        <f>+AA86/AA99</f>
        <v>0.19331000677681284</v>
      </c>
      <c r="AB88" s="61"/>
      <c r="AC88" s="61"/>
    </row>
    <row r="89" spans="1:29" ht="15" customHeight="1" x14ac:dyDescent="0.3">
      <c r="A89" s="374"/>
      <c r="B89" s="374"/>
      <c r="C89" s="374"/>
      <c r="D89" s="374"/>
      <c r="E89" s="374"/>
      <c r="F89" s="374"/>
      <c r="G89" s="374"/>
      <c r="H89" s="374"/>
      <c r="I89" s="374"/>
      <c r="J89" s="374"/>
      <c r="K89" s="374"/>
      <c r="L89" s="374"/>
      <c r="M89" s="374"/>
      <c r="N89" s="374"/>
      <c r="O89" s="374"/>
      <c r="P89" s="374"/>
      <c r="Q89" s="374"/>
      <c r="R89" s="374"/>
      <c r="S89" s="374"/>
      <c r="T89" s="374"/>
      <c r="U89" s="374"/>
      <c r="V89" s="386"/>
      <c r="W89" s="386"/>
      <c r="X89" s="386"/>
      <c r="Y89" s="386"/>
      <c r="Z89" s="386"/>
      <c r="AA89" s="386"/>
    </row>
    <row r="90" spans="1:29" ht="15" thickBot="1" x14ac:dyDescent="0.35">
      <c r="B90" s="386"/>
      <c r="C90" s="386"/>
      <c r="D90" s="386"/>
      <c r="E90" s="386"/>
      <c r="F90" s="386"/>
      <c r="G90" s="386"/>
      <c r="H90" s="386"/>
      <c r="I90" s="386"/>
      <c r="J90" s="386"/>
      <c r="K90" s="386"/>
      <c r="L90" s="386"/>
      <c r="M90" s="386"/>
      <c r="N90" s="386"/>
      <c r="O90" s="386"/>
      <c r="P90" s="386"/>
      <c r="Q90" s="386"/>
      <c r="R90" s="386"/>
      <c r="S90" s="386"/>
      <c r="T90" s="386"/>
      <c r="U90" s="386"/>
      <c r="V90" s="386"/>
      <c r="W90" s="386"/>
      <c r="X90" s="386"/>
      <c r="Y90" s="386"/>
      <c r="Z90" s="386"/>
      <c r="AA90" s="386"/>
    </row>
    <row r="91" spans="1:29" s="361" customFormat="1" ht="25.05" customHeight="1" thickBot="1" x14ac:dyDescent="0.35">
      <c r="A91" s="721" t="s">
        <v>292</v>
      </c>
      <c r="B91" s="359" t="s">
        <v>193</v>
      </c>
      <c r="C91" s="359" t="s">
        <v>194</v>
      </c>
      <c r="D91" s="359" t="s">
        <v>195</v>
      </c>
      <c r="E91" s="359" t="s">
        <v>196</v>
      </c>
      <c r="F91" s="359" t="s">
        <v>197</v>
      </c>
      <c r="G91" s="359" t="s">
        <v>198</v>
      </c>
      <c r="H91" s="359" t="s">
        <v>199</v>
      </c>
      <c r="I91" s="359" t="s">
        <v>200</v>
      </c>
      <c r="J91" s="359" t="s">
        <v>201</v>
      </c>
      <c r="K91" s="359" t="s">
        <v>171</v>
      </c>
      <c r="L91" s="359" t="s">
        <v>172</v>
      </c>
      <c r="M91" s="359" t="s">
        <v>173</v>
      </c>
      <c r="N91" s="359" t="s">
        <v>174</v>
      </c>
      <c r="O91" s="359" t="s">
        <v>175</v>
      </c>
      <c r="P91" s="359" t="s">
        <v>176</v>
      </c>
      <c r="Q91" s="359" t="s">
        <v>177</v>
      </c>
      <c r="R91" s="359" t="s">
        <v>178</v>
      </c>
      <c r="S91" s="359" t="s">
        <v>179</v>
      </c>
      <c r="T91" s="359" t="s">
        <v>180</v>
      </c>
      <c r="U91" s="359" t="s">
        <v>181</v>
      </c>
      <c r="V91" s="359" t="s">
        <v>182</v>
      </c>
      <c r="W91" s="359" t="s">
        <v>183</v>
      </c>
      <c r="X91" s="359" t="s">
        <v>184</v>
      </c>
      <c r="Y91" s="359" t="s">
        <v>185</v>
      </c>
      <c r="Z91" s="359" t="s">
        <v>186</v>
      </c>
      <c r="AA91" s="360" t="s">
        <v>187</v>
      </c>
    </row>
    <row r="92" spans="1:29" s="62" customFormat="1" ht="4.95" customHeight="1" x14ac:dyDescent="0.3">
      <c r="A92" s="768"/>
      <c r="B92" s="431"/>
      <c r="C92" s="431"/>
      <c r="D92" s="431"/>
      <c r="E92" s="431"/>
      <c r="F92" s="431"/>
      <c r="G92" s="431"/>
      <c r="H92" s="431"/>
      <c r="I92" s="431"/>
      <c r="J92" s="431"/>
      <c r="K92" s="431"/>
      <c r="L92" s="431"/>
      <c r="M92" s="431"/>
      <c r="N92" s="431"/>
      <c r="O92" s="431"/>
      <c r="P92" s="431"/>
      <c r="Q92" s="431"/>
      <c r="R92" s="431"/>
      <c r="S92" s="431"/>
      <c r="T92" s="431"/>
      <c r="U92" s="431"/>
      <c r="V92" s="432"/>
      <c r="W92" s="432"/>
      <c r="X92" s="432"/>
      <c r="Y92" s="432"/>
      <c r="Z92" s="432"/>
      <c r="AA92" s="433"/>
      <c r="AB92" s="61"/>
      <c r="AC92" s="61"/>
    </row>
    <row r="93" spans="1:29" s="62" customFormat="1" ht="15" customHeight="1" x14ac:dyDescent="0.3">
      <c r="A93" s="768" t="s">
        <v>346</v>
      </c>
      <c r="B93" s="431">
        <v>1942848</v>
      </c>
      <c r="C93" s="431">
        <v>2620028</v>
      </c>
      <c r="D93" s="431">
        <v>3282066</v>
      </c>
      <c r="E93" s="431">
        <v>3958331</v>
      </c>
      <c r="F93" s="431">
        <v>4615392</v>
      </c>
      <c r="G93" s="431">
        <v>5265065</v>
      </c>
      <c r="H93" s="431">
        <v>6137989</v>
      </c>
      <c r="I93" s="431">
        <v>6909976</v>
      </c>
      <c r="J93" s="431">
        <v>7781898</v>
      </c>
      <c r="K93" s="431">
        <v>8424877</v>
      </c>
      <c r="L93" s="431">
        <v>8863559</v>
      </c>
      <c r="M93" s="431">
        <v>9705943</v>
      </c>
      <c r="N93" s="431">
        <v>10354499</v>
      </c>
      <c r="O93" s="431">
        <v>10804507</v>
      </c>
      <c r="P93" s="431">
        <v>11605137</v>
      </c>
      <c r="Q93" s="431">
        <v>12751889</v>
      </c>
      <c r="R93" s="431">
        <v>14085768</v>
      </c>
      <c r="S93" s="431">
        <v>16062629</v>
      </c>
      <c r="T93" s="431">
        <v>18897024</v>
      </c>
      <c r="U93" s="431">
        <v>22411428</v>
      </c>
      <c r="V93" s="432">
        <v>24273284</v>
      </c>
      <c r="W93" s="432">
        <v>25064326.953100003</v>
      </c>
      <c r="X93" s="432">
        <v>27914829.261369999</v>
      </c>
      <c r="Y93" s="432">
        <v>29558004.279620003</v>
      </c>
      <c r="Z93" s="432">
        <v>32854530.702718999</v>
      </c>
      <c r="AA93" s="433">
        <v>36828248.538240001</v>
      </c>
      <c r="AB93" s="61"/>
      <c r="AC93" s="61"/>
    </row>
    <row r="94" spans="1:29" s="62" customFormat="1" ht="15" customHeight="1" x14ac:dyDescent="0.3">
      <c r="A94" s="769" t="s">
        <v>364</v>
      </c>
      <c r="B94" s="431">
        <v>1188284</v>
      </c>
      <c r="C94" s="431">
        <v>1582300</v>
      </c>
      <c r="D94" s="431">
        <v>2020231</v>
      </c>
      <c r="E94" s="431">
        <v>2495916</v>
      </c>
      <c r="F94" s="431">
        <v>2951931</v>
      </c>
      <c r="G94" s="431">
        <v>3439226</v>
      </c>
      <c r="H94" s="431">
        <v>4049983</v>
      </c>
      <c r="I94" s="431">
        <v>4534027</v>
      </c>
      <c r="J94" s="431">
        <v>5114445</v>
      </c>
      <c r="K94" s="431">
        <v>5700767</v>
      </c>
      <c r="L94" s="431">
        <v>6083716</v>
      </c>
      <c r="M94" s="431">
        <v>6616881</v>
      </c>
      <c r="N94" s="431">
        <v>7032033</v>
      </c>
      <c r="O94" s="431">
        <v>7375732</v>
      </c>
      <c r="P94" s="431">
        <v>7860898</v>
      </c>
      <c r="Q94" s="431">
        <v>8516978</v>
      </c>
      <c r="R94" s="431">
        <v>9384476</v>
      </c>
      <c r="S94" s="431">
        <v>10596188</v>
      </c>
      <c r="T94" s="431">
        <v>12586645</v>
      </c>
      <c r="U94" s="431">
        <v>15096859</v>
      </c>
      <c r="V94" s="432">
        <v>16757449.545</v>
      </c>
      <c r="W94" s="432">
        <v>17591128</v>
      </c>
      <c r="X94" s="432">
        <v>19578283</v>
      </c>
      <c r="Y94" s="432">
        <v>20934930</v>
      </c>
      <c r="Z94" s="432">
        <v>22775605.203000002</v>
      </c>
      <c r="AA94" s="433">
        <v>24750472.215</v>
      </c>
      <c r="AB94" s="61"/>
      <c r="AC94" s="61"/>
    </row>
    <row r="95" spans="1:29" s="62" customFormat="1" ht="15" customHeight="1" x14ac:dyDescent="0.3">
      <c r="A95" s="769" t="s">
        <v>497</v>
      </c>
      <c r="B95" s="431">
        <v>10096424.3956737</v>
      </c>
      <c r="C95" s="431">
        <v>13212666.6665191</v>
      </c>
      <c r="D95" s="431">
        <v>16665745.886324901</v>
      </c>
      <c r="E95" s="431">
        <v>19924680.966010801</v>
      </c>
      <c r="F95" s="431">
        <v>23953800.140815299</v>
      </c>
      <c r="G95" s="431">
        <v>29141591.313150302</v>
      </c>
      <c r="H95" s="431">
        <v>32173374.4398016</v>
      </c>
      <c r="I95" s="431">
        <v>35621374.458411701</v>
      </c>
      <c r="J95" s="431">
        <v>37549275.3382245</v>
      </c>
      <c r="K95" s="431">
        <v>38246923.164208896</v>
      </c>
      <c r="L95" s="431">
        <v>42005194.286644906</v>
      </c>
      <c r="M95" s="431">
        <v>45067992.919380002</v>
      </c>
      <c r="N95" s="431">
        <v>48044478.8701199</v>
      </c>
      <c r="O95" s="431">
        <v>52299888.133072101</v>
      </c>
      <c r="P95" s="431">
        <v>60471710.758510597</v>
      </c>
      <c r="Q95" s="431">
        <v>68831705.427037701</v>
      </c>
      <c r="R95" s="431">
        <v>82080219.853930399</v>
      </c>
      <c r="S95" s="431">
        <v>90702903.280006707</v>
      </c>
      <c r="T95" s="431">
        <v>93854108.40416041</v>
      </c>
      <c r="U95" s="431">
        <v>96686356.858733609</v>
      </c>
      <c r="V95" s="432">
        <v>110998728.917933</v>
      </c>
      <c r="W95" s="432">
        <v>121319461.77366801</v>
      </c>
      <c r="X95" s="432">
        <v>129027552.556674</v>
      </c>
      <c r="Y95" s="432">
        <v>137229575.80147901</v>
      </c>
      <c r="Z95" s="432">
        <v>147568108.33006099</v>
      </c>
      <c r="AA95" s="433">
        <v>157130883.753636</v>
      </c>
      <c r="AB95" s="61"/>
      <c r="AC95" s="61"/>
    </row>
    <row r="96" spans="1:29" ht="15" customHeight="1" x14ac:dyDescent="0.3">
      <c r="A96" s="769" t="s">
        <v>552</v>
      </c>
      <c r="B96" s="423">
        <v>2577493</v>
      </c>
      <c r="C96" s="423">
        <v>2560087</v>
      </c>
      <c r="D96" s="423">
        <v>2622547</v>
      </c>
      <c r="E96" s="423">
        <v>2754640</v>
      </c>
      <c r="F96" s="423">
        <v>2716244</v>
      </c>
      <c r="G96" s="423">
        <v>2717117</v>
      </c>
      <c r="H96" s="423">
        <v>2754278</v>
      </c>
      <c r="I96" s="423">
        <v>2736755</v>
      </c>
      <c r="J96" s="423">
        <v>2829567.4696869226</v>
      </c>
      <c r="K96" s="423">
        <v>2816663.4326101867</v>
      </c>
      <c r="L96" s="423">
        <v>2741051.5954584302</v>
      </c>
      <c r="M96" s="423">
        <v>2802908.6154350061</v>
      </c>
      <c r="N96" s="423">
        <v>2892006.8438052032</v>
      </c>
      <c r="O96" s="423">
        <v>2961082.5810499536</v>
      </c>
      <c r="P96" s="423">
        <v>3162704.3407155583</v>
      </c>
      <c r="Q96" s="423">
        <v>2989555.9955631979</v>
      </c>
      <c r="R96" s="423">
        <v>2945122</v>
      </c>
      <c r="S96" s="423">
        <v>2789481</v>
      </c>
      <c r="T96" s="423">
        <v>2663462</v>
      </c>
      <c r="U96" s="423">
        <v>2628039</v>
      </c>
      <c r="V96" s="695">
        <v>2981558.4746602895</v>
      </c>
      <c r="W96" s="695">
        <v>2949396.4684795598</v>
      </c>
      <c r="X96" s="695">
        <v>2870586.8230286203</v>
      </c>
      <c r="Y96" s="695">
        <v>2923086.4849618692</v>
      </c>
      <c r="Z96" s="695">
        <v>2909375.6209443407</v>
      </c>
      <c r="AA96" s="696">
        <v>2974053.8859999999</v>
      </c>
    </row>
    <row r="97" spans="1:27" ht="15" customHeight="1" x14ac:dyDescent="0.3">
      <c r="A97" s="769" t="s">
        <v>483</v>
      </c>
      <c r="B97" s="692">
        <v>0.312</v>
      </c>
      <c r="C97" s="692">
        <v>0.39600000000000002</v>
      </c>
      <c r="D97" s="692">
        <v>0.4632</v>
      </c>
      <c r="E97" s="692">
        <v>0.55200000000000005</v>
      </c>
      <c r="F97" s="692">
        <v>0.62580000000000002</v>
      </c>
      <c r="G97" s="692">
        <v>0.70679999999999998</v>
      </c>
      <c r="H97" s="692">
        <v>0.78600000000000003</v>
      </c>
      <c r="I97" s="692">
        <v>0.85680000000000001</v>
      </c>
      <c r="J97" s="692">
        <v>0.96599999999999997</v>
      </c>
      <c r="K97" s="692">
        <v>1.0860000000000001</v>
      </c>
      <c r="L97" s="692">
        <v>1.2</v>
      </c>
      <c r="M97" s="692">
        <v>1.266</v>
      </c>
      <c r="N97" s="692">
        <v>1.3344</v>
      </c>
      <c r="O97" s="692">
        <v>1.3877759999999999</v>
      </c>
      <c r="P97" s="692">
        <v>1.44</v>
      </c>
      <c r="Q97" s="692">
        <v>1.53</v>
      </c>
      <c r="R97" s="692">
        <v>1.62</v>
      </c>
      <c r="S97" s="692">
        <v>1.728</v>
      </c>
      <c r="T97" s="692">
        <v>1.9079999999999999</v>
      </c>
      <c r="U97" s="692">
        <v>1.98</v>
      </c>
      <c r="V97" s="693">
        <v>2.0640000000000001</v>
      </c>
      <c r="W97" s="693">
        <v>2.1840000000000002</v>
      </c>
      <c r="X97" s="693">
        <v>2.3159999999999998</v>
      </c>
      <c r="Y97" s="693">
        <v>2.52</v>
      </c>
      <c r="Z97" s="693">
        <v>2.7</v>
      </c>
      <c r="AA97" s="694">
        <v>2.8919999999999999</v>
      </c>
    </row>
    <row r="98" spans="1:27" ht="15" customHeight="1" x14ac:dyDescent="0.3">
      <c r="A98" s="769" t="s">
        <v>484</v>
      </c>
      <c r="B98" s="692">
        <v>0.99179111782683282</v>
      </c>
      <c r="C98" s="692">
        <v>1.2544200000000001</v>
      </c>
      <c r="D98" s="692">
        <v>1.499808</v>
      </c>
      <c r="E98" s="692">
        <v>1.826004</v>
      </c>
      <c r="F98" s="692">
        <v>2.0990280000000001</v>
      </c>
      <c r="G98" s="692">
        <v>2.4092280000000001</v>
      </c>
      <c r="H98" s="692">
        <v>2.6861039999999998</v>
      </c>
      <c r="I98" s="692">
        <v>2.9837039999999999</v>
      </c>
      <c r="J98" s="692">
        <v>3.1342439999999998</v>
      </c>
      <c r="K98" s="692">
        <v>3.255144</v>
      </c>
      <c r="L98" s="692">
        <v>3.4655040000000001</v>
      </c>
      <c r="M98" s="692">
        <v>3.5967359999999999</v>
      </c>
      <c r="N98" s="692">
        <v>3.6692399999999998</v>
      </c>
      <c r="O98" s="692">
        <v>3.8016719999999999</v>
      </c>
      <c r="P98" s="692">
        <v>4.0955760000000003</v>
      </c>
      <c r="Q98" s="692">
        <v>4.1704080000000001</v>
      </c>
      <c r="R98" s="692">
        <v>4.3563599999999996</v>
      </c>
      <c r="S98" s="692">
        <v>4.7175840000000004</v>
      </c>
      <c r="T98" s="692">
        <v>5.1484079999999999</v>
      </c>
      <c r="U98" s="692">
        <v>5.3041559999999999</v>
      </c>
      <c r="V98" s="693">
        <v>5.6532960000000001</v>
      </c>
      <c r="W98" s="693">
        <v>6.0944279999999997</v>
      </c>
      <c r="X98" s="693">
        <v>6.5706360000000004</v>
      </c>
      <c r="Y98" s="693">
        <v>7.1181599999999996</v>
      </c>
      <c r="Z98" s="693">
        <v>7.6405560000000001</v>
      </c>
      <c r="AA98" s="694">
        <v>8.1597000000000008</v>
      </c>
    </row>
    <row r="99" spans="1:27" ht="15" customHeight="1" x14ac:dyDescent="0.3">
      <c r="A99" s="770" t="s">
        <v>485</v>
      </c>
      <c r="B99" s="697">
        <v>0.82484155766558953</v>
      </c>
      <c r="C99" s="697">
        <v>1.0432617596274214</v>
      </c>
      <c r="D99" s="697">
        <v>1.4283042928010667</v>
      </c>
      <c r="E99" s="697">
        <v>1.7389488200302432</v>
      </c>
      <c r="F99" s="697">
        <v>1.8377791788799243</v>
      </c>
      <c r="G99" s="697">
        <v>2.1093711258613617</v>
      </c>
      <c r="H99" s="697">
        <v>2.2673664003739731</v>
      </c>
      <c r="I99" s="697">
        <v>2.5185734425254664</v>
      </c>
      <c r="J99" s="697">
        <v>2.7043581121933542</v>
      </c>
      <c r="K99" s="697">
        <v>2.8086757389525272</v>
      </c>
      <c r="L99" s="697">
        <v>2.7311167796255131</v>
      </c>
      <c r="M99" s="697">
        <v>2.834538941949901</v>
      </c>
      <c r="N99" s="697">
        <v>2.8916783626488725</v>
      </c>
      <c r="O99" s="697">
        <v>2.972754793809631</v>
      </c>
      <c r="P99" s="697">
        <v>3.2025759159158591</v>
      </c>
      <c r="Q99" s="697">
        <v>3.2610915339729565</v>
      </c>
      <c r="R99" s="697">
        <v>3.4064985284265776</v>
      </c>
      <c r="S99" s="697">
        <v>3.688961186341067</v>
      </c>
      <c r="T99" s="697">
        <v>4.0258482484779998</v>
      </c>
      <c r="U99" s="697">
        <v>4.1476369282026742</v>
      </c>
      <c r="V99" s="698">
        <v>2.9962468800000002</v>
      </c>
      <c r="W99" s="698">
        <v>3.945036</v>
      </c>
      <c r="X99" s="698">
        <v>3.4658802729004345</v>
      </c>
      <c r="Y99" s="698">
        <v>2.9016600000000001</v>
      </c>
      <c r="Z99" s="698">
        <v>4.0302418691875568</v>
      </c>
      <c r="AA99" s="699">
        <v>4.3040800407731741</v>
      </c>
    </row>
    <row r="100" spans="1:27" ht="15" customHeight="1" x14ac:dyDescent="0.3">
      <c r="A100" s="771" t="s">
        <v>486</v>
      </c>
      <c r="B100" s="374"/>
      <c r="C100" s="374"/>
      <c r="D100" s="374"/>
      <c r="E100" s="374"/>
      <c r="F100" s="374"/>
      <c r="G100" s="374"/>
      <c r="H100" s="374"/>
      <c r="I100" s="374"/>
      <c r="J100" s="374"/>
      <c r="K100" s="374"/>
      <c r="L100" s="374"/>
      <c r="M100" s="374"/>
      <c r="N100" s="374"/>
      <c r="O100" s="374"/>
      <c r="P100" s="374"/>
      <c r="Q100" s="374"/>
      <c r="R100" s="374"/>
      <c r="S100" s="374"/>
      <c r="T100" s="374"/>
      <c r="U100" s="374"/>
    </row>
    <row r="101" spans="1:27" ht="15" customHeight="1" x14ac:dyDescent="0.3">
      <c r="A101" s="772" t="s">
        <v>488</v>
      </c>
      <c r="B101" s="374"/>
      <c r="C101" s="374"/>
      <c r="D101" s="374"/>
      <c r="E101" s="374"/>
      <c r="F101" s="374"/>
      <c r="G101" s="374"/>
      <c r="H101" s="374"/>
      <c r="I101" s="374"/>
      <c r="J101" s="374"/>
      <c r="K101" s="374"/>
      <c r="L101" s="374"/>
      <c r="M101" s="374"/>
      <c r="N101" s="374"/>
      <c r="O101" s="374"/>
      <c r="P101" s="374"/>
      <c r="Q101" s="374"/>
      <c r="R101" s="374"/>
      <c r="S101" s="374"/>
      <c r="T101" s="374"/>
      <c r="U101" s="374"/>
    </row>
    <row r="102" spans="1:27" ht="15" customHeight="1" x14ac:dyDescent="0.3">
      <c r="A102" s="772" t="s">
        <v>489</v>
      </c>
      <c r="B102" s="374"/>
      <c r="C102" s="374"/>
      <c r="D102" s="374"/>
      <c r="E102" s="374"/>
      <c r="F102" s="374"/>
      <c r="G102" s="374"/>
      <c r="H102" s="374"/>
      <c r="I102" s="374"/>
      <c r="J102" s="374"/>
      <c r="K102" s="374"/>
      <c r="L102" s="374"/>
      <c r="M102" s="374"/>
      <c r="N102" s="374"/>
      <c r="O102" s="374"/>
      <c r="P102" s="374"/>
      <c r="Q102" s="374"/>
      <c r="R102" s="374"/>
      <c r="S102" s="374"/>
      <c r="T102" s="374"/>
      <c r="U102" s="374"/>
    </row>
    <row r="103" spans="1:27" ht="15" customHeight="1" x14ac:dyDescent="0.3">
      <c r="A103" s="772" t="s">
        <v>487</v>
      </c>
      <c r="B103" s="374"/>
      <c r="C103" s="374"/>
      <c r="D103" s="374"/>
      <c r="E103" s="374"/>
      <c r="F103" s="374"/>
      <c r="G103" s="374"/>
      <c r="H103" s="374"/>
      <c r="I103" s="374"/>
      <c r="J103" s="374"/>
      <c r="K103" s="374"/>
      <c r="L103" s="374"/>
      <c r="M103" s="374"/>
      <c r="N103" s="374"/>
      <c r="O103" s="374"/>
      <c r="P103" s="374"/>
      <c r="Q103" s="374"/>
      <c r="R103" s="374"/>
      <c r="S103" s="374"/>
      <c r="T103" s="374"/>
      <c r="U103" s="374"/>
    </row>
    <row r="104" spans="1:27" ht="15" customHeight="1" x14ac:dyDescent="0.3">
      <c r="A104" s="772" t="s">
        <v>490</v>
      </c>
      <c r="B104" s="374"/>
      <c r="C104" s="374"/>
      <c r="D104" s="374"/>
      <c r="E104" s="374"/>
      <c r="F104" s="374"/>
      <c r="G104" s="374"/>
      <c r="H104" s="374"/>
      <c r="I104" s="374"/>
      <c r="J104" s="374"/>
      <c r="K104" s="374"/>
      <c r="L104" s="374"/>
      <c r="M104" s="374"/>
      <c r="N104" s="374"/>
      <c r="O104" s="374"/>
      <c r="P104" s="374"/>
      <c r="Q104" s="374"/>
      <c r="R104" s="374"/>
      <c r="S104" s="374"/>
      <c r="T104" s="374"/>
      <c r="U104" s="374"/>
    </row>
    <row r="105" spans="1:27" ht="15" customHeight="1" x14ac:dyDescent="0.3">
      <c r="A105" s="772" t="s">
        <v>491</v>
      </c>
      <c r="B105" s="374"/>
      <c r="C105" s="374"/>
      <c r="D105" s="374"/>
      <c r="E105" s="374"/>
      <c r="F105" s="374"/>
      <c r="G105" s="374"/>
      <c r="H105" s="374"/>
      <c r="I105" s="374"/>
      <c r="J105" s="374"/>
      <c r="K105" s="374"/>
      <c r="L105" s="374"/>
      <c r="M105" s="374"/>
      <c r="N105" s="374"/>
      <c r="O105" s="374"/>
      <c r="P105" s="374"/>
      <c r="Q105" s="374"/>
      <c r="R105" s="374"/>
      <c r="S105" s="374"/>
      <c r="T105" s="374"/>
      <c r="U105" s="374"/>
    </row>
    <row r="106" spans="1:27" x14ac:dyDescent="0.3">
      <c r="A106" s="13"/>
    </row>
    <row r="107" spans="1:27" x14ac:dyDescent="0.3">
      <c r="A107" s="771"/>
    </row>
    <row r="108" spans="1:27" x14ac:dyDescent="0.3">
      <c r="A108" s="772"/>
    </row>
    <row r="109" spans="1:27" x14ac:dyDescent="0.3">
      <c r="A109" s="772"/>
    </row>
    <row r="110" spans="1:27" x14ac:dyDescent="0.3">
      <c r="A110" s="772"/>
    </row>
    <row r="111" spans="1:27" x14ac:dyDescent="0.3">
      <c r="A111" s="772"/>
    </row>
    <row r="112" spans="1:27" x14ac:dyDescent="0.3">
      <c r="A112" s="772"/>
    </row>
  </sheetData>
  <pageMargins left="0.75" right="0.75" top="1" bottom="1" header="0.5" footer="0.5"/>
  <pageSetup orientation="portrait" horizontalDpi="4294967292" verticalDpi="4294967292" r:id="rId1"/>
  <ignoredErrors>
    <ignoredError sqref="B91:AA91" numberStoredAsText="1"/>
    <ignoredError sqref="B38:AA3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8"/>
  <sheetViews>
    <sheetView showGridLines="0" zoomScale="89" zoomScaleNormal="89" workbookViewId="0">
      <pane xSplit="1" ySplit="4" topLeftCell="B5" activePane="bottomRight" state="frozen"/>
      <selection pane="topRight" activeCell="B1" sqref="B1"/>
      <selection pane="bottomLeft" activeCell="A5" sqref="A5"/>
      <selection pane="bottomRight" activeCell="A24" sqref="A24"/>
    </sheetView>
  </sheetViews>
  <sheetFormatPr defaultColWidth="11.44140625" defaultRowHeight="14.4" x14ac:dyDescent="0.3"/>
  <cols>
    <col min="1" max="1" width="67.88671875" style="774" customWidth="1"/>
    <col min="2" max="7" width="12.77734375" style="774" customWidth="1"/>
    <col min="8" max="16384" width="11.44140625" style="774"/>
  </cols>
  <sheetData>
    <row r="1" spans="1:9" ht="30" customHeight="1" x14ac:dyDescent="0.3">
      <c r="A1" s="773" t="s">
        <v>492</v>
      </c>
      <c r="B1" s="773"/>
      <c r="C1" s="773"/>
      <c r="D1" s="773"/>
      <c r="E1" s="773"/>
      <c r="F1" s="773"/>
      <c r="G1" s="773"/>
    </row>
    <row r="2" spans="1:9" ht="30" customHeight="1" x14ac:dyDescent="0.3">
      <c r="A2" s="773"/>
      <c r="B2" s="773"/>
      <c r="C2" s="773"/>
      <c r="D2" s="773"/>
      <c r="E2" s="773"/>
      <c r="F2" s="773"/>
      <c r="G2" s="773"/>
    </row>
    <row r="3" spans="1:9" s="777" customFormat="1" ht="19.95" customHeight="1" thickBot="1" x14ac:dyDescent="0.35">
      <c r="A3" s="775" t="s">
        <v>493</v>
      </c>
      <c r="B3" s="776"/>
      <c r="C3" s="776"/>
      <c r="D3" s="776"/>
      <c r="E3" s="776"/>
      <c r="F3" s="776"/>
      <c r="G3" s="776"/>
    </row>
    <row r="4" spans="1:9" s="777" customFormat="1" ht="25.05" customHeight="1" thickBot="1" x14ac:dyDescent="0.35">
      <c r="A4" s="778" t="s">
        <v>494</v>
      </c>
      <c r="B4" s="779">
        <v>2010</v>
      </c>
      <c r="C4" s="779">
        <v>2011</v>
      </c>
      <c r="D4" s="779">
        <v>2012</v>
      </c>
      <c r="E4" s="779">
        <v>2013</v>
      </c>
      <c r="F4" s="779">
        <v>2014</v>
      </c>
      <c r="G4" s="780">
        <v>2015</v>
      </c>
    </row>
    <row r="5" spans="1:9" s="777" customFormat="1" ht="4.95" customHeight="1" x14ac:dyDescent="0.3">
      <c r="B5" s="781"/>
      <c r="C5" s="781"/>
      <c r="D5" s="781"/>
      <c r="E5" s="781"/>
      <c r="F5" s="781"/>
      <c r="G5" s="782"/>
    </row>
    <row r="6" spans="1:9" s="777" customFormat="1" ht="15" customHeight="1" x14ac:dyDescent="0.3">
      <c r="A6" s="783" t="s">
        <v>264</v>
      </c>
      <c r="B6" s="784"/>
      <c r="C6" s="784"/>
      <c r="D6" s="784"/>
      <c r="E6" s="784"/>
      <c r="F6" s="784"/>
      <c r="G6" s="785"/>
    </row>
    <row r="7" spans="1:9" s="777" customFormat="1" ht="15" customHeight="1" x14ac:dyDescent="0.3">
      <c r="A7" s="777" t="s">
        <v>211</v>
      </c>
      <c r="B7" s="781">
        <v>1499.9175</v>
      </c>
      <c r="C7" s="781">
        <v>1995.88</v>
      </c>
      <c r="D7" s="781">
        <v>2276.8474999999999</v>
      </c>
      <c r="E7" s="781">
        <v>1326.0625</v>
      </c>
      <c r="F7" s="781">
        <v>3087.45</v>
      </c>
      <c r="G7" s="782">
        <v>8418.4150000000009</v>
      </c>
    </row>
    <row r="8" spans="1:9" s="777" customFormat="1" ht="15" customHeight="1" x14ac:dyDescent="0.3">
      <c r="A8" s="777" t="s">
        <v>213</v>
      </c>
      <c r="B8" s="781">
        <v>0</v>
      </c>
      <c r="C8" s="781">
        <v>0</v>
      </c>
      <c r="D8" s="781">
        <v>948.1</v>
      </c>
      <c r="E8" s="781">
        <v>4170.5</v>
      </c>
      <c r="F8" s="781">
        <v>4285.1000000000004</v>
      </c>
      <c r="G8" s="782">
        <v>6080.9</v>
      </c>
    </row>
    <row r="9" spans="1:9" s="777" customFormat="1" ht="15" customHeight="1" x14ac:dyDescent="0.3">
      <c r="A9" s="777" t="s">
        <v>212</v>
      </c>
      <c r="B9" s="781">
        <v>701.49510000000009</v>
      </c>
      <c r="C9" s="781">
        <v>822.76301999999998</v>
      </c>
      <c r="D9" s="781">
        <v>3863.745465</v>
      </c>
      <c r="E9" s="781">
        <v>8859.3053870000003</v>
      </c>
      <c r="F9" s="781">
        <v>7644.4897639999999</v>
      </c>
      <c r="G9" s="782">
        <v>2210.24764</v>
      </c>
      <c r="H9" s="786"/>
      <c r="I9" s="786"/>
    </row>
    <row r="10" spans="1:9" s="777" customFormat="1" ht="15" customHeight="1" x14ac:dyDescent="0.3">
      <c r="A10" s="777" t="s">
        <v>214</v>
      </c>
      <c r="B10" s="781">
        <v>2981.5753</v>
      </c>
      <c r="C10" s="781">
        <v>2170.02232</v>
      </c>
      <c r="D10" s="781">
        <v>3278.4767019999999</v>
      </c>
      <c r="E10" s="781">
        <v>4304.7232910000002</v>
      </c>
      <c r="F10" s="781">
        <v>3055.2557570000004</v>
      </c>
      <c r="G10" s="782">
        <v>3781.6610289999999</v>
      </c>
    </row>
    <row r="11" spans="1:9" s="777" customFormat="1" ht="15" customHeight="1" x14ac:dyDescent="0.3">
      <c r="A11" s="777" t="s">
        <v>215</v>
      </c>
      <c r="B11" s="781">
        <v>30484.640862938122</v>
      </c>
      <c r="C11" s="781">
        <v>30532.657038421141</v>
      </c>
      <c r="D11" s="781">
        <v>34720.317156419827</v>
      </c>
      <c r="E11" s="781">
        <v>38280.978118742358</v>
      </c>
      <c r="F11" s="781">
        <v>38843.673255643749</v>
      </c>
      <c r="G11" s="782">
        <v>42479.579897869684</v>
      </c>
    </row>
    <row r="12" spans="1:9" s="777" customFormat="1" ht="15" customHeight="1" x14ac:dyDescent="0.3">
      <c r="A12" s="777" t="s">
        <v>216</v>
      </c>
      <c r="B12" s="781">
        <v>2097.7863487999998</v>
      </c>
      <c r="C12" s="781">
        <v>3649.7914209499995</v>
      </c>
      <c r="D12" s="781">
        <v>2089.85572</v>
      </c>
      <c r="E12" s="781">
        <v>2983.4536802100001</v>
      </c>
      <c r="F12" s="781">
        <v>2529.7407935300002</v>
      </c>
      <c r="G12" s="782">
        <v>3066.48483162</v>
      </c>
    </row>
    <row r="13" spans="1:9" s="777" customFormat="1" ht="15" customHeight="1" x14ac:dyDescent="0.3">
      <c r="A13" s="777" t="s">
        <v>217</v>
      </c>
      <c r="B13" s="781">
        <v>16954.09445859522</v>
      </c>
      <c r="C13" s="781">
        <v>19915.340713092784</v>
      </c>
      <c r="D13" s="781">
        <v>24917.743498218075</v>
      </c>
      <c r="E13" s="781">
        <v>30588.964500133108</v>
      </c>
      <c r="F13" s="781">
        <v>33922.933432537124</v>
      </c>
      <c r="G13" s="782">
        <v>41470.682444454738</v>
      </c>
    </row>
    <row r="14" spans="1:9" s="777" customFormat="1" ht="15" customHeight="1" x14ac:dyDescent="0.3">
      <c r="A14" s="787" t="s">
        <v>261</v>
      </c>
      <c r="B14" s="784"/>
      <c r="C14" s="784"/>
      <c r="D14" s="784"/>
      <c r="E14" s="784"/>
      <c r="F14" s="784"/>
      <c r="G14" s="785"/>
    </row>
    <row r="15" spans="1:9" s="777" customFormat="1" ht="15" customHeight="1" x14ac:dyDescent="0.3">
      <c r="A15" s="777" t="s">
        <v>218</v>
      </c>
      <c r="B15" s="781">
        <v>28078.197737100003</v>
      </c>
      <c r="C15" s="781">
        <v>28622.644660499998</v>
      </c>
      <c r="D15" s="781">
        <v>28501.174992190001</v>
      </c>
      <c r="E15" s="781">
        <v>33846.113916121998</v>
      </c>
      <c r="F15" s="781">
        <v>43469.891597142843</v>
      </c>
      <c r="G15" s="782">
        <v>49269.34389700101</v>
      </c>
    </row>
    <row r="16" spans="1:9" s="777" customFormat="1" ht="15" customHeight="1" x14ac:dyDescent="0.3">
      <c r="A16" s="777" t="s">
        <v>219</v>
      </c>
      <c r="B16" s="781">
        <v>97909.462799999994</v>
      </c>
      <c r="C16" s="781">
        <v>102371.3826</v>
      </c>
      <c r="D16" s="781">
        <v>111357.0327</v>
      </c>
      <c r="E16" s="781">
        <v>116191.7868</v>
      </c>
      <c r="F16" s="781">
        <v>126636.2907</v>
      </c>
      <c r="G16" s="782">
        <v>133716.69821899998</v>
      </c>
    </row>
    <row r="17" spans="1:8" s="777" customFormat="1" ht="15" customHeight="1" x14ac:dyDescent="0.3">
      <c r="A17" s="788" t="s">
        <v>307</v>
      </c>
      <c r="B17" s="789">
        <f t="shared" ref="B17:E17" si="0">SUM(B7:B11,B15:B16)</f>
        <v>161655.28930003813</v>
      </c>
      <c r="C17" s="789">
        <f t="shared" si="0"/>
        <v>166515.34963892115</v>
      </c>
      <c r="D17" s="789">
        <f t="shared" si="0"/>
        <v>184945.69451560982</v>
      </c>
      <c r="E17" s="789">
        <f t="shared" si="0"/>
        <v>206979.47001286436</v>
      </c>
      <c r="F17" s="789">
        <f>SUM(F7:F11,F15:F16)</f>
        <v>227022.1510737866</v>
      </c>
      <c r="G17" s="790">
        <f t="shared" ref="G17" si="1">SUM(G7:G11,G15:G16)</f>
        <v>245956.84568287068</v>
      </c>
      <c r="H17" s="791"/>
    </row>
    <row r="18" spans="1:8" s="777" customFormat="1" ht="15" customHeight="1" x14ac:dyDescent="0.3">
      <c r="A18" s="792" t="s">
        <v>312</v>
      </c>
      <c r="B18" s="793">
        <f>B17/B$59</f>
        <v>3.1276150824091992E-2</v>
      </c>
      <c r="C18" s="794">
        <f>C17/C$59</f>
        <v>2.9547143889673822E-2</v>
      </c>
      <c r="D18" s="794">
        <f>D17/D$59</f>
        <v>2.9827535660114264E-2</v>
      </c>
      <c r="E18" s="794">
        <f>E17/E$59</f>
        <v>2.9708984047698561E-2</v>
      </c>
      <c r="F18" s="794">
        <f>F17/F$59</f>
        <v>2.9736053057821427E-2</v>
      </c>
      <c r="G18" s="795">
        <f>G17/G$59</f>
        <v>2.9754437333766905E-2</v>
      </c>
    </row>
    <row r="19" spans="1:8" s="777" customFormat="1" ht="15" customHeight="1" x14ac:dyDescent="0.3">
      <c r="A19" s="792" t="s">
        <v>271</v>
      </c>
      <c r="B19" s="793">
        <f>B17/B$60</f>
        <v>4.243316353624501E-2</v>
      </c>
      <c r="C19" s="794">
        <f>C17/C$60</f>
        <v>4.0200847196464343E-2</v>
      </c>
      <c r="D19" s="794">
        <f>D17/D$60</f>
        <v>4.0465948958026202E-2</v>
      </c>
      <c r="E19" s="794">
        <f>E17/E$60</f>
        <v>4.0923401098429166E-2</v>
      </c>
      <c r="F19" s="794">
        <f>F17/F$60</f>
        <v>4.1580307789153524E-2</v>
      </c>
      <c r="G19" s="795">
        <f>G17/G$60</f>
        <v>4.1567338648613797E-2</v>
      </c>
    </row>
    <row r="20" spans="1:8" s="777" customFormat="1" ht="15" customHeight="1" x14ac:dyDescent="0.3">
      <c r="A20" s="792" t="s">
        <v>309</v>
      </c>
      <c r="B20" s="793">
        <f>B17/B61</f>
        <v>8.4695162033362626E-3</v>
      </c>
      <c r="C20" s="794">
        <f>C17/C61</f>
        <v>7.9854956585303713E-3</v>
      </c>
      <c r="D20" s="794">
        <f>D17/D61</f>
        <v>8.1181431278820344E-3</v>
      </c>
      <c r="E20" s="794">
        <f>E17/E61</f>
        <v>8.4114488926074794E-3</v>
      </c>
      <c r="F20" s="794">
        <f>F17/F61</f>
        <v>8.5106690308475071E-3</v>
      </c>
      <c r="G20" s="795">
        <f>G17/G61</f>
        <v>8.5448852105707868E-3</v>
      </c>
    </row>
    <row r="21" spans="1:8" s="777" customFormat="1" ht="15" customHeight="1" x14ac:dyDescent="0.3">
      <c r="A21" s="792" t="s">
        <v>310</v>
      </c>
      <c r="B21" s="796">
        <f>B17*1000000/B62</f>
        <v>281322.61557959107</v>
      </c>
      <c r="C21" s="796">
        <f>C17*1000000/C62</f>
        <v>272298.36184531142</v>
      </c>
      <c r="D21" s="796">
        <f>D17*1000000/D62</f>
        <v>313212.99235977879</v>
      </c>
      <c r="E21" s="796">
        <f>E17*1000000/E62</f>
        <v>350447.364209958</v>
      </c>
      <c r="F21" s="796">
        <f>F17*1000000/F62</f>
        <v>384981.67034164484</v>
      </c>
      <c r="G21" s="797">
        <f>G17*1000000/G62</f>
        <v>379277.98966343305</v>
      </c>
    </row>
    <row r="22" spans="1:8" s="777" customFormat="1" ht="15" customHeight="1" x14ac:dyDescent="0.3">
      <c r="A22" s="792" t="s">
        <v>311</v>
      </c>
      <c r="B22" s="793">
        <f>B21/B63</f>
        <v>0.11807592592534236</v>
      </c>
      <c r="C22" s="794">
        <f>C21/C63</f>
        <v>0.10723858369206052</v>
      </c>
      <c r="D22" s="794">
        <f>D21/D63</f>
        <v>0.11580317078622331</v>
      </c>
      <c r="E22" s="794">
        <f>E21/E63</f>
        <v>0.12172582819477946</v>
      </c>
      <c r="F22" s="794">
        <f>F21/F63</f>
        <v>0.12470919681070716</v>
      </c>
      <c r="G22" s="795">
        <f>G21/G63</f>
        <v>0.11745029506103657</v>
      </c>
    </row>
    <row r="23" spans="1:8" s="777" customFormat="1" ht="15" customHeight="1" thickBot="1" x14ac:dyDescent="0.35">
      <c r="A23" s="798" t="s">
        <v>602</v>
      </c>
      <c r="B23" s="799">
        <f>B21/B65</f>
        <v>0.13194631333588311</v>
      </c>
      <c r="C23" s="799">
        <f>C21/C65</f>
        <v>0.12528799934232887</v>
      </c>
      <c r="D23" s="799">
        <f>D21/D65</f>
        <v>0.11873517248161698</v>
      </c>
      <c r="E23" s="799">
        <f>E21/E65</f>
        <v>0.13459868924708684</v>
      </c>
      <c r="F23" s="799">
        <f>F21/F65</f>
        <v>0.14958776966951681</v>
      </c>
      <c r="G23" s="800">
        <f>G21/G65</f>
        <v>0.15485725510913581</v>
      </c>
    </row>
    <row r="24" spans="1:8" s="777" customFormat="1" ht="15" customHeight="1" x14ac:dyDescent="0.3">
      <c r="A24" s="801"/>
      <c r="B24" s="802"/>
      <c r="C24" s="802"/>
      <c r="D24" s="802"/>
      <c r="E24" s="802"/>
      <c r="F24" s="802"/>
      <c r="G24" s="802"/>
    </row>
    <row r="25" spans="1:8" s="777" customFormat="1" ht="15" customHeight="1" x14ac:dyDescent="0.3">
      <c r="G25" s="803"/>
    </row>
    <row r="26" spans="1:8" s="777" customFormat="1" ht="19.95" customHeight="1" thickBot="1" x14ac:dyDescent="0.35">
      <c r="A26" s="775" t="s">
        <v>495</v>
      </c>
      <c r="B26" s="776"/>
      <c r="C26" s="776"/>
      <c r="D26" s="776"/>
      <c r="E26" s="776"/>
      <c r="F26" s="776"/>
      <c r="G26" s="776"/>
    </row>
    <row r="27" spans="1:8" s="777" customFormat="1" ht="25.05" customHeight="1" thickBot="1" x14ac:dyDescent="0.35">
      <c r="A27" s="778" t="s">
        <v>260</v>
      </c>
      <c r="B27" s="779">
        <v>2010</v>
      </c>
      <c r="C27" s="779">
        <v>2011</v>
      </c>
      <c r="D27" s="779">
        <v>2012</v>
      </c>
      <c r="E27" s="779">
        <v>2013</v>
      </c>
      <c r="F27" s="779">
        <v>2014</v>
      </c>
      <c r="G27" s="780">
        <v>2015</v>
      </c>
    </row>
    <row r="28" spans="1:8" s="777" customFormat="1" ht="4.95" customHeight="1" x14ac:dyDescent="0.3">
      <c r="B28" s="804"/>
      <c r="C28" s="804"/>
      <c r="D28" s="804"/>
      <c r="E28" s="804"/>
      <c r="F28" s="804"/>
      <c r="G28" s="805"/>
    </row>
    <row r="29" spans="1:8" s="777" customFormat="1" ht="15" customHeight="1" x14ac:dyDescent="0.3">
      <c r="A29" s="783" t="s">
        <v>264</v>
      </c>
      <c r="B29" s="784"/>
      <c r="C29" s="784"/>
      <c r="D29" s="784"/>
      <c r="E29" s="784"/>
      <c r="F29" s="784"/>
      <c r="G29" s="785"/>
    </row>
    <row r="30" spans="1:8" s="777" customFormat="1" ht="15" customHeight="1" x14ac:dyDescent="0.3">
      <c r="A30" s="777" t="s">
        <v>211</v>
      </c>
      <c r="B30" s="781">
        <v>1499.9175</v>
      </c>
      <c r="C30" s="781">
        <v>1995.88</v>
      </c>
      <c r="D30" s="781">
        <v>2276.8474999999999</v>
      </c>
      <c r="E30" s="781">
        <v>1326.0625</v>
      </c>
      <c r="F30" s="781">
        <v>3087.45</v>
      </c>
      <c r="G30" s="782">
        <v>8418.4150000000009</v>
      </c>
    </row>
    <row r="31" spans="1:8" s="777" customFormat="1" ht="15" customHeight="1" x14ac:dyDescent="0.3">
      <c r="A31" s="777" t="s">
        <v>213</v>
      </c>
      <c r="B31" s="781">
        <v>0</v>
      </c>
      <c r="C31" s="781">
        <v>0</v>
      </c>
      <c r="D31" s="781">
        <v>948.1</v>
      </c>
      <c r="E31" s="781">
        <v>4170.5</v>
      </c>
      <c r="F31" s="781">
        <v>4285.1000000000004</v>
      </c>
      <c r="G31" s="782">
        <v>6080.9</v>
      </c>
    </row>
    <row r="32" spans="1:8" s="777" customFormat="1" ht="15" customHeight="1" x14ac:dyDescent="0.3">
      <c r="A32" s="777" t="s">
        <v>212</v>
      </c>
      <c r="B32" s="781">
        <v>701.49510000000009</v>
      </c>
      <c r="C32" s="781">
        <v>822.76301999999998</v>
      </c>
      <c r="D32" s="781">
        <v>3863.745465</v>
      </c>
      <c r="E32" s="781">
        <v>8859.3053870000003</v>
      </c>
      <c r="F32" s="781">
        <v>7644.4897639999999</v>
      </c>
      <c r="G32" s="782">
        <v>2210.24764</v>
      </c>
    </row>
    <row r="33" spans="1:8" s="777" customFormat="1" ht="15" customHeight="1" x14ac:dyDescent="0.3">
      <c r="A33" s="777" t="s">
        <v>214</v>
      </c>
      <c r="B33" s="781">
        <v>2981.5753</v>
      </c>
      <c r="C33" s="781">
        <v>2170.02232</v>
      </c>
      <c r="D33" s="781">
        <v>3278.4767019999999</v>
      </c>
      <c r="E33" s="781">
        <v>4304.7232910000002</v>
      </c>
      <c r="F33" s="781">
        <v>3055.2557570000004</v>
      </c>
      <c r="G33" s="782">
        <v>3781.6610289999999</v>
      </c>
    </row>
    <row r="34" spans="1:8" s="777" customFormat="1" ht="15" customHeight="1" x14ac:dyDescent="0.3">
      <c r="A34" s="777" t="s">
        <v>215</v>
      </c>
      <c r="B34" s="781">
        <v>30484.640862938122</v>
      </c>
      <c r="C34" s="781">
        <v>30532.657038421141</v>
      </c>
      <c r="D34" s="781">
        <v>34720.317156419827</v>
      </c>
      <c r="E34" s="781">
        <v>38280.978118742358</v>
      </c>
      <c r="F34" s="781">
        <v>38843.673255643749</v>
      </c>
      <c r="G34" s="782">
        <v>42479.579897869684</v>
      </c>
    </row>
    <row r="35" spans="1:8" s="777" customFormat="1" ht="15" customHeight="1" x14ac:dyDescent="0.3">
      <c r="A35" s="777" t="s">
        <v>216</v>
      </c>
      <c r="B35" s="781">
        <v>2097.7863487999998</v>
      </c>
      <c r="C35" s="781">
        <v>3649.7914209499995</v>
      </c>
      <c r="D35" s="781">
        <v>2089.85572</v>
      </c>
      <c r="E35" s="781">
        <v>2983.4536802100001</v>
      </c>
      <c r="F35" s="781">
        <v>2529.7407935300002</v>
      </c>
      <c r="G35" s="782">
        <v>3066.48483162</v>
      </c>
    </row>
    <row r="36" spans="1:8" s="777" customFormat="1" ht="15" customHeight="1" x14ac:dyDescent="0.3">
      <c r="A36" s="777" t="s">
        <v>217</v>
      </c>
      <c r="B36" s="781">
        <v>16954.09445859522</v>
      </c>
      <c r="C36" s="781">
        <v>19915.340713092784</v>
      </c>
      <c r="D36" s="781">
        <v>24917.743498218075</v>
      </c>
      <c r="E36" s="781">
        <v>30588.964500133108</v>
      </c>
      <c r="F36" s="781">
        <v>33922.933432537124</v>
      </c>
      <c r="G36" s="782">
        <v>41470.682444454738</v>
      </c>
    </row>
    <row r="37" spans="1:8" s="777" customFormat="1" ht="15" customHeight="1" x14ac:dyDescent="0.3">
      <c r="A37" s="787" t="s">
        <v>261</v>
      </c>
      <c r="B37" s="784"/>
      <c r="C37" s="784"/>
      <c r="D37" s="784"/>
      <c r="E37" s="784"/>
      <c r="F37" s="784"/>
      <c r="G37" s="785"/>
    </row>
    <row r="38" spans="1:8" s="777" customFormat="1" ht="15" customHeight="1" x14ac:dyDescent="0.3">
      <c r="A38" s="777" t="s">
        <v>218</v>
      </c>
      <c r="B38" s="781">
        <v>28078.197737100003</v>
      </c>
      <c r="C38" s="781">
        <v>28622.644660499998</v>
      </c>
      <c r="D38" s="781">
        <v>28501.174992190001</v>
      </c>
      <c r="E38" s="781">
        <v>33846.113916121998</v>
      </c>
      <c r="F38" s="781">
        <v>43469.891597142843</v>
      </c>
      <c r="G38" s="782">
        <v>49269.34389700101</v>
      </c>
    </row>
    <row r="39" spans="1:8" s="777" customFormat="1" ht="15" customHeight="1" x14ac:dyDescent="0.3">
      <c r="A39" s="777" t="s">
        <v>219</v>
      </c>
      <c r="B39" s="781">
        <v>97909.462799999994</v>
      </c>
      <c r="C39" s="781">
        <v>102371.3826</v>
      </c>
      <c r="D39" s="781">
        <v>111357.0327</v>
      </c>
      <c r="E39" s="781">
        <v>116191.7868</v>
      </c>
      <c r="F39" s="781">
        <v>126636.2907</v>
      </c>
      <c r="G39" s="782">
        <v>133716.69821899998</v>
      </c>
    </row>
    <row r="40" spans="1:8" s="777" customFormat="1" ht="15" customHeight="1" x14ac:dyDescent="0.3">
      <c r="A40" s="788" t="s">
        <v>308</v>
      </c>
      <c r="B40" s="806">
        <f t="shared" ref="B40:G40" si="2">SUM(B30:B39)</f>
        <v>180707.17010743334</v>
      </c>
      <c r="C40" s="806">
        <f t="shared" si="2"/>
        <v>190080.48177296392</v>
      </c>
      <c r="D40" s="806">
        <f t="shared" si="2"/>
        <v>211953.29373382789</v>
      </c>
      <c r="E40" s="806">
        <f t="shared" si="2"/>
        <v>240551.88819320747</v>
      </c>
      <c r="F40" s="806">
        <f t="shared" si="2"/>
        <v>263474.82529985369</v>
      </c>
      <c r="G40" s="807">
        <f t="shared" si="2"/>
        <v>290494.01295894542</v>
      </c>
      <c r="H40" s="791"/>
    </row>
    <row r="41" spans="1:8" s="777" customFormat="1" ht="15" customHeight="1" x14ac:dyDescent="0.3">
      <c r="A41" s="792" t="s">
        <v>319</v>
      </c>
      <c r="B41" s="793">
        <f>B40/B$59</f>
        <v>3.4962200938473097E-2</v>
      </c>
      <c r="C41" s="794">
        <f>C40/C$59</f>
        <v>3.3728634373605702E-2</v>
      </c>
      <c r="D41" s="794">
        <f>D40/D$59</f>
        <v>3.4183247378007119E-2</v>
      </c>
      <c r="E41" s="794">
        <f>E40/E$59</f>
        <v>3.452783123143368E-2</v>
      </c>
      <c r="F41" s="794">
        <f>F40/F$59</f>
        <v>3.4510735395024299E-2</v>
      </c>
      <c r="G41" s="795">
        <f>G40/G$59</f>
        <v>3.5142286365007547E-2</v>
      </c>
    </row>
    <row r="42" spans="1:8" s="777" customFormat="1" ht="15" customHeight="1" x14ac:dyDescent="0.3">
      <c r="A42" s="792" t="s">
        <v>316</v>
      </c>
      <c r="B42" s="793">
        <f>B40/B$60</f>
        <v>4.7434123155158381E-2</v>
      </c>
      <c r="C42" s="794">
        <f>C40/C$60</f>
        <v>4.589004208534031E-2</v>
      </c>
      <c r="D42" s="794">
        <f>D40/D$60</f>
        <v>4.6375186987630608E-2</v>
      </c>
      <c r="E42" s="794">
        <f>E40/E$60</f>
        <v>4.7561245590701684E-2</v>
      </c>
      <c r="F42" s="794">
        <f>F40/F$60</f>
        <v>4.8256807887881677E-2</v>
      </c>
      <c r="G42" s="795">
        <f>G40/G$60</f>
        <v>4.9094234309820801E-2</v>
      </c>
    </row>
    <row r="43" spans="1:8" s="777" customFormat="1" ht="15" customHeight="1" x14ac:dyDescent="0.3">
      <c r="A43" s="792" t="s">
        <v>317</v>
      </c>
      <c r="B43" s="793">
        <f>B40/B61</f>
        <v>9.4676908619010965E-3</v>
      </c>
      <c r="C43" s="794">
        <f>C40/C61</f>
        <v>9.11559724230117E-3</v>
      </c>
      <c r="D43" s="794">
        <f>D40/D61</f>
        <v>9.3036346667265037E-3</v>
      </c>
      <c r="E43" s="794">
        <f>E40/E61</f>
        <v>9.7758000512400273E-3</v>
      </c>
      <c r="F43" s="794">
        <f>F40/F61</f>
        <v>9.877216938881949E-3</v>
      </c>
      <c r="G43" s="795">
        <f>G40/G61</f>
        <v>1.0092168763185286E-2</v>
      </c>
    </row>
    <row r="44" spans="1:8" s="777" customFormat="1" ht="15" customHeight="1" x14ac:dyDescent="0.3">
      <c r="A44" s="792" t="s">
        <v>318</v>
      </c>
      <c r="B44" s="808">
        <f>B40*1000000/B62</f>
        <v>314477.88667312887</v>
      </c>
      <c r="C44" s="808">
        <f>C40*1000000/C62</f>
        <v>310833.8295405269</v>
      </c>
      <c r="D44" s="808">
        <f>D40*1000000/D62</f>
        <v>358951.45082861185</v>
      </c>
      <c r="E44" s="808">
        <f>E40*1000000/E62</f>
        <v>407290.5161453865</v>
      </c>
      <c r="F44" s="808">
        <f>F40*1000000/F62</f>
        <v>446797.71492405189</v>
      </c>
      <c r="G44" s="809">
        <f>G40*1000000/G62</f>
        <v>447956.57115554425</v>
      </c>
    </row>
    <row r="45" spans="1:8" s="777" customFormat="1" ht="15" customHeight="1" x14ac:dyDescent="0.3">
      <c r="A45" s="792" t="s">
        <v>338</v>
      </c>
      <c r="B45" s="793">
        <f>B44/B63</f>
        <v>0.13199176175535454</v>
      </c>
      <c r="C45" s="793">
        <f>C44/C63</f>
        <v>0.12241491067963771</v>
      </c>
      <c r="D45" s="793">
        <f>D44/D63</f>
        <v>0.13271389494762953</v>
      </c>
      <c r="E45" s="793">
        <f>E44/E63</f>
        <v>0.14146996227363154</v>
      </c>
      <c r="F45" s="793">
        <f>F44/F63</f>
        <v>0.14473360281176589</v>
      </c>
      <c r="G45" s="810">
        <f>G44/G63</f>
        <v>0.13871786101649808</v>
      </c>
    </row>
    <row r="46" spans="1:8" s="777" customFormat="1" ht="15" customHeight="1" thickBot="1" x14ac:dyDescent="0.35">
      <c r="A46" s="798" t="s">
        <v>603</v>
      </c>
      <c r="B46" s="799">
        <f>B44/B65</f>
        <v>0.14749684338989649</v>
      </c>
      <c r="C46" s="799">
        <f>C44/C65</f>
        <v>0.14301866660942475</v>
      </c>
      <c r="D46" s="799">
        <f>D44/D65</f>
        <v>0.13607405652478594</v>
      </c>
      <c r="E46" s="799">
        <f>E44/E65</f>
        <v>0.15643082304107325</v>
      </c>
      <c r="F46" s="799">
        <f>F44/F65</f>
        <v>0.17360689824430758</v>
      </c>
      <c r="G46" s="800">
        <f>G44/G65</f>
        <v>0.18289836718129995</v>
      </c>
    </row>
    <row r="47" spans="1:8" s="777" customFormat="1" ht="15" customHeight="1" x14ac:dyDescent="0.3">
      <c r="A47" s="801" t="s">
        <v>126</v>
      </c>
      <c r="B47" s="802"/>
      <c r="C47" s="802"/>
      <c r="D47" s="802"/>
      <c r="E47" s="802"/>
      <c r="F47" s="802"/>
      <c r="G47" s="802"/>
    </row>
    <row r="48" spans="1:8" s="777" customFormat="1" ht="15" customHeight="1" x14ac:dyDescent="0.3">
      <c r="A48" s="801" t="s">
        <v>509</v>
      </c>
    </row>
    <row r="49" spans="1:7" s="777" customFormat="1" ht="15" customHeight="1" x14ac:dyDescent="0.3">
      <c r="A49" s="801" t="s">
        <v>515</v>
      </c>
    </row>
    <row r="50" spans="1:7" s="777" customFormat="1" ht="15" customHeight="1" x14ac:dyDescent="0.3">
      <c r="A50" s="801" t="s">
        <v>510</v>
      </c>
    </row>
    <row r="51" spans="1:7" s="777" customFormat="1" ht="15" customHeight="1" x14ac:dyDescent="0.3">
      <c r="A51" s="801" t="s">
        <v>511</v>
      </c>
      <c r="B51" s="786"/>
    </row>
    <row r="52" spans="1:7" s="777" customFormat="1" ht="15" customHeight="1" x14ac:dyDescent="0.3">
      <c r="A52" s="801" t="s">
        <v>512</v>
      </c>
      <c r="B52" s="786"/>
    </row>
    <row r="53" spans="1:7" s="777" customFormat="1" ht="15" customHeight="1" x14ac:dyDescent="0.3">
      <c r="A53" s="801" t="s">
        <v>513</v>
      </c>
      <c r="B53" s="786"/>
    </row>
    <row r="54" spans="1:7" s="777" customFormat="1" ht="15" customHeight="1" x14ac:dyDescent="0.3">
      <c r="A54" s="801" t="s">
        <v>514</v>
      </c>
    </row>
    <row r="55" spans="1:7" s="777" customFormat="1" ht="15" customHeight="1" x14ac:dyDescent="0.3"/>
    <row r="56" spans="1:7" s="777" customFormat="1" ht="15" customHeight="1" thickBot="1" x14ac:dyDescent="0.35"/>
    <row r="57" spans="1:7" s="777" customFormat="1" ht="24.6" customHeight="1" thickBot="1" x14ac:dyDescent="0.35">
      <c r="A57" s="778" t="s">
        <v>292</v>
      </c>
      <c r="B57" s="811" t="s">
        <v>182</v>
      </c>
      <c r="C57" s="811" t="s">
        <v>183</v>
      </c>
      <c r="D57" s="811" t="s">
        <v>184</v>
      </c>
      <c r="E57" s="811" t="s">
        <v>185</v>
      </c>
      <c r="F57" s="811" t="s">
        <v>186</v>
      </c>
      <c r="G57" s="812" t="s">
        <v>187</v>
      </c>
    </row>
    <row r="58" spans="1:7" s="777" customFormat="1" ht="4.95" customHeight="1" x14ac:dyDescent="0.3">
      <c r="B58" s="808"/>
      <c r="C58" s="808"/>
      <c r="D58" s="808"/>
      <c r="E58" s="808"/>
      <c r="F58" s="808"/>
      <c r="G58" s="809"/>
    </row>
    <row r="59" spans="1:7" s="777" customFormat="1" ht="15" customHeight="1" x14ac:dyDescent="0.3">
      <c r="A59" s="777" t="s">
        <v>503</v>
      </c>
      <c r="B59" s="808">
        <v>5168644</v>
      </c>
      <c r="C59" s="808">
        <v>5635581.911425123</v>
      </c>
      <c r="D59" s="808">
        <v>6200502</v>
      </c>
      <c r="E59" s="808">
        <v>6966898.2850626372</v>
      </c>
      <c r="F59" s="808">
        <v>7634575.8003708338</v>
      </c>
      <c r="G59" s="809">
        <v>8266224.0567307211</v>
      </c>
    </row>
    <row r="60" spans="1:7" s="777" customFormat="1" ht="15" customHeight="1" x14ac:dyDescent="0.3">
      <c r="A60" s="777" t="s">
        <v>504</v>
      </c>
      <c r="B60" s="808">
        <v>3809645</v>
      </c>
      <c r="C60" s="808">
        <v>4142085.5840462521</v>
      </c>
      <c r="D60" s="808">
        <v>4570403</v>
      </c>
      <c r="E60" s="808">
        <v>5057728.9388786703</v>
      </c>
      <c r="F60" s="808">
        <v>5459847.7775820289</v>
      </c>
      <c r="G60" s="809">
        <v>5917069.8360567987</v>
      </c>
    </row>
    <row r="61" spans="1:7" s="777" customFormat="1" ht="15" customHeight="1" x14ac:dyDescent="0.3">
      <c r="A61" s="777" t="s">
        <v>505</v>
      </c>
      <c r="B61" s="808">
        <v>19086720.589348398</v>
      </c>
      <c r="C61" s="808">
        <v>20852224.678257</v>
      </c>
      <c r="D61" s="808">
        <v>22781773.0732546</v>
      </c>
      <c r="E61" s="808">
        <v>24606874.8268531</v>
      </c>
      <c r="F61" s="808">
        <v>26675006.4243985</v>
      </c>
      <c r="G61" s="809">
        <v>28784101.789758399</v>
      </c>
    </row>
    <row r="62" spans="1:7" s="777" customFormat="1" ht="15" customHeight="1" x14ac:dyDescent="0.3">
      <c r="A62" s="777" t="s">
        <v>327</v>
      </c>
      <c r="B62" s="796">
        <v>574626</v>
      </c>
      <c r="C62" s="796">
        <v>611518</v>
      </c>
      <c r="D62" s="796">
        <v>590479</v>
      </c>
      <c r="E62" s="796">
        <v>590615</v>
      </c>
      <c r="F62" s="796">
        <v>589696</v>
      </c>
      <c r="G62" s="797">
        <v>648487</v>
      </c>
    </row>
    <row r="63" spans="1:7" s="777" customFormat="1" ht="15" customHeight="1" x14ac:dyDescent="0.3">
      <c r="A63" s="777" t="s">
        <v>506</v>
      </c>
      <c r="B63" s="813">
        <v>2382556.9299999997</v>
      </c>
      <c r="C63" s="813">
        <v>2539182.7500000005</v>
      </c>
      <c r="D63" s="813">
        <v>2704701.3500000006</v>
      </c>
      <c r="E63" s="813">
        <v>2878989.3599999994</v>
      </c>
      <c r="F63" s="813">
        <v>3087035.1199999987</v>
      </c>
      <c r="G63" s="814">
        <v>3229263.83</v>
      </c>
    </row>
    <row r="64" spans="1:7" s="777" customFormat="1" ht="15" customHeight="1" x14ac:dyDescent="0.3">
      <c r="A64" s="777" t="s">
        <v>507</v>
      </c>
      <c r="B64" s="815">
        <v>4795793.5022937879</v>
      </c>
      <c r="C64" s="815">
        <v>5266937.7768198838</v>
      </c>
      <c r="D64" s="815">
        <v>5423072.0389276883</v>
      </c>
      <c r="E64" s="815">
        <v>6023786.2327545621</v>
      </c>
      <c r="F64" s="815">
        <v>6125755.6466875458</v>
      </c>
      <c r="G64" s="816">
        <v>6368458.4988147086</v>
      </c>
    </row>
    <row r="65" spans="1:7" s="777" customFormat="1" ht="15" customHeight="1" x14ac:dyDescent="0.3">
      <c r="A65" s="817" t="s">
        <v>508</v>
      </c>
      <c r="B65" s="818">
        <v>2132099.0974825877</v>
      </c>
      <c r="C65" s="818">
        <v>2173379.4399677571</v>
      </c>
      <c r="D65" s="818">
        <v>2637912.4720459017</v>
      </c>
      <c r="E65" s="819">
        <v>2603646.1883119177</v>
      </c>
      <c r="F65" s="818">
        <v>2573617.2896499634</v>
      </c>
      <c r="G65" s="820">
        <v>2449210.3350026221</v>
      </c>
    </row>
    <row r="66" spans="1:7" x14ac:dyDescent="0.3">
      <c r="A66" s="821" t="s">
        <v>126</v>
      </c>
    </row>
    <row r="67" spans="1:7" s="777" customFormat="1" ht="15" customHeight="1" x14ac:dyDescent="0.3">
      <c r="A67" s="821" t="s">
        <v>498</v>
      </c>
    </row>
    <row r="68" spans="1:7" s="777" customFormat="1" ht="15" customHeight="1" x14ac:dyDescent="0.3">
      <c r="A68" s="821" t="s">
        <v>499</v>
      </c>
    </row>
    <row r="69" spans="1:7" s="777" customFormat="1" ht="15" customHeight="1" x14ac:dyDescent="0.3">
      <c r="A69" s="821" t="s">
        <v>500</v>
      </c>
    </row>
    <row r="70" spans="1:7" s="777" customFormat="1" ht="15" customHeight="1" x14ac:dyDescent="0.3">
      <c r="A70" s="821" t="s">
        <v>501</v>
      </c>
    </row>
    <row r="71" spans="1:7" x14ac:dyDescent="0.3">
      <c r="A71" s="821" t="s">
        <v>502</v>
      </c>
    </row>
    <row r="73" spans="1:7" x14ac:dyDescent="0.3">
      <c r="A73" s="821"/>
    </row>
    <row r="74" spans="1:7" x14ac:dyDescent="0.3">
      <c r="A74" s="821"/>
    </row>
    <row r="75" spans="1:7" x14ac:dyDescent="0.3">
      <c r="A75" s="821"/>
    </row>
    <row r="76" spans="1:7" x14ac:dyDescent="0.3">
      <c r="A76" s="821"/>
    </row>
    <row r="77" spans="1:7" x14ac:dyDescent="0.3">
      <c r="A77" s="821"/>
    </row>
    <row r="78" spans="1:7" x14ac:dyDescent="0.3">
      <c r="A78" s="821"/>
    </row>
  </sheetData>
  <printOptions horizontalCentered="1" verticalCentered="1"/>
  <pageMargins left="0.31496062992125984" right="0.31496062992125984" top="0.35433070866141736" bottom="0.35433070866141736" header="0.31496062992125984" footer="0.31496062992125984"/>
  <pageSetup scale="64" orientation="landscape" r:id="rId1"/>
  <ignoredErrors>
    <ignoredError sqref="B57:G57" numberStoredAsText="1"/>
    <ignoredError sqref="B17:G1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ez-Operations" ma:contentTypeID="0x010100ACF722E9F6B0B149B0CD8BE2560A6672005EF0E036220A514D8FE36F6EAB012D50" ma:contentTypeVersion="1074" ma:contentTypeDescription="The base project type from which other project content types inherit their information." ma:contentTypeScope="" ma:versionID="41348de24659e0950b5c6c124e101569">
  <xsd:schema xmlns:xsd="http://www.w3.org/2001/XMLSchema" xmlns:xs="http://www.w3.org/2001/XMLSchema" xmlns:p="http://schemas.microsoft.com/office/2006/metadata/properties" xmlns:ns2="cdc7663a-08f0-4737-9e8c-148ce897a09c" targetNamespace="http://schemas.microsoft.com/office/2006/metadata/properties" ma:root="true" ma:fieldsID="353d4917b3096100b345845d337996cb"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b26cdb1da78c4bb4b1c1bac2f6ac5911" minOccurs="0"/>
                <xsd:element ref="ns2:TaxCatchAll" minOccurs="0"/>
                <xsd:element ref="ns2:TaxCatchAllLabel" minOccurs="0"/>
                <xsd:element ref="ns2:Project_x0020_Number"/>
                <xsd:element ref="ns2:Access_x0020_to_x0020_Information_x00a0_Policy"/>
                <xsd:element ref="ns2:Document_x0020_Author" minOccurs="0"/>
                <xsd:element ref="ns2:Other_x0020_Author" minOccurs="0"/>
                <xsd:element ref="ns2:Approval_x0020_Number" minOccurs="0"/>
                <xsd:element ref="ns2:g511464f9e53401d84b16fa9b379a574" minOccurs="0"/>
                <xsd:element ref="ns2:Division_x0020_or_x0020_Unit" minOccurs="0"/>
                <xsd:element ref="ns2:Document_x0020_Language_x0020_IDB" minOccurs="0"/>
                <xsd:element ref="ns2:From_x003a_" minOccurs="0"/>
                <xsd:element ref="ns2:To_x003a_" minOccurs="0"/>
                <xsd:element ref="ns2:Identifier" minOccurs="0"/>
                <xsd:element ref="ns2:Fiscal_x0020_Year_x0020_IDB" minOccurs="0"/>
                <xsd:element ref="ns2:ic46d7e087fd4a108fb86518ca413cc6" minOccurs="0"/>
                <xsd:element ref="ns2:nddeef1749674d76abdbe4b239a70bc6" minOccurs="0"/>
                <xsd:element ref="ns2:b2ec7cfb18674cb8803df6b262e8b107" minOccurs="0"/>
                <xsd:element ref="ns2:Phase" minOccurs="0"/>
                <xsd:element ref="ns2:Key_x0020_Document" minOccurs="0"/>
                <xsd:element ref="ns2:Business_x0020_Area" minOccurs="0"/>
                <xsd:element ref="ns2:Project_x0020_Document_x0020_Type" minOccurs="0"/>
                <xsd:element ref="ns2:Operation_x0020_Type" minOccurs="0"/>
                <xsd:element ref="ns2:Package_x0020_Code" minOccurs="0"/>
                <xsd:element ref="ns2:e46fe2894295491da65140ffd2369f49" minOccurs="0"/>
                <xsd:element ref="ns2:SISCOR_x0020_Number" minOccurs="0"/>
                <xsd:element ref="ns2:IDBDocs_x0020_Number" minOccurs="0"/>
                <xsd:element ref="ns2:Migration_x0020_Info"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26cdb1da78c4bb4b1c1bac2f6ac5911" ma:index="11"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Project_x0020_Number" ma:index="15" ma:displayName="Project Number" ma:default="RG-T2782" ma:internalName="Project_x0020_Number">
      <xsd:simpleType>
        <xsd:restriction base="dms:Text">
          <xsd:maxLength value="255"/>
        </xsd:restriction>
      </xsd:simpleType>
    </xsd:element>
    <xsd:element name="Access_x0020_to_x0020_Information_x00a0_Policy" ma:index="16"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17" nillable="true" ma:displayName="Document Author" ma:internalName="Document_x0020_Author">
      <xsd:simpleType>
        <xsd:restriction base="dms:Text">
          <xsd:maxLength value="255"/>
        </xsd:restriction>
      </xsd:simpleType>
    </xsd:element>
    <xsd:element name="Other_x0020_Author" ma:index="18" nillable="true" ma:displayName="Other Author" ma:internalName="Other_x0020_Author">
      <xsd:simpleType>
        <xsd:restriction base="dms:Text">
          <xsd:maxLength value="255"/>
        </xsd:restriction>
      </xsd:simpleType>
    </xsd:element>
    <xsd:element name="Approval_x0020_Number" ma:index="19" nillable="true" ma:displayName="Approval Number" ma:internalName="Approval_x0020_Number">
      <xsd:simpleType>
        <xsd:restriction base="dms:Text">
          <xsd:maxLength value="255"/>
        </xsd:restriction>
      </xsd:simpleType>
    </xsd:element>
    <xsd:element name="g511464f9e53401d84b16fa9b379a574" ma:index="20"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Division_x0020_or_x0020_Unit" ma:index="22" nillable="true" ma:displayName="Division or Unit" ma:internalName="Division_x0020_or_x0020_Unit">
      <xsd:simpleType>
        <xsd:restriction base="dms:Text">
          <xsd:maxLength value="255"/>
        </xsd:restriction>
      </xsd:simpleType>
    </xsd:element>
    <xsd:element name="Document_x0020_Language_x0020_IDB" ma:index="23"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24" nillable="true" ma:displayName="From:" ma:description="Sender name from email message" ma:internalName="From_x003A_">
      <xsd:simpleType>
        <xsd:restriction base="dms:Text">
          <xsd:maxLength value="255"/>
        </xsd:restriction>
      </xsd:simpleType>
    </xsd:element>
    <xsd:element name="To_x003a_" ma:index="25" nillable="true" ma:displayName="To:" ma:description="Addressee names from email message&#10;" ma:internalName="To_x003A_">
      <xsd:simpleType>
        <xsd:restriction base="dms:Text">
          <xsd:maxLength value="255"/>
        </xsd:restriction>
      </xsd:simpleType>
    </xsd:element>
    <xsd:element name="Identifier" ma:index="26" nillable="true" ma:displayName="Identifier" ma:internalName="Identifier">
      <xsd:simpleType>
        <xsd:restriction base="dms:Text">
          <xsd:maxLength value="255"/>
        </xsd:restriction>
      </xsd:simpleType>
    </xsd:element>
    <xsd:element name="Fiscal_x0020_Year_x0020_IDB" ma:index="27" nillable="true" ma:displayName="Fiscal Year IDB" ma:internalName="Fiscal_x0020_Year_x0020_IDB">
      <xsd:simpleType>
        <xsd:restriction base="dms:Text">
          <xsd:maxLength value="255"/>
        </xsd:restriction>
      </xsd:simpleType>
    </xsd:element>
    <xsd:element name="ic46d7e087fd4a108fb86518ca413cc6" ma:index="2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nddeef1749674d76abdbe4b239a70bc6" ma:index="30"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32"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Phase" ma:index="34" nillable="true" ma:displayName="Phase" ma:internalName="Phase">
      <xsd:simpleType>
        <xsd:restriction base="dms:Text">
          <xsd:maxLength value="255"/>
        </xsd:restriction>
      </xsd:simpleType>
    </xsd:element>
    <xsd:element name="Key_x0020_Document" ma:index="35" nillable="true" ma:displayName="Key Document" ma:default="0" ma:internalName="Key_x0020_Document">
      <xsd:simpleType>
        <xsd:restriction base="dms:Boolean"/>
      </xsd:simpleType>
    </xsd:element>
    <xsd:element name="Business_x0020_Area" ma:index="36" nillable="true" ma:displayName="Business Area" ma:internalName="Business_x0020_Area">
      <xsd:simpleType>
        <xsd:restriction base="dms:Text">
          <xsd:maxLength value="255"/>
        </xsd:restriction>
      </xsd:simpleType>
    </xsd:element>
    <xsd:element name="Project_x0020_Document_x0020_Type" ma:index="37" nillable="true" ma:displayName="Project Document Type" ma:internalName="Project_x0020_Document_x0020_Type">
      <xsd:simpleType>
        <xsd:restriction base="dms:Text">
          <xsd:maxLength value="255"/>
        </xsd:restriction>
      </xsd:simpleType>
    </xsd:element>
    <xsd:element name="Operation_x0020_Type" ma:index="38" nillable="true" ma:displayName="Operation Type" ma:default="Technical Cooperation" ma:internalName="Operation_x0020_Type">
      <xsd:simpleType>
        <xsd:restriction base="dms:Text">
          <xsd:maxLength value="255"/>
        </xsd:restriction>
      </xsd:simpleType>
    </xsd:element>
    <xsd:element name="Package_x0020_Code" ma:index="39" nillable="true" ma:displayName="Package Code" ma:internalName="Package_x0020_Code">
      <xsd:simpleType>
        <xsd:restriction base="dms:Text">
          <xsd:maxLength value="255"/>
        </xsd:restriction>
      </xsd:simpleType>
    </xsd:element>
    <xsd:element name="e46fe2894295491da65140ffd2369f49" ma:index="40" nillable="true" ma:taxonomy="true" ma:internalName="e46fe2894295491da65140ffd2369f49" ma:taxonomyFieldName="Function_x0020_Operations_x0020_IDB" ma:displayName="Function Operations IDB"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SISCOR_x0020_Number" ma:index="42" nillable="true" ma:displayName="SISCOR Number" ma:internalName="SISCOR_x0020_Number">
      <xsd:simpleType>
        <xsd:restriction base="dms:Text">
          <xsd:maxLength value="255"/>
        </xsd:restriction>
      </xsd:simpleType>
    </xsd:element>
    <xsd:element name="IDBDocs_x0020_Number" ma:index="43" nillable="true" ma:displayName="IDBDocs Number" ma:internalName="IDBDocs_x0020_Number">
      <xsd:simpleType>
        <xsd:restriction base="dms:Text">
          <xsd:maxLength value="255"/>
        </xsd:restriction>
      </xsd:simpleType>
    </xsd:element>
    <xsd:element name="Migration_x0020_Info" ma:index="44" nillable="true" ma:displayName="Migration Info" ma:internalName="Migration_x0020_Info">
      <xsd:simpleType>
        <xsd:restriction base="dms:Note"/>
      </xsd:simpleType>
    </xsd:element>
    <xsd:element name="Record_x0020_Number" ma:index="45" nillable="true" ma:displayName="Record Number" ma:internalName="Record_x0020_Number">
      <xsd:simpleType>
        <xsd:restriction base="dms:Text">
          <xsd:maxLength value="255"/>
        </xsd:restriction>
      </xsd:simpleType>
    </xsd:element>
    <xsd:element name="Related_x0020_SisCor_x0020_Number" ma:index="46"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DF8308F1BAB13B49BB28B40D42355BC9" ma:contentTypeVersion="1077" ma:contentTypeDescription="A content type to manage public (operations) IDB documents" ma:contentTypeScope="" ma:versionID="47b228827b528570fc1e26cae361e441">
  <xsd:schema xmlns:xsd="http://www.w3.org/2001/XMLSchema" xmlns:xs="http://www.w3.org/2001/XMLSchema" xmlns:p="http://schemas.microsoft.com/office/2006/metadata/properties" xmlns:ns2="cdc7663a-08f0-4737-9e8c-148ce897a09c" targetNamespace="http://schemas.microsoft.com/office/2006/metadata/properties" ma:root="true" ma:fieldsID="b4af35e8a60708c775886945b4426637"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RG-T2782"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default="Technical Cooperation"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ae61f9b1-e23d-4f49-b3d7-56b991556c4b" ContentTypeId="0x0101001A458A224826124E8B45B1D613300CFC" PreviousValue="false"/>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Regional</TermName>
          <TermId xmlns="http://schemas.microsoft.com/office/infopath/2007/PartnerControls">2537a5b7-6d8e-482c-94dc-32c3cc44ff65</TermId>
        </TermInfo>
      </Terms>
    </ic46d7e087fd4a108fb86518ca413cc6>
    <IDBDocs_x0020_Number xmlns="cdc7663a-08f0-4737-9e8c-148ce897a09c" xsi:nil="true"/>
    <Division_x0020_or_x0020_Unit xmlns="cdc7663a-08f0-4737-9e8c-148ce897a09c">SCL/LMK</Division_x0020_or_x0020_Unit>
    <Fiscal_x0020_Year_x0020_IDB xmlns="cdc7663a-08f0-4737-9e8c-148ce897a09c">2018</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Operation knowledge products</TermName>
          <TermId xmlns="http://schemas.microsoft.com/office/infopath/2007/PartnerControls">2246c660-3617-4762-8550-383684c87d61</TermId>
        </TermInfo>
      </Terms>
    </e46fe2894295491da65140ffd2369f49>
    <Other_x0020_Author xmlns="cdc7663a-08f0-4737-9e8c-148ce897a09c" xsi:nil="true"/>
    <Migration_x0020_Info xmlns="cdc7663a-08f0-4737-9e8c-148ce897a09c" xsi:nil="true"/>
    <Approval_x0020_Number xmlns="cdc7663a-08f0-4737-9e8c-148ce897a09c">ATN/OC-15633-RG;</Approval_x0020_Number>
    <Phase xmlns="cdc7663a-08f0-4737-9e8c-148ce897a09c">ACTIVE</Phase>
    <Document_x0020_Author xmlns="cdc7663a-08f0-4737-9e8c-148ce897a09c">Alaimo, Veronica</Document_x0020_Author>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LABOR POLICY</TermName>
          <TermId xmlns="http://schemas.microsoft.com/office/infopath/2007/PartnerControls">e71f91eb-7c75-452b-8d19-3a449ce1e247</TermId>
        </TermInfo>
      </Terms>
    </b2ec7cfb18674cb8803df6b262e8b107>
    <Business_x0020_Area xmlns="cdc7663a-08f0-4737-9e8c-148ce897a09c">Results Matrix</Business_x0020_Area>
    <Key_x0020_Document xmlns="cdc7663a-08f0-4737-9e8c-148ce897a09c">false</Key_x0020_Document>
    <Document_x0020_Language_x0020_IDB xmlns="cdc7663a-08f0-4737-9e8c-148ce897a09c">English</Document_x0020_Language_x0020_IDB>
    <Project_x0020_Document_x0020_Type xmlns="cdc7663a-08f0-4737-9e8c-148ce897a09c" xsi:nil="true"/>
    <g511464f9e53401d84b16fa9b379a574 xmlns="cdc7663a-08f0-4737-9e8c-148ce897a09c">
      <Terms xmlns="http://schemas.microsoft.com/office/infopath/2007/PartnerControls">
        <TermInfo xmlns="http://schemas.microsoft.com/office/infopath/2007/PartnerControls">
          <TermName xmlns="http://schemas.microsoft.com/office/infopath/2007/PartnerControls">SOF</TermName>
          <TermId xmlns="http://schemas.microsoft.com/office/infopath/2007/PartnerControls">02e8db3f-ac81-4bf1-ade3-030acec7701b</TermId>
        </TermInfo>
      </Terms>
    </g511464f9e53401d84b16fa9b379a574>
    <Related_x0020_SisCor_x0020_Number xmlns="cdc7663a-08f0-4737-9e8c-148ce897a09c" xsi:nil="true"/>
    <TaxCatchAll xmlns="cdc7663a-08f0-4737-9e8c-148ce897a09c">
      <Value>44</Value>
      <Value>417</Value>
      <Value>93</Value>
      <Value>79</Value>
      <Value>826</Value>
    </TaxCatchAll>
    <Operation_x0020_Type xmlns="cdc7663a-08f0-4737-9e8c-148ce897a09c">Technical Cooperation</Operation_x0020_Type>
    <Package_x0020_Code xmlns="cdc7663a-08f0-4737-9e8c-148ce897a09c" xsi:nil="true"/>
    <Identifier xmlns="cdc7663a-08f0-4737-9e8c-148ce897a09c" xsi:nil="true"/>
    <Project_x0020_Number xmlns="cdc7663a-08f0-4737-9e8c-148ce897a09c">RG-T2782</Project_x0020_Number>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SOCIAL INVESTMENT</TermName>
          <TermId xmlns="http://schemas.microsoft.com/office/infopath/2007/PartnerControls">3f908695-d5b5-49f6-941f-76876b39564f</TermId>
        </TermInfo>
      </Terms>
    </nddeef1749674d76abdbe4b239a70bc6>
    <Record_x0020_Number xmlns="cdc7663a-08f0-4737-9e8c-148ce897a09c">R0002924464</Record_x0020_Number>
    <_dlc_DocId xmlns="cdc7663a-08f0-4737-9e8c-148ce897a09c">EZSHARE-179770682-12</_dlc_DocId>
    <_dlc_DocIdUrl xmlns="cdc7663a-08f0-4737-9e8c-148ce897a09c">
      <Url>https://idbg.sharepoint.com/teams/EZ-RG-TCP/RG-T2782/_layouts/15/DocIdRedir.aspx?ID=EZSHARE-179770682-12</Url>
      <Description>EZSHARE-179770682-12</Description>
    </_dlc_DocIdUrl>
    <Disclosure_x0020_Activity xmlns="cdc7663a-08f0-4737-9e8c-148ce897a09c">Technical Note</Disclosure_x0020_Activity>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Labor and Training;</Webtopic>
    <Abstract xmlns="cdc7663a-08f0-4737-9e8c-148ce897a09c" xsi:nil="true"/>
    <Publishing_x0020_House xmlns="cdc7663a-08f0-4737-9e8c-148ce897a09c" xsi:nil="true"/>
  </documentManagement>
</p:properties>
</file>

<file path=customXml/item7.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DF8308F1BAB13B49BB28B40D42355BC9" ma:contentTypeVersion="1094" ma:contentTypeDescription="A content type to manage public (operations) IDB documents" ma:contentTypeScope="" ma:versionID="7063c69323d252c7d30af70647caf125">
  <xsd:schema xmlns:xsd="http://www.w3.org/2001/XMLSchema" xmlns:xs="http://www.w3.org/2001/XMLSchema" xmlns:p="http://schemas.microsoft.com/office/2006/metadata/properties" xmlns:ns2="cdc7663a-08f0-4737-9e8c-148ce897a09c" targetNamespace="http://schemas.microsoft.com/office/2006/metadata/properties" ma:root="true" ma:fieldsID="b4af35e8a60708c775886945b4426637"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RG-T2782"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default="Technical Cooperation"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DF8308F1BAB13B49BB28B40D42355BC9" ma:contentTypeVersion="1668" ma:contentTypeDescription="A content type to manage public (operations) IDB documents" ma:contentTypeScope="" ma:versionID="0b26f44062979e397ff7105bdbed396a">
  <xsd:schema xmlns:xsd="http://www.w3.org/2001/XMLSchema" xmlns:xs="http://www.w3.org/2001/XMLSchema" xmlns:p="http://schemas.microsoft.com/office/2006/metadata/properties" xmlns:ns2="cdc7663a-08f0-4737-9e8c-148ce897a09c" targetNamespace="http://schemas.microsoft.com/office/2006/metadata/properties" ma:root="true" ma:fieldsID="0f95a8cd2cdd0915dc8b6a10e727bfe7"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RG-T2782"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default="Technical Cooperation"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8"?>
<?mso-contentType ?>
<FormUrls xmlns="http://schemas.microsoft.com/sharepoint/v3/contenttype/forms/url">
  <Display>_catalogs/masterpage/ECMForms/DisclosureOperationsCT/View.aspx</Display>
  <Edit>_catalogs/masterpage/ECMForms/DisclosureOperationsCT/Edit.aspx</Edit>
</FormUrls>
</file>

<file path=customXml/itemProps1.xml><?xml version="1.0" encoding="utf-8"?>
<ds:datastoreItem xmlns:ds="http://schemas.openxmlformats.org/officeDocument/2006/customXml" ds:itemID="{BCAC13B6-DF94-439D-A079-BC48ABB2D856}"/>
</file>

<file path=customXml/itemProps2.xml><?xml version="1.0" encoding="utf-8"?>
<ds:datastoreItem xmlns:ds="http://schemas.openxmlformats.org/officeDocument/2006/customXml" ds:itemID="{99FB5C87-6138-42BF-935B-8960303A141E}"/>
</file>

<file path=customXml/itemProps3.xml><?xml version="1.0" encoding="utf-8"?>
<ds:datastoreItem xmlns:ds="http://schemas.openxmlformats.org/officeDocument/2006/customXml" ds:itemID="{DC4E0A5B-C427-465E-A155-D70218A8E65F}"/>
</file>

<file path=customXml/itemProps4.xml><?xml version="1.0" encoding="utf-8"?>
<ds:datastoreItem xmlns:ds="http://schemas.openxmlformats.org/officeDocument/2006/customXml" ds:itemID="{A280A1D2-CF5B-400D-BB58-E2FA2FE421F2}"/>
</file>

<file path=customXml/itemProps5.xml><?xml version="1.0" encoding="utf-8"?>
<ds:datastoreItem xmlns:ds="http://schemas.openxmlformats.org/officeDocument/2006/customXml" ds:itemID="{B9D40FAA-39F6-4833-9885-81BB4999305A}"/>
</file>

<file path=customXml/itemProps6.xml><?xml version="1.0" encoding="utf-8"?>
<ds:datastoreItem xmlns:ds="http://schemas.openxmlformats.org/officeDocument/2006/customXml" ds:itemID="{96E2AED3-8B46-4804-9A87-FE99EEF8BD21}"/>
</file>

<file path=customXml/itemProps7.xml><?xml version="1.0" encoding="utf-8"?>
<ds:datastoreItem xmlns:ds="http://schemas.openxmlformats.org/officeDocument/2006/customXml" ds:itemID="{E2B489C2-04FC-4BB3-AB7B-D2B05A4AD431}"/>
</file>

<file path=customXml/itemProps8.xml><?xml version="1.0" encoding="utf-8"?>
<ds:datastoreItem xmlns:ds="http://schemas.openxmlformats.org/officeDocument/2006/customXml" ds:itemID="{D0E4FFF5-3EC5-4F21-A42B-5D7540FFD8F1}"/>
</file>

<file path=customXml/itemProps9.xml><?xml version="1.0" encoding="utf-8"?>
<ds:datastoreItem xmlns:ds="http://schemas.openxmlformats.org/officeDocument/2006/customXml" ds:itemID="{5B699EA5-E9B5-4159-ACB4-9DEC0599F1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Argentina</vt:lpstr>
      <vt:lpstr>Colombia</vt:lpstr>
      <vt:lpstr>Mexico</vt:lpstr>
      <vt:lpstr>Peru</vt:lpstr>
      <vt:lpstr>Uruguay</vt:lpstr>
      <vt:lpstr>Brazil</vt:lpstr>
      <vt:lpstr>Bolivia</vt:lpstr>
      <vt:lpstr>Chile</vt:lpstr>
      <vt:lpstr>Costa Rica</vt:lpstr>
      <vt:lpstr>Ecuador</vt:lpstr>
      <vt:lpstr>El Salvador</vt:lpstr>
      <vt:lpstr>Guatemala</vt:lpstr>
      <vt:lpstr>Honduras</vt:lpstr>
      <vt:lpstr>Jamaica</vt:lpstr>
      <vt:lpstr>Nicaragua</vt:lpstr>
      <vt:lpstr>Paraguay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Di Capua</dc:creator>
  <cp:keywords/>
  <cp:lastModifiedBy>Altamirano Montoya,Alvaro Jose</cp:lastModifiedBy>
  <dcterms:created xsi:type="dcterms:W3CDTF">2017-10-11T17:26:40Z</dcterms:created>
  <dcterms:modified xsi:type="dcterms:W3CDTF">2017-12-01T20:26:43Z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TaxKeyword">
    <vt:lpwstr/>
  </property>
  <property fmtid="{D5CDD505-2E9C-101B-9397-08002B2CF9AE}" pid="4" name="TaxKeywordTaxHTField">
    <vt:lpwstr/>
  </property>
  <property fmtid="{D5CDD505-2E9C-101B-9397-08002B2CF9AE}" pid="5" name="Series Operations IDB">
    <vt:lpwstr/>
  </property>
  <property fmtid="{D5CDD505-2E9C-101B-9397-08002B2CF9AE}" pid="6" name="Sub-Sector">
    <vt:lpwstr>417;#LABOR POLICY|e71f91eb-7c75-452b-8d19-3a449ce1e247</vt:lpwstr>
  </property>
  <property fmtid="{D5CDD505-2E9C-101B-9397-08002B2CF9AE}" pid="7" name="Fund IDB">
    <vt:lpwstr>93;#SOF|02e8db3f-ac81-4bf1-ade3-030acec7701b</vt:lpwstr>
  </property>
  <property fmtid="{D5CDD505-2E9C-101B-9397-08002B2CF9AE}" pid="8" name="Country">
    <vt:lpwstr>44;#Regional|2537a5b7-6d8e-482c-94dc-32c3cc44ff65</vt:lpwstr>
  </property>
  <property fmtid="{D5CDD505-2E9C-101B-9397-08002B2CF9AE}" pid="9" name="Sector IDB">
    <vt:lpwstr>79;#SOCIAL INVESTMENT|3f908695-d5b5-49f6-941f-76876b39564f</vt:lpwstr>
  </property>
  <property fmtid="{D5CDD505-2E9C-101B-9397-08002B2CF9AE}" pid="10" name="Function Operations IDB">
    <vt:lpwstr>826;#Operation knowledge products|2246c660-3617-4762-8550-383684c87d61</vt:lpwstr>
  </property>
  <property fmtid="{D5CDD505-2E9C-101B-9397-08002B2CF9AE}" pid="11" name="_dlc_DocIdItemGuid">
    <vt:lpwstr>4c480c6d-a34b-4cdc-88d9-38b931b63767</vt:lpwstr>
  </property>
  <property fmtid="{D5CDD505-2E9C-101B-9397-08002B2CF9AE}" pid="12" name="ContentTypeId">
    <vt:lpwstr>0x0101001A458A224826124E8B45B1D613300CFC00DF8308F1BAB13B49BB28B40D42355BC9</vt:lpwstr>
  </property>
</Properties>
</file>