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4.xml" ContentType="application/vnd.openxmlformats-officedocument.spreadsheetml.worksheet+xml"/>
  <Override PartName="/xl/vbaProject.bin" ContentType="application/vnd.ms-office.vbaProject"/>
  <Override PartName="/xl/drawings/drawing10.xml" ContentType="application/vnd.openxmlformats-officedocument.drawing+xml"/>
  <Override PartName="/xl/drawings/drawing9.xml" ContentType="application/vnd.openxmlformats-officedocument.drawing+xml"/>
  <Override PartName="/xl/charts/chart6.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drawings/drawing8.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worksheets/sheet1.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charts/chart2.xml" ContentType="application/vnd.openxmlformats-officedocument.drawingml.chart+xml"/>
  <Override PartName="/xl/worksheets/sheet22.xml" ContentType="application/vnd.openxmlformats-officedocument.spreadsheetml.worksheet+xml"/>
  <Override PartName="/xl/theme/theme1.xml" ContentType="application/vnd.openxmlformats-officedocument.theme+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17.xml" ContentType="application/vnd.openxmlformats-officedocument.spreadsheetml.worksheet+xml"/>
  <Override PartName="/xl/worksheets/sheet18.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ctrlProps/ctrlProp6.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10.xml" ContentType="application/vnd.ms-excel.controlproperties+xml"/>
  <Override PartName="/xl/ctrlProps/ctrlProp9.xml" ContentType="application/vnd.ms-excel.controlproperties+xml"/>
  <Override PartName="/xl/ctrlProps/ctrlProp8.xml" ContentType="application/vnd.ms-excel.controlproperties+xml"/>
  <Override PartName="/xl/ctrlProps/ctrlProp7.xml" ContentType="application/vnd.ms-excel.controlproperties+xml"/>
  <Override PartName="/xl/ctrlProps/ctrlProp5.xml" ContentType="application/vnd.ms-excel.controlproperties+xml"/>
  <Override PartName="/xl/ctrlProps/ctrlProp4.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5.xml" ContentType="application/vnd.ms-excel.controlproperties+xml"/>
  <Override PartName="/xl/ctrlProps/ctrlProp3.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codeName="{8C4F1C90-05EB-6A55-5F09-09C24B55AC0B}"/>
  <workbookPr codeName="ThisWorkbook" defaultThemeVersion="124226"/>
  <bookViews>
    <workbookView xWindow="360" yWindow="405" windowWidth="15480" windowHeight="9435" tabRatio="830" firstSheet="9" activeTab="9"/>
  </bookViews>
  <sheets>
    <sheet name="uxbContents" sheetId="3" state="veryHidden" r:id="rId1"/>
    <sheet name="uxbWorks" sheetId="4" state="veryHidden" r:id="rId2"/>
    <sheet name="tblText" sheetId="5" state="veryHidden" r:id="rId3"/>
    <sheet name="tblCountries" sheetId="10" state="veryHidden" r:id="rId4"/>
    <sheet name="tblData" sheetId="41" state="veryHidden" r:id="rId5"/>
    <sheet name="tblIndicators" sheetId="12" state="veryHidden" r:id="rId6"/>
    <sheet name="tblLookups" sheetId="6" state="veryHidden" r:id="rId7"/>
    <sheet name="iPalette" sheetId="23" state="veryHidden" r:id="rId8"/>
    <sheet name="tblIndiDefs" sheetId="55" state="veryHidden" r:id="rId9"/>
    <sheet name="Home" sheetId="7" r:id="rId10"/>
    <sheet name="iMapRank" sheetId="21" state="veryHidden" r:id="rId11"/>
    <sheet name="Indicator_Ranking" sheetId="33" r:id="rId12"/>
    <sheet name="iMultiples" sheetId="27" state="veryHidden" r:id="rId13"/>
    <sheet name="iRankMultiple" sheetId="26" state="veryHidden" r:id="rId14"/>
    <sheet name="Tables" sheetId="28" r:id="rId15"/>
    <sheet name="iCtryDataTable" sheetId="20" state="veryHidden" r:id="rId16"/>
    <sheet name="Country_Summary" sheetId="34" r:id="rId17"/>
    <sheet name="Country_Datasheet" sheetId="15" r:id="rId18"/>
    <sheet name="iScatter" sheetId="29" state="veryHidden" r:id="rId19"/>
    <sheet name="Scatterplot" sheetId="30" r:id="rId20"/>
    <sheet name="Methodology" sheetId="57" r:id="rId21"/>
    <sheet name="Data_Availability" sheetId="18" r:id="rId22"/>
  </sheets>
  <functionGroups builtInGroupCount="17"/>
  <definedNames>
    <definedName name="_xlnm._FilterDatabase" localSheetId="4" hidden="1">tblData!$A$1:$J$1687</definedName>
    <definedName name="footnotes" hidden="1">Country_Summary!$B$48</definedName>
    <definedName name="hlCat" hidden="1">Tables!$A$1</definedName>
    <definedName name="hlCountrySummary" hidden="1">Country_Summary!$A$1</definedName>
    <definedName name="hlDatasheet" localSheetId="20" hidden="1">Methodology!$A$1</definedName>
    <definedName name="hlDatasheet" hidden="1">Country_Datasheet!$A$1</definedName>
    <definedName name="hlHome" hidden="1">Home!$A$1</definedName>
    <definedName name="hlMap" hidden="1">Indicator_Ranking!$A$1</definedName>
    <definedName name="hlScatter" hidden="1">Scatterplot!$A$1</definedName>
    <definedName name="lu_DataCode" hidden="1">tblData!$A$2:$A$3000</definedName>
    <definedName name="lu_Indi" hidden="1">tblIndicators!$B$2:$B$107</definedName>
    <definedName name="notables" hidden="1">Country_Summary!$H$7:$H$46</definedName>
    <definedName name="_xlnm.Print_Area" localSheetId="17">Country_Datasheet!$A$3:$L$112</definedName>
    <definedName name="_xlnm.Print_Area" localSheetId="16">Country_Summary!$A$3:$L$63</definedName>
    <definedName name="_xlnm.Print_Area" localSheetId="21">Data_Availability!$A$1:$AE$109</definedName>
    <definedName name="_xlnm.Print_Area" localSheetId="9">Home!$A$1:$E$25</definedName>
    <definedName name="_xlnm.Print_Area" localSheetId="11">Indicator_Ranking!$D$4:$J$35</definedName>
    <definedName name="_xlnm.Print_Area" localSheetId="19">Scatterplot!$A$3:$L$34</definedName>
    <definedName name="_xlnm.Print_Area" localSheetId="14">Tables!$A$3:$Y$95</definedName>
    <definedName name="rCat1" hidden="1">Tables!$E$7:$E$32</definedName>
    <definedName name="rCat10" hidden="1">Tables!$K$69:$K$94</definedName>
    <definedName name="rCat11" hidden="1">Tables!$Q$69:$Q$94</definedName>
    <definedName name="rCat12" hidden="1">Tables!$W$69:$W$94</definedName>
    <definedName name="rCat13" hidden="1">Tables!$E$100:$E$125</definedName>
    <definedName name="rCat14" hidden="1">Tables!$K$100:$K$125</definedName>
    <definedName name="rCat15" hidden="1">Tables!$Q$100:$Q$125</definedName>
    <definedName name="rCat16" hidden="1">Tables!$W$100:$W$125</definedName>
    <definedName name="rCat17" hidden="1">Tables!$E$131:$E$156</definedName>
    <definedName name="rCat18" hidden="1">Tables!$K$131:$K$156</definedName>
    <definedName name="rCat19" hidden="1">Tables!$Q$131:$Q$156</definedName>
    <definedName name="rCat2" hidden="1">Tables!$K$7:$K$32</definedName>
    <definedName name="rCat20" hidden="1">Tables!$W$131:$W$156</definedName>
    <definedName name="rCat21" hidden="1">Tables!$E$162:$E$187</definedName>
    <definedName name="rCat22" hidden="1">Tables!$K$162:$K$187</definedName>
    <definedName name="rCat23" hidden="1">Tables!$Q$162:$Q$187</definedName>
    <definedName name="rCat24" hidden="1">Tables!$W$162:$W$187</definedName>
    <definedName name="rCat25" hidden="1">Tables!$E$193:$E$218</definedName>
    <definedName name="rCat26" hidden="1">Tables!$K$193:$K$218</definedName>
    <definedName name="rCat27" hidden="1">Tables!$Q$193:$Q$218</definedName>
    <definedName name="rCat28" hidden="1">Tables!$W$193:$W$217</definedName>
    <definedName name="rCat3" hidden="1">Tables!$Q$7:$Q$32</definedName>
    <definedName name="rCat4" hidden="1">Tables!$W$7:$W$32</definedName>
    <definedName name="rCat5" hidden="1">Tables!$E$38:$E$63</definedName>
    <definedName name="rCat6" hidden="1">Tables!$K$38:$K$63</definedName>
    <definedName name="rCat7" hidden="1">Tables!$Q$38:$Q$63</definedName>
    <definedName name="rCat8" hidden="1">Tables!$W$38:$W$63</definedName>
    <definedName name="rCat9" hidden="1">Tables!$E$69:$E$94</definedName>
  </definedNames>
  <calcPr calcId="145621"/>
</workbook>
</file>

<file path=xl/calcChain.xml><?xml version="1.0" encoding="utf-8"?>
<calcChain xmlns="http://schemas.openxmlformats.org/spreadsheetml/2006/main">
  <c r="A104" i="5" l="1"/>
  <c r="B26" i="7" s="1"/>
  <c r="A103" i="5"/>
  <c r="B24" i="7" s="1"/>
  <c r="A99" i="5" l="1"/>
  <c r="C5" i="57" s="1"/>
  <c r="A100" i="5"/>
  <c r="C6" i="57" s="1"/>
  <c r="A101" i="5"/>
  <c r="C7" i="57" s="1"/>
  <c r="A98" i="5"/>
  <c r="C4" i="57" s="1"/>
  <c r="A18" i="5"/>
  <c r="D19" i="7" s="1"/>
  <c r="A1" i="57" l="1"/>
  <c r="M1" i="27"/>
  <c r="N1" i="27"/>
  <c r="O1" i="27"/>
  <c r="P1" i="27"/>
  <c r="Q1" i="27"/>
  <c r="R1" i="27"/>
  <c r="L1" i="27"/>
  <c r="A27" i="5"/>
  <c r="J2" i="30" s="1"/>
  <c r="A34" i="5"/>
  <c r="D2" i="30" s="1"/>
  <c r="A33" i="5"/>
  <c r="B2" i="30" s="1"/>
  <c r="X218" i="28"/>
  <c r="X217" i="28"/>
  <c r="X216" i="28"/>
  <c r="X215" i="28"/>
  <c r="X214" i="28"/>
  <c r="X213" i="28"/>
  <c r="X212" i="28"/>
  <c r="X211" i="28"/>
  <c r="X210" i="28"/>
  <c r="X209" i="28"/>
  <c r="X208" i="28"/>
  <c r="X207" i="28"/>
  <c r="X206" i="28"/>
  <c r="X205" i="28"/>
  <c r="X204" i="28"/>
  <c r="X203" i="28"/>
  <c r="X202" i="28"/>
  <c r="X201" i="28"/>
  <c r="X200" i="28"/>
  <c r="X199" i="28"/>
  <c r="X198" i="28"/>
  <c r="X197" i="28"/>
  <c r="X196" i="28"/>
  <c r="X195" i="28"/>
  <c r="X194" i="28"/>
  <c r="X193" i="28"/>
  <c r="R218" i="28"/>
  <c r="R217" i="28"/>
  <c r="R216" i="28"/>
  <c r="R215" i="28"/>
  <c r="R214" i="28"/>
  <c r="R213" i="28"/>
  <c r="R212" i="28"/>
  <c r="R211" i="28"/>
  <c r="R210" i="28"/>
  <c r="R209" i="28"/>
  <c r="R208" i="28"/>
  <c r="R207" i="28"/>
  <c r="R206" i="28"/>
  <c r="R205" i="28"/>
  <c r="R204" i="28"/>
  <c r="R203" i="28"/>
  <c r="R202" i="28"/>
  <c r="R201" i="28"/>
  <c r="R200" i="28"/>
  <c r="R199" i="28"/>
  <c r="R198" i="28"/>
  <c r="R197" i="28"/>
  <c r="R196" i="28"/>
  <c r="R195" i="28"/>
  <c r="R194" i="28"/>
  <c r="R193" i="28"/>
  <c r="L218" i="28"/>
  <c r="L217" i="28"/>
  <c r="L216" i="28"/>
  <c r="L215" i="28"/>
  <c r="L214" i="28"/>
  <c r="L213" i="28"/>
  <c r="L212" i="28"/>
  <c r="L211" i="28"/>
  <c r="L210" i="28"/>
  <c r="L209" i="28"/>
  <c r="L208" i="28"/>
  <c r="L207" i="28"/>
  <c r="L206" i="28"/>
  <c r="L205" i="28"/>
  <c r="L204" i="28"/>
  <c r="L203" i="28"/>
  <c r="L202" i="28"/>
  <c r="L201" i="28"/>
  <c r="L200" i="28"/>
  <c r="L199" i="28"/>
  <c r="L198" i="28"/>
  <c r="L197" i="28"/>
  <c r="L196" i="28"/>
  <c r="L195" i="28"/>
  <c r="L194" i="28"/>
  <c r="L193" i="28"/>
  <c r="F218" i="28"/>
  <c r="F217" i="28"/>
  <c r="F216" i="28"/>
  <c r="F215" i="28"/>
  <c r="F214" i="28"/>
  <c r="F213" i="28"/>
  <c r="F212" i="28"/>
  <c r="F211" i="28"/>
  <c r="F210" i="28"/>
  <c r="F209" i="28"/>
  <c r="F208" i="28"/>
  <c r="F207" i="28"/>
  <c r="F206" i="28"/>
  <c r="F205" i="28"/>
  <c r="F204" i="28"/>
  <c r="F203" i="28"/>
  <c r="F202" i="28"/>
  <c r="F201" i="28"/>
  <c r="F200" i="28"/>
  <c r="F199" i="28"/>
  <c r="F198" i="28"/>
  <c r="F197" i="28"/>
  <c r="F196" i="28"/>
  <c r="F195" i="28"/>
  <c r="F194" i="28"/>
  <c r="F193" i="28"/>
  <c r="X187" i="28"/>
  <c r="X186" i="28"/>
  <c r="X185" i="28"/>
  <c r="X184" i="28"/>
  <c r="X183" i="28"/>
  <c r="X182" i="28"/>
  <c r="X181" i="28"/>
  <c r="X180" i="28"/>
  <c r="X179" i="28"/>
  <c r="X178" i="28"/>
  <c r="X177" i="28"/>
  <c r="X176" i="28"/>
  <c r="X175" i="28"/>
  <c r="X174" i="28"/>
  <c r="X173" i="28"/>
  <c r="X172" i="28"/>
  <c r="X171" i="28"/>
  <c r="X170" i="28"/>
  <c r="X169" i="28"/>
  <c r="X168" i="28"/>
  <c r="X167" i="28"/>
  <c r="X166" i="28"/>
  <c r="X165" i="28"/>
  <c r="X164" i="28"/>
  <c r="X163" i="28"/>
  <c r="X162" i="28"/>
  <c r="R187" i="28"/>
  <c r="R186" i="28"/>
  <c r="R185" i="28"/>
  <c r="R184" i="28"/>
  <c r="R183" i="28"/>
  <c r="R182" i="28"/>
  <c r="R181" i="28"/>
  <c r="R180" i="28"/>
  <c r="R179" i="28"/>
  <c r="R178" i="28"/>
  <c r="R177" i="28"/>
  <c r="R176" i="28"/>
  <c r="R175" i="28"/>
  <c r="R174" i="28"/>
  <c r="R173" i="28"/>
  <c r="R172" i="28"/>
  <c r="R171" i="28"/>
  <c r="R170" i="28"/>
  <c r="R169" i="28"/>
  <c r="R168" i="28"/>
  <c r="R167" i="28"/>
  <c r="R166" i="28"/>
  <c r="R165" i="28"/>
  <c r="R164" i="28"/>
  <c r="R163" i="28"/>
  <c r="R162" i="28"/>
  <c r="L187" i="28"/>
  <c r="L186" i="28"/>
  <c r="L185" i="28"/>
  <c r="L184" i="28"/>
  <c r="L183" i="28"/>
  <c r="L182" i="28"/>
  <c r="L181" i="28"/>
  <c r="L180" i="28"/>
  <c r="L179" i="28"/>
  <c r="L178" i="28"/>
  <c r="L177" i="28"/>
  <c r="L176" i="28"/>
  <c r="L175" i="28"/>
  <c r="L174" i="28"/>
  <c r="L173" i="28"/>
  <c r="L172" i="28"/>
  <c r="L171" i="28"/>
  <c r="L170" i="28"/>
  <c r="L169" i="28"/>
  <c r="L168" i="28"/>
  <c r="L167" i="28"/>
  <c r="L166" i="28"/>
  <c r="L165" i="28"/>
  <c r="L164" i="28"/>
  <c r="L163" i="28"/>
  <c r="L162" i="28"/>
  <c r="F187" i="28"/>
  <c r="F186" i="28"/>
  <c r="F185" i="28"/>
  <c r="F184" i="28"/>
  <c r="F183" i="28"/>
  <c r="F182" i="28"/>
  <c r="F181" i="28"/>
  <c r="F180" i="28"/>
  <c r="F179" i="28"/>
  <c r="F178" i="28"/>
  <c r="F177" i="28"/>
  <c r="F176" i="28"/>
  <c r="F175" i="28"/>
  <c r="F174" i="28"/>
  <c r="F173" i="28"/>
  <c r="F172" i="28"/>
  <c r="F171" i="28"/>
  <c r="F170" i="28"/>
  <c r="F169" i="28"/>
  <c r="F168" i="28"/>
  <c r="F167" i="28"/>
  <c r="F166" i="28"/>
  <c r="F165" i="28"/>
  <c r="F164" i="28"/>
  <c r="F163" i="28"/>
  <c r="F162" i="28"/>
  <c r="A7" i="5"/>
  <c r="A8" i="5"/>
  <c r="A9" i="5"/>
  <c r="A10" i="5"/>
  <c r="B13" i="4" s="1"/>
  <c r="B100" i="18"/>
  <c r="C100" i="18"/>
  <c r="B101" i="18"/>
  <c r="C101" i="18"/>
  <c r="B102" i="18"/>
  <c r="C102" i="18"/>
  <c r="B103" i="18"/>
  <c r="C103" i="18"/>
  <c r="B104" i="18"/>
  <c r="C104" i="18"/>
  <c r="B105" i="18"/>
  <c r="C105" i="18"/>
  <c r="B106" i="18"/>
  <c r="C106" i="18"/>
  <c r="B107" i="18"/>
  <c r="C107" i="18"/>
  <c r="B108" i="18"/>
  <c r="C108" i="18"/>
  <c r="B2" i="7"/>
  <c r="A70" i="5"/>
  <c r="D36" i="33" s="1"/>
  <c r="B11" i="4"/>
  <c r="B12" i="4"/>
  <c r="B10" i="4"/>
  <c r="J1" i="41" l="1"/>
  <c r="A89" i="5"/>
  <c r="A90" i="5"/>
  <c r="B9" i="7" s="1"/>
  <c r="A91" i="5"/>
  <c r="B19" i="7" s="1"/>
  <c r="A92" i="5"/>
  <c r="A93" i="5"/>
  <c r="B20" i="7" s="1"/>
  <c r="I105" i="12"/>
  <c r="A95" i="5" l="1"/>
  <c r="A6" i="5"/>
  <c r="A110" i="20"/>
  <c r="B110" i="20"/>
  <c r="C110" i="20"/>
  <c r="G110" i="20" s="1"/>
  <c r="C111" i="15" s="1"/>
  <c r="D111" i="15" s="1"/>
  <c r="A106" i="20"/>
  <c r="B106" i="20"/>
  <c r="C106" i="20"/>
  <c r="B107" i="15" s="1"/>
  <c r="A107" i="20"/>
  <c r="B107" i="20"/>
  <c r="C107" i="20"/>
  <c r="B108" i="15" s="1"/>
  <c r="A108" i="20"/>
  <c r="B108" i="20"/>
  <c r="C108" i="20"/>
  <c r="B109" i="15" s="1"/>
  <c r="A109" i="20"/>
  <c r="B109" i="20"/>
  <c r="C109" i="20"/>
  <c r="B110" i="15" s="1"/>
  <c r="A7" i="20"/>
  <c r="B7" i="20"/>
  <c r="C7" i="20"/>
  <c r="B8" i="15" s="1"/>
  <c r="A8" i="20"/>
  <c r="B8" i="20"/>
  <c r="C8" i="20"/>
  <c r="B9" i="15" s="1"/>
  <c r="A9" i="20"/>
  <c r="B9" i="20"/>
  <c r="C9" i="20"/>
  <c r="B10" i="15" s="1"/>
  <c r="A10" i="20"/>
  <c r="B10" i="20"/>
  <c r="C10" i="20"/>
  <c r="G10" i="20" s="1"/>
  <c r="C11" i="15" s="1"/>
  <c r="D11" i="15" s="1"/>
  <c r="A11" i="20"/>
  <c r="B11" i="20"/>
  <c r="C11" i="20"/>
  <c r="B12" i="15" s="1"/>
  <c r="A12" i="20"/>
  <c r="B12" i="20"/>
  <c r="C12" i="20"/>
  <c r="B13" i="15" s="1"/>
  <c r="A13" i="20"/>
  <c r="B13" i="20"/>
  <c r="C13" i="20"/>
  <c r="B14" i="15" s="1"/>
  <c r="A14" i="20"/>
  <c r="B14" i="20"/>
  <c r="C14" i="20"/>
  <c r="B15" i="15" s="1"/>
  <c r="A15" i="20"/>
  <c r="B15" i="20"/>
  <c r="C15" i="20"/>
  <c r="B16" i="15" s="1"/>
  <c r="A16" i="20"/>
  <c r="B16" i="20"/>
  <c r="C16" i="20"/>
  <c r="B17" i="15" s="1"/>
  <c r="A17" i="20"/>
  <c r="B17" i="20"/>
  <c r="C17" i="20"/>
  <c r="B18" i="15" s="1"/>
  <c r="A18" i="20"/>
  <c r="B18" i="20"/>
  <c r="C18" i="20"/>
  <c r="F18" i="20" s="1"/>
  <c r="A19" i="20"/>
  <c r="B19" i="20"/>
  <c r="C19" i="20"/>
  <c r="B20" i="15" s="1"/>
  <c r="A20" i="20"/>
  <c r="B20" i="20"/>
  <c r="C20" i="20"/>
  <c r="B21" i="15" s="1"/>
  <c r="A21" i="20"/>
  <c r="B21" i="20"/>
  <c r="C21" i="20"/>
  <c r="B22" i="15" s="1"/>
  <c r="A22" i="20"/>
  <c r="B22" i="20"/>
  <c r="C22" i="20"/>
  <c r="B23" i="15" s="1"/>
  <c r="A23" i="20"/>
  <c r="B23" i="20"/>
  <c r="C23" i="20"/>
  <c r="B24" i="15" s="1"/>
  <c r="A24" i="20"/>
  <c r="B24" i="20"/>
  <c r="C24" i="20"/>
  <c r="G24" i="20" s="1"/>
  <c r="C25" i="15" s="1"/>
  <c r="D25" i="15" s="1"/>
  <c r="A25" i="20"/>
  <c r="B25" i="20"/>
  <c r="C25" i="20"/>
  <c r="B26" i="15" s="1"/>
  <c r="A26" i="20"/>
  <c r="B26" i="20"/>
  <c r="C26" i="20"/>
  <c r="B27" i="15" s="1"/>
  <c r="A27" i="20"/>
  <c r="B27" i="20"/>
  <c r="C27" i="20"/>
  <c r="B28" i="15" s="1"/>
  <c r="A28" i="20"/>
  <c r="B28" i="20"/>
  <c r="C28" i="20"/>
  <c r="G28" i="20" s="1"/>
  <c r="C29" i="15" s="1"/>
  <c r="D29" i="15" s="1"/>
  <c r="A29" i="20"/>
  <c r="B29" i="20"/>
  <c r="C29" i="20"/>
  <c r="B30" i="15" s="1"/>
  <c r="A30" i="20"/>
  <c r="B30" i="20"/>
  <c r="C30" i="20"/>
  <c r="B31" i="15" s="1"/>
  <c r="A31" i="20"/>
  <c r="B31" i="20"/>
  <c r="C31" i="20"/>
  <c r="B32" i="15" s="1"/>
  <c r="A32" i="20"/>
  <c r="B32" i="20"/>
  <c r="C32" i="20"/>
  <c r="B33" i="15" s="1"/>
  <c r="A33" i="20"/>
  <c r="B33" i="20"/>
  <c r="C33" i="20"/>
  <c r="B34" i="15" s="1"/>
  <c r="A34" i="20"/>
  <c r="B34" i="20"/>
  <c r="C34" i="20"/>
  <c r="B35" i="15" s="1"/>
  <c r="A35" i="20"/>
  <c r="B35" i="20"/>
  <c r="C35" i="20"/>
  <c r="B36" i="15" s="1"/>
  <c r="A36" i="20"/>
  <c r="B36" i="20"/>
  <c r="C36" i="20"/>
  <c r="B37" i="15" s="1"/>
  <c r="A37" i="20"/>
  <c r="B37" i="20"/>
  <c r="C37" i="20"/>
  <c r="B38" i="15" s="1"/>
  <c r="A38" i="20"/>
  <c r="B38" i="20"/>
  <c r="C38" i="20"/>
  <c r="B39" i="15" s="1"/>
  <c r="A39" i="20"/>
  <c r="B39" i="20"/>
  <c r="C39" i="20"/>
  <c r="B40" i="15" s="1"/>
  <c r="A40" i="20"/>
  <c r="B40" i="20"/>
  <c r="C40" i="20"/>
  <c r="B41" i="15" s="1"/>
  <c r="A41" i="20"/>
  <c r="B41" i="20"/>
  <c r="C41" i="20"/>
  <c r="B42" i="15" s="1"/>
  <c r="A42" i="20"/>
  <c r="B42" i="20"/>
  <c r="C42" i="20"/>
  <c r="B43" i="15" s="1"/>
  <c r="A43" i="20"/>
  <c r="B43" i="20"/>
  <c r="C43" i="20"/>
  <c r="B44" i="15" s="1"/>
  <c r="A44" i="20"/>
  <c r="B44" i="20"/>
  <c r="C44" i="20"/>
  <c r="B45" i="15" s="1"/>
  <c r="A45" i="20"/>
  <c r="B45" i="20"/>
  <c r="C45" i="20"/>
  <c r="B46" i="15" s="1"/>
  <c r="A46" i="20"/>
  <c r="B46" i="20"/>
  <c r="C46" i="20"/>
  <c r="B47" i="15" s="1"/>
  <c r="A47" i="20"/>
  <c r="B47" i="20"/>
  <c r="C47" i="20"/>
  <c r="H47" i="20" s="1"/>
  <c r="K47" i="20" s="1"/>
  <c r="A48" i="20"/>
  <c r="B48" i="20"/>
  <c r="C48" i="20"/>
  <c r="B49" i="15" s="1"/>
  <c r="A49" i="20"/>
  <c r="B49" i="20"/>
  <c r="C49" i="20"/>
  <c r="B50" i="15" s="1"/>
  <c r="A50" i="20"/>
  <c r="B50" i="20"/>
  <c r="C50" i="20"/>
  <c r="B51" i="15" s="1"/>
  <c r="A51" i="20"/>
  <c r="B51" i="20"/>
  <c r="C51" i="20"/>
  <c r="B52" i="15" s="1"/>
  <c r="A52" i="20"/>
  <c r="B52" i="20"/>
  <c r="C52" i="20"/>
  <c r="B53" i="15" s="1"/>
  <c r="A53" i="20"/>
  <c r="B53" i="20"/>
  <c r="C53" i="20"/>
  <c r="B54" i="15" s="1"/>
  <c r="A54" i="20"/>
  <c r="B54" i="20"/>
  <c r="C54" i="20"/>
  <c r="B55" i="15" s="1"/>
  <c r="A55" i="20"/>
  <c r="B55" i="20"/>
  <c r="C55" i="20"/>
  <c r="B56" i="15" s="1"/>
  <c r="A56" i="20"/>
  <c r="B56" i="20"/>
  <c r="C56" i="20"/>
  <c r="B57" i="15" s="1"/>
  <c r="A57" i="20"/>
  <c r="B57" i="20"/>
  <c r="C57" i="20"/>
  <c r="B58" i="15" s="1"/>
  <c r="A58" i="20"/>
  <c r="B58" i="20"/>
  <c r="C58" i="20"/>
  <c r="B59" i="15" s="1"/>
  <c r="A59" i="20"/>
  <c r="B59" i="20"/>
  <c r="C59" i="20"/>
  <c r="B60" i="15" s="1"/>
  <c r="A60" i="20"/>
  <c r="B60" i="20"/>
  <c r="C60" i="20"/>
  <c r="B61" i="15" s="1"/>
  <c r="A61" i="20"/>
  <c r="B61" i="20"/>
  <c r="C61" i="20"/>
  <c r="B62" i="15" s="1"/>
  <c r="A62" i="20"/>
  <c r="B62" i="20"/>
  <c r="C62" i="20"/>
  <c r="B63" i="15" s="1"/>
  <c r="A63" i="20"/>
  <c r="B63" i="20"/>
  <c r="C63" i="20"/>
  <c r="B64" i="15" s="1"/>
  <c r="A64" i="20"/>
  <c r="B64" i="20"/>
  <c r="C64" i="20"/>
  <c r="B65" i="15" s="1"/>
  <c r="A65" i="20"/>
  <c r="B65" i="20"/>
  <c r="C65" i="20"/>
  <c r="B66" i="15" s="1"/>
  <c r="A66" i="20"/>
  <c r="B66" i="20"/>
  <c r="C66" i="20"/>
  <c r="G66" i="20" s="1"/>
  <c r="C67" i="15" s="1"/>
  <c r="D67" i="15" s="1"/>
  <c r="A67" i="20"/>
  <c r="B67" i="20"/>
  <c r="C67" i="20"/>
  <c r="B68" i="15" s="1"/>
  <c r="A68" i="20"/>
  <c r="B68" i="20"/>
  <c r="C68" i="20"/>
  <c r="G68" i="20" s="1"/>
  <c r="C69" i="15" s="1"/>
  <c r="D69" i="15" s="1"/>
  <c r="A69" i="20"/>
  <c r="B69" i="20"/>
  <c r="C69" i="20"/>
  <c r="B70" i="15" s="1"/>
  <c r="A70" i="20"/>
  <c r="B70" i="20"/>
  <c r="C70" i="20"/>
  <c r="B71" i="15" s="1"/>
  <c r="A71" i="20"/>
  <c r="B71" i="20"/>
  <c r="C71" i="20"/>
  <c r="B72" i="15" s="1"/>
  <c r="A72" i="20"/>
  <c r="B72" i="20"/>
  <c r="C72" i="20"/>
  <c r="G72" i="20" s="1"/>
  <c r="C73" i="15" s="1"/>
  <c r="D73" i="15" s="1"/>
  <c r="A73" i="20"/>
  <c r="B73" i="20"/>
  <c r="C73" i="20"/>
  <c r="B74" i="15" s="1"/>
  <c r="A74" i="20"/>
  <c r="B74" i="20"/>
  <c r="C74" i="20"/>
  <c r="B75" i="15" s="1"/>
  <c r="A75" i="20"/>
  <c r="B75" i="20"/>
  <c r="C75" i="20"/>
  <c r="B76" i="15" s="1"/>
  <c r="A76" i="20"/>
  <c r="B76" i="20"/>
  <c r="C76" i="20"/>
  <c r="B77" i="15" s="1"/>
  <c r="A77" i="20"/>
  <c r="B77" i="20"/>
  <c r="C77" i="20"/>
  <c r="B78" i="15" s="1"/>
  <c r="A78" i="20"/>
  <c r="B78" i="20"/>
  <c r="C78" i="20"/>
  <c r="B79" i="15" s="1"/>
  <c r="A79" i="20"/>
  <c r="B79" i="20"/>
  <c r="C79" i="20"/>
  <c r="B80" i="15" s="1"/>
  <c r="A80" i="20"/>
  <c r="B80" i="20"/>
  <c r="C80" i="20"/>
  <c r="B81" i="15" s="1"/>
  <c r="A81" i="20"/>
  <c r="B81" i="20"/>
  <c r="C81" i="20"/>
  <c r="B82" i="15" s="1"/>
  <c r="A82" i="20"/>
  <c r="B82" i="20"/>
  <c r="C82" i="20"/>
  <c r="B83" i="15" s="1"/>
  <c r="A83" i="20"/>
  <c r="B83" i="20"/>
  <c r="C83" i="20"/>
  <c r="B84" i="15" s="1"/>
  <c r="A84" i="20"/>
  <c r="B84" i="20"/>
  <c r="C84" i="20"/>
  <c r="G84" i="20" s="1"/>
  <c r="C85" i="15" s="1"/>
  <c r="D85" i="15" s="1"/>
  <c r="A85" i="20"/>
  <c r="B85" i="20"/>
  <c r="C85" i="20"/>
  <c r="B86" i="15" s="1"/>
  <c r="A86" i="20"/>
  <c r="B86" i="20"/>
  <c r="C86" i="20"/>
  <c r="B87" i="15" s="1"/>
  <c r="A87" i="20"/>
  <c r="B87" i="20"/>
  <c r="C87" i="20"/>
  <c r="B88" i="15" s="1"/>
  <c r="A88" i="20"/>
  <c r="B88" i="20"/>
  <c r="C88" i="20"/>
  <c r="B89" i="15" s="1"/>
  <c r="A89" i="20"/>
  <c r="B89" i="20"/>
  <c r="C89" i="20"/>
  <c r="B90" i="15" s="1"/>
  <c r="A90" i="20"/>
  <c r="B90" i="20"/>
  <c r="C90" i="20"/>
  <c r="B91" i="15" s="1"/>
  <c r="A91" i="20"/>
  <c r="B91" i="20"/>
  <c r="C91" i="20"/>
  <c r="B92" i="15" s="1"/>
  <c r="A92" i="20"/>
  <c r="B92" i="20"/>
  <c r="C92" i="20"/>
  <c r="B93" i="15" s="1"/>
  <c r="A93" i="20"/>
  <c r="B93" i="20"/>
  <c r="C93" i="20"/>
  <c r="H93" i="20" s="1"/>
  <c r="L93" i="20" s="1"/>
  <c r="A94" i="20"/>
  <c r="B94" i="20"/>
  <c r="C94" i="20"/>
  <c r="B95" i="15" s="1"/>
  <c r="A95" i="20"/>
  <c r="B95" i="20"/>
  <c r="C95" i="20"/>
  <c r="B96" i="15" s="1"/>
  <c r="A96" i="20"/>
  <c r="B96" i="20"/>
  <c r="C96" i="20"/>
  <c r="B97" i="15" s="1"/>
  <c r="A97" i="20"/>
  <c r="B97" i="20"/>
  <c r="C97" i="20"/>
  <c r="B98" i="15" s="1"/>
  <c r="A98" i="20"/>
  <c r="B98" i="20"/>
  <c r="C98" i="20"/>
  <c r="B99" i="15" s="1"/>
  <c r="A99" i="20"/>
  <c r="B99" i="20"/>
  <c r="C99" i="20"/>
  <c r="B100" i="15" s="1"/>
  <c r="A100" i="20"/>
  <c r="B100" i="20"/>
  <c r="C100" i="20"/>
  <c r="B101" i="15" s="1"/>
  <c r="A101" i="20"/>
  <c r="B101" i="20"/>
  <c r="C101" i="20"/>
  <c r="B102" i="15" s="1"/>
  <c r="A102" i="20"/>
  <c r="B102" i="20"/>
  <c r="C102" i="20"/>
  <c r="B103" i="15" s="1"/>
  <c r="A103" i="20"/>
  <c r="B103" i="20"/>
  <c r="C103" i="20"/>
  <c r="B104" i="15" s="1"/>
  <c r="A104" i="20"/>
  <c r="B104" i="20"/>
  <c r="C104" i="20"/>
  <c r="B105" i="15" s="1"/>
  <c r="A105" i="20"/>
  <c r="B105" i="20"/>
  <c r="C105" i="20"/>
  <c r="B106" i="15" s="1"/>
  <c r="K3" i="20"/>
  <c r="K116" i="20"/>
  <c r="K48" i="15" l="1"/>
  <c r="B67" i="15"/>
  <c r="B25" i="15"/>
  <c r="B73" i="15"/>
  <c r="B11" i="15"/>
  <c r="G106" i="20"/>
  <c r="C107" i="15" s="1"/>
  <c r="D107" i="15" s="1"/>
  <c r="B29" i="15"/>
  <c r="B19" i="15"/>
  <c r="G18" i="20"/>
  <c r="C19" i="15" s="1"/>
  <c r="D19" i="15" s="1"/>
  <c r="B111" i="15"/>
  <c r="B94" i="15"/>
  <c r="B85" i="15"/>
  <c r="B69" i="15"/>
  <c r="G36" i="20"/>
  <c r="C37" i="15" s="1"/>
  <c r="D37" i="15" s="1"/>
  <c r="L47" i="20"/>
  <c r="B48" i="15"/>
  <c r="J30" i="34"/>
  <c r="K93" i="20"/>
  <c r="I94" i="15"/>
  <c r="G32" i="20"/>
  <c r="C33" i="15" s="1"/>
  <c r="D33" i="15" s="1"/>
  <c r="G14" i="20"/>
  <c r="C15" i="15" s="1"/>
  <c r="D15" i="15" s="1"/>
  <c r="G108" i="20"/>
  <c r="C109" i="15" s="1"/>
  <c r="D109" i="15" s="1"/>
  <c r="G80" i="20"/>
  <c r="C81" i="15" s="1"/>
  <c r="D81" i="15" s="1"/>
  <c r="G58" i="20"/>
  <c r="C59" i="15" s="1"/>
  <c r="D59" i="15" s="1"/>
  <c r="G76" i="20"/>
  <c r="C77" i="15" s="1"/>
  <c r="D77" i="15" s="1"/>
  <c r="F66" i="20"/>
  <c r="I93" i="20"/>
  <c r="I47" i="20"/>
  <c r="G104" i="20"/>
  <c r="C105" i="15" s="1"/>
  <c r="D105" i="15" s="1"/>
  <c r="H66" i="20"/>
  <c r="G62" i="20"/>
  <c r="C63" i="15" s="1"/>
  <c r="D63" i="15" s="1"/>
  <c r="J47" i="20"/>
  <c r="G20" i="20"/>
  <c r="C21" i="15" s="1"/>
  <c r="D21" i="15" s="1"/>
  <c r="G96" i="20"/>
  <c r="C97" i="15" s="1"/>
  <c r="D97" i="15" s="1"/>
  <c r="G92" i="20"/>
  <c r="C93" i="15" s="1"/>
  <c r="D93" i="15" s="1"/>
  <c r="G54" i="20"/>
  <c r="C55" i="15" s="1"/>
  <c r="D55" i="15" s="1"/>
  <c r="F100" i="20"/>
  <c r="G88" i="20"/>
  <c r="C89" i="15" s="1"/>
  <c r="D89" i="15" s="1"/>
  <c r="E66" i="20"/>
  <c r="G50" i="20"/>
  <c r="C51" i="15" s="1"/>
  <c r="D51" i="15" s="1"/>
  <c r="G44" i="20"/>
  <c r="C45" i="15" s="1"/>
  <c r="D45" i="15" s="1"/>
  <c r="G40" i="20"/>
  <c r="C41" i="15" s="1"/>
  <c r="D41" i="15" s="1"/>
  <c r="E18" i="20"/>
  <c r="E100" i="20"/>
  <c r="G98" i="20"/>
  <c r="C99" i="15" s="1"/>
  <c r="D99" i="15" s="1"/>
  <c r="G70" i="20"/>
  <c r="C71" i="15" s="1"/>
  <c r="D71" i="15" s="1"/>
  <c r="G42" i="20"/>
  <c r="C43" i="15" s="1"/>
  <c r="D43" i="15" s="1"/>
  <c r="G34" i="20"/>
  <c r="C35" i="15" s="1"/>
  <c r="D35" i="15" s="1"/>
  <c r="G26" i="20"/>
  <c r="C27" i="15" s="1"/>
  <c r="D27" i="15" s="1"/>
  <c r="H18" i="20"/>
  <c r="G86" i="20"/>
  <c r="C87" i="15" s="1"/>
  <c r="D87" i="15" s="1"/>
  <c r="G12" i="20"/>
  <c r="C13" i="15" s="1"/>
  <c r="D13" i="15" s="1"/>
  <c r="E74" i="20"/>
  <c r="H100" i="20"/>
  <c r="F74" i="20"/>
  <c r="G64" i="20"/>
  <c r="C65" i="15" s="1"/>
  <c r="D65" i="15" s="1"/>
  <c r="G56" i="20"/>
  <c r="C57" i="15" s="1"/>
  <c r="D57" i="15" s="1"/>
  <c r="G48" i="20"/>
  <c r="C49" i="15" s="1"/>
  <c r="D49" i="15" s="1"/>
  <c r="G94" i="20"/>
  <c r="C95" i="15" s="1"/>
  <c r="D95" i="15" s="1"/>
  <c r="G74" i="20"/>
  <c r="C75" i="15" s="1"/>
  <c r="D75" i="15" s="1"/>
  <c r="G46" i="20"/>
  <c r="C47" i="15" s="1"/>
  <c r="D47" i="15" s="1"/>
  <c r="G38" i="20"/>
  <c r="C39" i="15" s="1"/>
  <c r="D39" i="15" s="1"/>
  <c r="G30" i="20"/>
  <c r="C31" i="15" s="1"/>
  <c r="D31" i="15" s="1"/>
  <c r="G22" i="20"/>
  <c r="C23" i="15" s="1"/>
  <c r="D23" i="15" s="1"/>
  <c r="G78" i="20"/>
  <c r="C79" i="15" s="1"/>
  <c r="D79" i="15" s="1"/>
  <c r="G100" i="20"/>
  <c r="C101" i="15" s="1"/>
  <c r="D101" i="15" s="1"/>
  <c r="G102" i="20"/>
  <c r="C103" i="15" s="1"/>
  <c r="D103" i="15" s="1"/>
  <c r="J93" i="20"/>
  <c r="G90" i="20"/>
  <c r="C91" i="15" s="1"/>
  <c r="D91" i="15" s="1"/>
  <c r="G82" i="20"/>
  <c r="C83" i="15" s="1"/>
  <c r="D83" i="15" s="1"/>
  <c r="H74" i="20"/>
  <c r="G60" i="20"/>
  <c r="C61" i="15" s="1"/>
  <c r="D61" i="15" s="1"/>
  <c r="G52" i="20"/>
  <c r="C53" i="15" s="1"/>
  <c r="D53" i="15" s="1"/>
  <c r="G16" i="20"/>
  <c r="C17" i="15" s="1"/>
  <c r="D17" i="15" s="1"/>
  <c r="G8" i="20"/>
  <c r="C9" i="15" s="1"/>
  <c r="D9" i="15" s="1"/>
  <c r="G109" i="20"/>
  <c r="C110" i="15" s="1"/>
  <c r="D110" i="15" s="1"/>
  <c r="G107" i="20"/>
  <c r="C108" i="15" s="1"/>
  <c r="D108" i="15" s="1"/>
  <c r="I100" i="20"/>
  <c r="E93" i="20"/>
  <c r="I74" i="20"/>
  <c r="I66" i="20"/>
  <c r="E47" i="20"/>
  <c r="I18" i="20"/>
  <c r="J100" i="20"/>
  <c r="F93" i="20"/>
  <c r="J74" i="20"/>
  <c r="J66" i="20"/>
  <c r="F47" i="20"/>
  <c r="J18" i="20"/>
  <c r="G103" i="20"/>
  <c r="C104" i="15" s="1"/>
  <c r="D104" i="15" s="1"/>
  <c r="G101" i="20"/>
  <c r="C102" i="15" s="1"/>
  <c r="D102" i="15" s="1"/>
  <c r="G97" i="20"/>
  <c r="C98" i="15" s="1"/>
  <c r="D98" i="15" s="1"/>
  <c r="G91" i="20"/>
  <c r="C92" i="15" s="1"/>
  <c r="D92" i="15" s="1"/>
  <c r="G89" i="20"/>
  <c r="C90" i="15" s="1"/>
  <c r="D90" i="15" s="1"/>
  <c r="G85" i="20"/>
  <c r="C86" i="15" s="1"/>
  <c r="D86" i="15" s="1"/>
  <c r="G83" i="20"/>
  <c r="C84" i="15" s="1"/>
  <c r="D84" i="15" s="1"/>
  <c r="G79" i="20"/>
  <c r="C80" i="15" s="1"/>
  <c r="D80" i="15" s="1"/>
  <c r="G77" i="20"/>
  <c r="C78" i="15" s="1"/>
  <c r="D78" i="15" s="1"/>
  <c r="G75" i="20"/>
  <c r="C76" i="15" s="1"/>
  <c r="D76" i="15" s="1"/>
  <c r="G73" i="20"/>
  <c r="C74" i="15" s="1"/>
  <c r="D74" i="15" s="1"/>
  <c r="G71" i="20"/>
  <c r="C72" i="15" s="1"/>
  <c r="D72" i="15" s="1"/>
  <c r="G69" i="20"/>
  <c r="C70" i="15" s="1"/>
  <c r="D70" i="15" s="1"/>
  <c r="G67" i="20"/>
  <c r="C68" i="15" s="1"/>
  <c r="D68" i="15" s="1"/>
  <c r="G65" i="20"/>
  <c r="C66" i="15" s="1"/>
  <c r="D66" i="15" s="1"/>
  <c r="G59" i="20"/>
  <c r="C60" i="15" s="1"/>
  <c r="D60" i="15" s="1"/>
  <c r="G57" i="20"/>
  <c r="C58" i="15" s="1"/>
  <c r="D58" i="15" s="1"/>
  <c r="G55" i="20"/>
  <c r="C56" i="15" s="1"/>
  <c r="D56" i="15" s="1"/>
  <c r="G53" i="20"/>
  <c r="C54" i="15" s="1"/>
  <c r="D54" i="15" s="1"/>
  <c r="G49" i="20"/>
  <c r="C50" i="15" s="1"/>
  <c r="D50" i="15" s="1"/>
  <c r="G47" i="20"/>
  <c r="C48" i="15" s="1"/>
  <c r="D48" i="15" s="1"/>
  <c r="G45" i="20"/>
  <c r="C46" i="15" s="1"/>
  <c r="D46" i="15" s="1"/>
  <c r="G43" i="20"/>
  <c r="C44" i="15" s="1"/>
  <c r="D44" i="15" s="1"/>
  <c r="G41" i="20"/>
  <c r="C42" i="15" s="1"/>
  <c r="D42" i="15" s="1"/>
  <c r="G39" i="20"/>
  <c r="C40" i="15" s="1"/>
  <c r="D40" i="15" s="1"/>
  <c r="G37" i="20"/>
  <c r="C38" i="15" s="1"/>
  <c r="D38" i="15" s="1"/>
  <c r="G35" i="20"/>
  <c r="C36" i="15" s="1"/>
  <c r="D36" i="15" s="1"/>
  <c r="G33" i="20"/>
  <c r="C34" i="15" s="1"/>
  <c r="D34" i="15" s="1"/>
  <c r="G31" i="20"/>
  <c r="C32" i="15" s="1"/>
  <c r="D32" i="15" s="1"/>
  <c r="G29" i="20"/>
  <c r="C30" i="15" s="1"/>
  <c r="D30" i="15" s="1"/>
  <c r="G27" i="20"/>
  <c r="C28" i="15" s="1"/>
  <c r="D28" i="15" s="1"/>
  <c r="G25" i="20"/>
  <c r="C26" i="15" s="1"/>
  <c r="D26" i="15" s="1"/>
  <c r="G23" i="20"/>
  <c r="C24" i="15" s="1"/>
  <c r="D24" i="15" s="1"/>
  <c r="G21" i="20"/>
  <c r="C22" i="15" s="1"/>
  <c r="D22" i="15" s="1"/>
  <c r="G19" i="20"/>
  <c r="C20" i="15" s="1"/>
  <c r="D20" i="15" s="1"/>
  <c r="G17" i="20"/>
  <c r="C18" i="15" s="1"/>
  <c r="D18" i="15" s="1"/>
  <c r="G15" i="20"/>
  <c r="C16" i="15" s="1"/>
  <c r="D16" i="15" s="1"/>
  <c r="G13" i="20"/>
  <c r="C14" i="15" s="1"/>
  <c r="D14" i="15" s="1"/>
  <c r="G11" i="20"/>
  <c r="C12" i="15" s="1"/>
  <c r="D12" i="15" s="1"/>
  <c r="G9" i="20"/>
  <c r="C10" i="15" s="1"/>
  <c r="D10" i="15" s="1"/>
  <c r="G7" i="20"/>
  <c r="C8" i="15" s="1"/>
  <c r="D8" i="15" s="1"/>
  <c r="G105" i="20"/>
  <c r="C106" i="15" s="1"/>
  <c r="D106" i="15" s="1"/>
  <c r="G99" i="20"/>
  <c r="C100" i="15" s="1"/>
  <c r="D100" i="15" s="1"/>
  <c r="G95" i="20"/>
  <c r="C96" i="15" s="1"/>
  <c r="D96" i="15" s="1"/>
  <c r="G93" i="20"/>
  <c r="C94" i="15" s="1"/>
  <c r="D94" i="15" s="1"/>
  <c r="G87" i="20"/>
  <c r="C88" i="15" s="1"/>
  <c r="D88" i="15" s="1"/>
  <c r="G81" i="20"/>
  <c r="C82" i="15" s="1"/>
  <c r="D82" i="15" s="1"/>
  <c r="G63" i="20"/>
  <c r="C64" i="15" s="1"/>
  <c r="D64" i="15" s="1"/>
  <c r="G61" i="20"/>
  <c r="C62" i="15" s="1"/>
  <c r="D62" i="15" s="1"/>
  <c r="G51" i="20"/>
  <c r="C52" i="15" s="1"/>
  <c r="D52" i="15" s="1"/>
  <c r="F9" i="27"/>
  <c r="F8" i="27"/>
  <c r="F7" i="27"/>
  <c r="F6" i="27"/>
  <c r="F5" i="27"/>
  <c r="F4" i="27"/>
  <c r="F3" i="27"/>
  <c r="C99" i="18"/>
  <c r="B99" i="18"/>
  <c r="C98" i="18"/>
  <c r="B98" i="18"/>
  <c r="C97" i="18"/>
  <c r="B97" i="18"/>
  <c r="C96" i="18"/>
  <c r="B96" i="18"/>
  <c r="C95" i="18"/>
  <c r="B95" i="18"/>
  <c r="C94" i="18"/>
  <c r="B94" i="18"/>
  <c r="C93" i="18"/>
  <c r="B93" i="18"/>
  <c r="C92" i="18"/>
  <c r="B92" i="18"/>
  <c r="C91" i="18"/>
  <c r="B91" i="18"/>
  <c r="C90" i="18"/>
  <c r="B90" i="18"/>
  <c r="C89" i="18"/>
  <c r="B89" i="18"/>
  <c r="C88" i="18"/>
  <c r="B88" i="18"/>
  <c r="C87" i="18"/>
  <c r="B87" i="18"/>
  <c r="C86" i="18"/>
  <c r="B86" i="18"/>
  <c r="C85" i="18"/>
  <c r="B85" i="18"/>
  <c r="C84" i="18"/>
  <c r="B84" i="18"/>
  <c r="C83" i="18"/>
  <c r="B83" i="18"/>
  <c r="C82" i="18"/>
  <c r="B82" i="18"/>
  <c r="C81" i="18"/>
  <c r="B81" i="18"/>
  <c r="C80" i="18"/>
  <c r="B80" i="18"/>
  <c r="C79" i="18"/>
  <c r="B79" i="18"/>
  <c r="C78" i="18"/>
  <c r="B78" i="18"/>
  <c r="C77" i="18"/>
  <c r="B77" i="18"/>
  <c r="C76" i="18"/>
  <c r="B76" i="18"/>
  <c r="C75" i="18"/>
  <c r="B75" i="18"/>
  <c r="C74" i="18"/>
  <c r="B74" i="18"/>
  <c r="C73" i="18"/>
  <c r="B73" i="18"/>
  <c r="C72" i="18"/>
  <c r="B72" i="18"/>
  <c r="C71" i="18"/>
  <c r="B71" i="18"/>
  <c r="C70" i="18"/>
  <c r="B70" i="18"/>
  <c r="C69" i="18"/>
  <c r="B69" i="18"/>
  <c r="C68" i="18"/>
  <c r="B68" i="18"/>
  <c r="C67" i="18"/>
  <c r="B67" i="18"/>
  <c r="C66" i="18"/>
  <c r="B66" i="18"/>
  <c r="C65" i="18"/>
  <c r="B65" i="18"/>
  <c r="C64" i="18"/>
  <c r="B64" i="18"/>
  <c r="C63" i="18"/>
  <c r="B63" i="18"/>
  <c r="C62" i="18"/>
  <c r="B62" i="18"/>
  <c r="C61" i="18"/>
  <c r="B61" i="18"/>
  <c r="C60" i="18"/>
  <c r="B60" i="18"/>
  <c r="C59" i="18"/>
  <c r="B59" i="18"/>
  <c r="C58" i="18"/>
  <c r="B58" i="18"/>
  <c r="C57" i="18"/>
  <c r="B57" i="18"/>
  <c r="C56" i="18"/>
  <c r="B56" i="18"/>
  <c r="C55" i="18"/>
  <c r="B55" i="18"/>
  <c r="C54" i="18"/>
  <c r="B54" i="18"/>
  <c r="C53" i="18"/>
  <c r="B53" i="18"/>
  <c r="C52" i="18"/>
  <c r="B52" i="18"/>
  <c r="C51" i="18"/>
  <c r="B51" i="18"/>
  <c r="C50" i="18"/>
  <c r="B50" i="18"/>
  <c r="C49" i="18"/>
  <c r="B49" i="18"/>
  <c r="C48" i="18"/>
  <c r="B48" i="18"/>
  <c r="C47" i="18"/>
  <c r="B47" i="18"/>
  <c r="C46" i="18"/>
  <c r="B46" i="18"/>
  <c r="C45" i="18"/>
  <c r="B45" i="18"/>
  <c r="C44" i="18"/>
  <c r="B44" i="18"/>
  <c r="C43" i="18"/>
  <c r="B43" i="18"/>
  <c r="C42" i="18"/>
  <c r="B42" i="18"/>
  <c r="C41" i="18"/>
  <c r="B41" i="18"/>
  <c r="C40" i="18"/>
  <c r="B40" i="18"/>
  <c r="C39" i="18"/>
  <c r="B39" i="18"/>
  <c r="C38" i="18"/>
  <c r="B38" i="18"/>
  <c r="C37" i="18"/>
  <c r="B37" i="18"/>
  <c r="C36" i="18"/>
  <c r="B36" i="18"/>
  <c r="C35" i="18"/>
  <c r="B35" i="18"/>
  <c r="C34" i="18"/>
  <c r="B34" i="18"/>
  <c r="C33" i="18"/>
  <c r="B33" i="18"/>
  <c r="C32" i="18"/>
  <c r="B32" i="18"/>
  <c r="C31" i="18"/>
  <c r="B31" i="18"/>
  <c r="C30" i="18"/>
  <c r="B30" i="18"/>
  <c r="C29" i="18"/>
  <c r="B29" i="18"/>
  <c r="C28" i="18"/>
  <c r="B28" i="18"/>
  <c r="C27" i="18"/>
  <c r="B27" i="18"/>
  <c r="C26" i="18"/>
  <c r="B26" i="18"/>
  <c r="C25" i="18"/>
  <c r="B25" i="18"/>
  <c r="C24" i="18"/>
  <c r="B24" i="18"/>
  <c r="C23" i="18"/>
  <c r="B23" i="18"/>
  <c r="C22" i="18"/>
  <c r="B22" i="18"/>
  <c r="C21" i="18"/>
  <c r="B21" i="18"/>
  <c r="C20" i="18"/>
  <c r="B20" i="18"/>
  <c r="C19" i="18"/>
  <c r="B19" i="18"/>
  <c r="C18" i="18"/>
  <c r="B18" i="18"/>
  <c r="C17" i="18"/>
  <c r="B17" i="18"/>
  <c r="C16" i="18"/>
  <c r="B16" i="18"/>
  <c r="C15" i="18"/>
  <c r="B15" i="18"/>
  <c r="C14" i="18"/>
  <c r="B14" i="18"/>
  <c r="C13" i="18"/>
  <c r="B13" i="18"/>
  <c r="C12" i="18"/>
  <c r="B12" i="18"/>
  <c r="C11" i="18"/>
  <c r="B11" i="18"/>
  <c r="C10" i="18"/>
  <c r="B10" i="18"/>
  <c r="C9" i="18"/>
  <c r="B9" i="18"/>
  <c r="C8" i="18"/>
  <c r="B8" i="18"/>
  <c r="C7" i="18"/>
  <c r="B7" i="18"/>
  <c r="C6" i="18"/>
  <c r="B6" i="18"/>
  <c r="C5" i="18"/>
  <c r="B5" i="18"/>
  <c r="AC2" i="12"/>
  <c r="AC3" i="12"/>
  <c r="AC4" i="12"/>
  <c r="AC5" i="12"/>
  <c r="AC6" i="12"/>
  <c r="AC7" i="12"/>
  <c r="AC8" i="12"/>
  <c r="AC9" i="12"/>
  <c r="AC10" i="12"/>
  <c r="AC11" i="12"/>
  <c r="AC12" i="12"/>
  <c r="AC13" i="12"/>
  <c r="AC14" i="12"/>
  <c r="AC15" i="12"/>
  <c r="AC16" i="12"/>
  <c r="AC17" i="12"/>
  <c r="AC18" i="12"/>
  <c r="AC19" i="12"/>
  <c r="AC20" i="12"/>
  <c r="AC21" i="12"/>
  <c r="AC22" i="12"/>
  <c r="AC23" i="12"/>
  <c r="AC24" i="12"/>
  <c r="AC25" i="12"/>
  <c r="AC26" i="12"/>
  <c r="AC27" i="12"/>
  <c r="AC28" i="12"/>
  <c r="AC29" i="12"/>
  <c r="AC30" i="12"/>
  <c r="AC31" i="12"/>
  <c r="AC32" i="12"/>
  <c r="AC33" i="12"/>
  <c r="AC34" i="12"/>
  <c r="AC35" i="12"/>
  <c r="AC36" i="12"/>
  <c r="AC37" i="12"/>
  <c r="AC38" i="12"/>
  <c r="AC39" i="12"/>
  <c r="AC40" i="12"/>
  <c r="AC41" i="12"/>
  <c r="AC42" i="12"/>
  <c r="AC43" i="12"/>
  <c r="AC44" i="12"/>
  <c r="AC45" i="12"/>
  <c r="AC46" i="12"/>
  <c r="AC47" i="12"/>
  <c r="AC48" i="12"/>
  <c r="AC49" i="12"/>
  <c r="AC50" i="12"/>
  <c r="AC51" i="12"/>
  <c r="AC52" i="12"/>
  <c r="AC53" i="12"/>
  <c r="AC54" i="12"/>
  <c r="AC55" i="12"/>
  <c r="AC56" i="12"/>
  <c r="AC57" i="12"/>
  <c r="AC58" i="12"/>
  <c r="AC59" i="12"/>
  <c r="AC60" i="12"/>
  <c r="AC61" i="12"/>
  <c r="AC62" i="12"/>
  <c r="AC63" i="12"/>
  <c r="AC64" i="12"/>
  <c r="AC65" i="12"/>
  <c r="AC66" i="12"/>
  <c r="AC67" i="12"/>
  <c r="AC68" i="12"/>
  <c r="AC69" i="12"/>
  <c r="AC70" i="12"/>
  <c r="AC71" i="12"/>
  <c r="AC72" i="12"/>
  <c r="AC73" i="12"/>
  <c r="AC74" i="12"/>
  <c r="AC75" i="12"/>
  <c r="AC76" i="12"/>
  <c r="AC77" i="12"/>
  <c r="AC78" i="12"/>
  <c r="AC79" i="12"/>
  <c r="AC80" i="12"/>
  <c r="AC81" i="12"/>
  <c r="AC82" i="12"/>
  <c r="AC83" i="12"/>
  <c r="AC84" i="12"/>
  <c r="AC85" i="12"/>
  <c r="AC86" i="12"/>
  <c r="AC87" i="12"/>
  <c r="AC88" i="12"/>
  <c r="AC89" i="12"/>
  <c r="AC90" i="12"/>
  <c r="AC91" i="12"/>
  <c r="AC92" i="12"/>
  <c r="AC93" i="12"/>
  <c r="AC94" i="12"/>
  <c r="AC95" i="12"/>
  <c r="AC96" i="12"/>
  <c r="AC97" i="12"/>
  <c r="AC98" i="12"/>
  <c r="AC99" i="12"/>
  <c r="AC100" i="12"/>
  <c r="AC101" i="12"/>
  <c r="AC102" i="12"/>
  <c r="AC103" i="12"/>
  <c r="AC104" i="12"/>
  <c r="AC105" i="12"/>
  <c r="AC106" i="12"/>
  <c r="AC107" i="12"/>
  <c r="X107" i="12"/>
  <c r="Y107" i="12" s="1"/>
  <c r="W107" i="12"/>
  <c r="X96" i="12"/>
  <c r="Y96" i="12" s="1"/>
  <c r="X89" i="12"/>
  <c r="Y89" i="12" s="1"/>
  <c r="X70" i="12"/>
  <c r="Y70" i="12" s="1"/>
  <c r="X62" i="12"/>
  <c r="Y62" i="12" s="1"/>
  <c r="X43" i="12"/>
  <c r="Y43" i="12" s="1"/>
  <c r="X14" i="12"/>
  <c r="Y14" i="12" s="1"/>
  <c r="F94" i="15" l="1"/>
  <c r="F19" i="15"/>
  <c r="F101" i="15"/>
  <c r="G19" i="15"/>
  <c r="G101" i="15"/>
  <c r="G94" i="15"/>
  <c r="I48" i="15"/>
  <c r="K94" i="15"/>
  <c r="F37" i="34"/>
  <c r="G67" i="15"/>
  <c r="F30" i="34"/>
  <c r="G48" i="15"/>
  <c r="G75" i="15"/>
  <c r="F41" i="34"/>
  <c r="E30" i="34"/>
  <c r="F48" i="15"/>
  <c r="E37" i="34"/>
  <c r="F67" i="15"/>
  <c r="F75" i="15"/>
  <c r="E41" i="34"/>
  <c r="L100" i="20"/>
  <c r="K100" i="20"/>
  <c r="L66" i="20"/>
  <c r="K66" i="20"/>
  <c r="L74" i="20"/>
  <c r="K74" i="20"/>
  <c r="K18" i="20"/>
  <c r="L18" i="20"/>
  <c r="AE4" i="12"/>
  <c r="AF4" i="12"/>
  <c r="AH4" i="12"/>
  <c r="AI4" i="12"/>
  <c r="AM4" i="12"/>
  <c r="AN4" i="12"/>
  <c r="AF5" i="12"/>
  <c r="AG5" i="12"/>
  <c r="AK5" i="12"/>
  <c r="AL5" i="12"/>
  <c r="AN5" i="12"/>
  <c r="AE6" i="12"/>
  <c r="AI6" i="12"/>
  <c r="AJ6" i="12"/>
  <c r="AL6" i="12"/>
  <c r="AM6" i="12"/>
  <c r="AG7" i="12"/>
  <c r="AH7" i="12"/>
  <c r="AJ7" i="12"/>
  <c r="AF9" i="12"/>
  <c r="AG9" i="12"/>
  <c r="Q9" i="12" s="1"/>
  <c r="F13" i="20" s="1"/>
  <c r="AK9" i="12"/>
  <c r="AL9" i="12"/>
  <c r="AN9" i="12"/>
  <c r="AE12" i="12"/>
  <c r="AF12" i="12"/>
  <c r="AH12" i="12"/>
  <c r="AI12" i="12"/>
  <c r="AM12" i="12"/>
  <c r="AN12" i="12"/>
  <c r="AF13" i="12"/>
  <c r="AG13" i="12"/>
  <c r="AK13" i="12"/>
  <c r="AL13" i="12"/>
  <c r="AN13" i="12"/>
  <c r="O14" i="12"/>
  <c r="AI14" i="12"/>
  <c r="AL14" i="12"/>
  <c r="AM14" i="12"/>
  <c r="AG15" i="12"/>
  <c r="AH15" i="12"/>
  <c r="AJ15" i="12"/>
  <c r="AF17" i="12"/>
  <c r="AG17" i="12"/>
  <c r="AK17" i="12"/>
  <c r="AL17" i="12"/>
  <c r="AN17" i="12"/>
  <c r="AI18" i="12"/>
  <c r="AG19" i="12"/>
  <c r="AE20" i="12"/>
  <c r="AF20" i="12"/>
  <c r="AH20" i="12"/>
  <c r="AI20" i="12"/>
  <c r="R20" i="12" s="1"/>
  <c r="AM20" i="12"/>
  <c r="AN20" i="12"/>
  <c r="AF21" i="12"/>
  <c r="AG21" i="12"/>
  <c r="AK21" i="12"/>
  <c r="AL21" i="12"/>
  <c r="AN21" i="12"/>
  <c r="AE22" i="12"/>
  <c r="AI22" i="12"/>
  <c r="AJ22" i="12"/>
  <c r="AL22" i="12"/>
  <c r="AM22" i="12"/>
  <c r="AG23" i="12"/>
  <c r="AH23" i="12"/>
  <c r="AJ23" i="12"/>
  <c r="AF25" i="12"/>
  <c r="P25" i="12" s="1"/>
  <c r="E29" i="20" s="1"/>
  <c r="AG25" i="12"/>
  <c r="AK25" i="12"/>
  <c r="AL25" i="12"/>
  <c r="AN25" i="12"/>
  <c r="AI26" i="12"/>
  <c r="AJ26" i="12"/>
  <c r="AE28" i="12"/>
  <c r="AF28" i="12"/>
  <c r="AH28" i="12"/>
  <c r="AI28" i="12"/>
  <c r="AM28" i="12"/>
  <c r="AN28" i="12"/>
  <c r="AF29" i="12"/>
  <c r="AG29" i="12"/>
  <c r="AK29" i="12"/>
  <c r="AL29" i="12"/>
  <c r="AN29" i="12"/>
  <c r="AE30" i="12"/>
  <c r="AI30" i="12"/>
  <c r="AJ30" i="12"/>
  <c r="AL30" i="12"/>
  <c r="AM30" i="12"/>
  <c r="AG31" i="12"/>
  <c r="AH31" i="12"/>
  <c r="AJ31" i="12"/>
  <c r="AF33" i="12"/>
  <c r="AG33" i="12"/>
  <c r="Q33" i="12" s="1"/>
  <c r="F37" i="20" s="1"/>
  <c r="AK33" i="12"/>
  <c r="AL33" i="12"/>
  <c r="AN33" i="12"/>
  <c r="AL34" i="12"/>
  <c r="AJ35" i="12"/>
  <c r="AE36" i="12"/>
  <c r="AF36" i="12"/>
  <c r="AH36" i="12"/>
  <c r="AI36" i="12"/>
  <c r="R36" i="12" s="1"/>
  <c r="AM36" i="12"/>
  <c r="AN36" i="12"/>
  <c r="AF37" i="12"/>
  <c r="AG37" i="12"/>
  <c r="Q37" i="12" s="1"/>
  <c r="F41" i="20" s="1"/>
  <c r="AK37" i="12"/>
  <c r="AL37" i="12"/>
  <c r="AN37" i="12"/>
  <c r="AE38" i="12"/>
  <c r="AI38" i="12"/>
  <c r="AJ38" i="12"/>
  <c r="AL38" i="12"/>
  <c r="AM38" i="12"/>
  <c r="AG39" i="12"/>
  <c r="AH39" i="12"/>
  <c r="AJ39" i="12"/>
  <c r="AF41" i="12"/>
  <c r="P41" i="12" s="1"/>
  <c r="E45" i="20" s="1"/>
  <c r="AG41" i="12"/>
  <c r="AK41" i="12"/>
  <c r="AL41" i="12"/>
  <c r="AN41" i="12"/>
  <c r="AL42" i="12"/>
  <c r="AE44" i="12"/>
  <c r="AF44" i="12"/>
  <c r="AH44" i="12"/>
  <c r="AI44" i="12"/>
  <c r="AM44" i="12"/>
  <c r="AN44" i="12"/>
  <c r="AF45" i="12"/>
  <c r="P45" i="12" s="1"/>
  <c r="E49" i="20" s="1"/>
  <c r="AG45" i="12"/>
  <c r="AK45" i="12"/>
  <c r="AL45" i="12"/>
  <c r="AN45" i="12"/>
  <c r="AE46" i="12"/>
  <c r="AI46" i="12"/>
  <c r="AJ46" i="12"/>
  <c r="AL46" i="12"/>
  <c r="AM46" i="12"/>
  <c r="AG47" i="12"/>
  <c r="AH47" i="12"/>
  <c r="AJ47" i="12"/>
  <c r="AF49" i="12"/>
  <c r="AG49" i="12"/>
  <c r="AK49" i="12"/>
  <c r="AL49" i="12"/>
  <c r="AN49" i="12"/>
  <c r="AI50" i="12"/>
  <c r="AE52" i="12"/>
  <c r="AF52" i="12"/>
  <c r="AH52" i="12"/>
  <c r="AI52" i="12"/>
  <c r="AM52" i="12"/>
  <c r="AN52" i="12"/>
  <c r="AF53" i="12"/>
  <c r="AG53" i="12"/>
  <c r="AK53" i="12"/>
  <c r="AL53" i="12"/>
  <c r="AN53" i="12"/>
  <c r="AE54" i="12"/>
  <c r="AI54" i="12"/>
  <c r="AJ54" i="12"/>
  <c r="AL54" i="12"/>
  <c r="AM54" i="12"/>
  <c r="AG55" i="12"/>
  <c r="AH55" i="12"/>
  <c r="AJ55" i="12"/>
  <c r="AF57" i="12"/>
  <c r="AG57" i="12"/>
  <c r="AK57" i="12"/>
  <c r="AL57" i="12"/>
  <c r="AN57" i="12"/>
  <c r="AJ58" i="12"/>
  <c r="AH59" i="12"/>
  <c r="AE60" i="12"/>
  <c r="AF60" i="12"/>
  <c r="AH60" i="12"/>
  <c r="AI60" i="12"/>
  <c r="R60" i="12" s="1"/>
  <c r="AM60" i="12"/>
  <c r="AN60" i="12"/>
  <c r="AF61" i="12"/>
  <c r="P61" i="12" s="1"/>
  <c r="E65" i="20" s="1"/>
  <c r="AG61" i="12"/>
  <c r="Q61" i="12" s="1"/>
  <c r="F65" i="20" s="1"/>
  <c r="AK61" i="12"/>
  <c r="AL61" i="12"/>
  <c r="AN61" i="12"/>
  <c r="O62" i="12"/>
  <c r="AI62" i="12"/>
  <c r="AL62" i="12"/>
  <c r="AM62" i="12"/>
  <c r="AG63" i="12"/>
  <c r="AH63" i="12"/>
  <c r="AJ63" i="12"/>
  <c r="AE64" i="12"/>
  <c r="AF64" i="12"/>
  <c r="AH64" i="12"/>
  <c r="AM64" i="12"/>
  <c r="AN64" i="12"/>
  <c r="AN65" i="12"/>
  <c r="AE66" i="12"/>
  <c r="AI66" i="12"/>
  <c r="AJ66" i="12"/>
  <c r="AL66" i="12"/>
  <c r="AM66" i="12"/>
  <c r="AE68" i="12"/>
  <c r="AF68" i="12"/>
  <c r="AH68" i="12"/>
  <c r="AI68" i="12"/>
  <c r="AM68" i="12"/>
  <c r="AN68" i="12"/>
  <c r="AK69" i="12"/>
  <c r="AI70" i="12"/>
  <c r="AG71" i="12"/>
  <c r="AH71" i="12"/>
  <c r="AJ71" i="12"/>
  <c r="AK71" i="12"/>
  <c r="AE72" i="12"/>
  <c r="AF72" i="12"/>
  <c r="AH72" i="12"/>
  <c r="AI72" i="12"/>
  <c r="AM72" i="12"/>
  <c r="AN72" i="12"/>
  <c r="AF73" i="12"/>
  <c r="AK73" i="12"/>
  <c r="AL73" i="12"/>
  <c r="AN73" i="12"/>
  <c r="AI74" i="12"/>
  <c r="AJ74" i="12"/>
  <c r="AL74" i="12"/>
  <c r="AG75" i="12"/>
  <c r="AH75" i="12"/>
  <c r="AJ75" i="12"/>
  <c r="AK75" i="12"/>
  <c r="AE76" i="12"/>
  <c r="AF76" i="12"/>
  <c r="AH76" i="12"/>
  <c r="AI76" i="12"/>
  <c r="AM76" i="12"/>
  <c r="AN76" i="12"/>
  <c r="AF77" i="12"/>
  <c r="AL77" i="12"/>
  <c r="AN77" i="12"/>
  <c r="AG79" i="12"/>
  <c r="AH79" i="12"/>
  <c r="AJ79" i="12"/>
  <c r="AK79" i="12"/>
  <c r="AE80" i="12"/>
  <c r="AF80" i="12"/>
  <c r="AH80" i="12"/>
  <c r="AI80" i="12"/>
  <c r="AM80" i="12"/>
  <c r="AN80" i="12"/>
  <c r="AF81" i="12"/>
  <c r="AG81" i="12"/>
  <c r="Q81" i="12" s="1"/>
  <c r="F85" i="20" s="1"/>
  <c r="AK81" i="12"/>
  <c r="AL81" i="12"/>
  <c r="AN81" i="12"/>
  <c r="AJ82" i="12"/>
  <c r="AE84" i="12"/>
  <c r="AF84" i="12"/>
  <c r="AH84" i="12"/>
  <c r="AI84" i="12"/>
  <c r="R84" i="12" s="1"/>
  <c r="AM84" i="12"/>
  <c r="AN84" i="12"/>
  <c r="AF85" i="12"/>
  <c r="AK85" i="12"/>
  <c r="AL85" i="12"/>
  <c r="AN85" i="12"/>
  <c r="AE86" i="12"/>
  <c r="AI86" i="12"/>
  <c r="AJ86" i="12"/>
  <c r="AL86" i="12"/>
  <c r="AM86" i="12"/>
  <c r="AG87" i="12"/>
  <c r="AF88" i="12"/>
  <c r="AH88" i="12"/>
  <c r="AN88" i="12"/>
  <c r="AF89" i="12"/>
  <c r="AG91" i="12"/>
  <c r="AH91" i="12"/>
  <c r="AJ91" i="12"/>
  <c r="AK91" i="12"/>
  <c r="AE92" i="12"/>
  <c r="AF92" i="12"/>
  <c r="AH92" i="12"/>
  <c r="AI92" i="12"/>
  <c r="R92" i="12" s="1"/>
  <c r="AM92" i="12"/>
  <c r="AN92" i="12"/>
  <c r="AF93" i="12"/>
  <c r="AG93" i="12"/>
  <c r="AK93" i="12"/>
  <c r="AL93" i="12"/>
  <c r="AN93" i="12"/>
  <c r="AI94" i="12"/>
  <c r="AJ94" i="12"/>
  <c r="AL94" i="12"/>
  <c r="O96" i="12"/>
  <c r="AF96" i="12"/>
  <c r="AH96" i="12"/>
  <c r="AI96" i="12"/>
  <c r="AM96" i="12"/>
  <c r="AN96" i="12"/>
  <c r="Q99" i="12"/>
  <c r="F103" i="20" s="1"/>
  <c r="P100" i="12"/>
  <c r="E104" i="20" s="1"/>
  <c r="R100" i="12"/>
  <c r="P101" i="12"/>
  <c r="E105" i="20" s="1"/>
  <c r="Q101" i="12"/>
  <c r="F105" i="20" s="1"/>
  <c r="R102" i="12"/>
  <c r="P104" i="12"/>
  <c r="E108" i="20" s="1"/>
  <c r="R104" i="12"/>
  <c r="P105" i="12"/>
  <c r="E109" i="20" s="1"/>
  <c r="P106" i="12"/>
  <c r="E110" i="20" s="1"/>
  <c r="AN107" i="12"/>
  <c r="R21" i="4"/>
  <c r="R2" i="21" s="1"/>
  <c r="AM88" i="12"/>
  <c r="AJ87" i="12"/>
  <c r="AF86" i="12"/>
  <c r="AF79" i="12"/>
  <c r="AK77" i="12"/>
  <c r="AL76" i="12"/>
  <c r="AH73" i="12"/>
  <c r="AL72" i="12"/>
  <c r="AH66" i="12"/>
  <c r="AL64" i="12"/>
  <c r="AL96" i="12"/>
  <c r="AF94" i="12"/>
  <c r="AE93" i="12"/>
  <c r="AL92" i="12"/>
  <c r="AE91" i="12"/>
  <c r="AL84" i="12"/>
  <c r="AJ83" i="12"/>
  <c r="AL82" i="12"/>
  <c r="AE81" i="12"/>
  <c r="AL80" i="12"/>
  <c r="AE75" i="12"/>
  <c r="AL68" i="12"/>
  <c r="AL63" i="12"/>
  <c r="AH62" i="12"/>
  <c r="AH61" i="12"/>
  <c r="AL60" i="12"/>
  <c r="AN56" i="12"/>
  <c r="AL55" i="12"/>
  <c r="AK54" i="12"/>
  <c r="AH53" i="12"/>
  <c r="AL52" i="12"/>
  <c r="AM48" i="12"/>
  <c r="AL47" i="12"/>
  <c r="AK46" i="12"/>
  <c r="AH45" i="12"/>
  <c r="AL44" i="12"/>
  <c r="AL39" i="12"/>
  <c r="AK38" i="12"/>
  <c r="AH37" i="12"/>
  <c r="AL36" i="12"/>
  <c r="AF32" i="12"/>
  <c r="AL31" i="12"/>
  <c r="AK30" i="12"/>
  <c r="AH29" i="12"/>
  <c r="AL28" i="12"/>
  <c r="AF24" i="12"/>
  <c r="AL23" i="12"/>
  <c r="AK22" i="12"/>
  <c r="AH21" i="12"/>
  <c r="AL20" i="12"/>
  <c r="AL15" i="12"/>
  <c r="AH14" i="12"/>
  <c r="AH13" i="12"/>
  <c r="AL12" i="12"/>
  <c r="AH8" i="12"/>
  <c r="AL7" i="12"/>
  <c r="AK6" i="12"/>
  <c r="AH5" i="12"/>
  <c r="AL4" i="12"/>
  <c r="S43" i="4"/>
  <c r="S42" i="4"/>
  <c r="R43" i="4"/>
  <c r="R42" i="4"/>
  <c r="A26" i="5"/>
  <c r="N3" i="10"/>
  <c r="N4" i="10"/>
  <c r="N5" i="10"/>
  <c r="N6" i="10"/>
  <c r="N2" i="10"/>
  <c r="U1" i="10"/>
  <c r="T1" i="10"/>
  <c r="S1" i="10"/>
  <c r="R1" i="10"/>
  <c r="B8" i="21"/>
  <c r="R34" i="27"/>
  <c r="S34" i="27"/>
  <c r="T34" i="27"/>
  <c r="R35" i="27"/>
  <c r="S35" i="27"/>
  <c r="T35" i="27"/>
  <c r="R36" i="27"/>
  <c r="S36" i="27"/>
  <c r="T36" i="27"/>
  <c r="R37" i="27"/>
  <c r="S37" i="27"/>
  <c r="T37" i="27"/>
  <c r="R38" i="27"/>
  <c r="S38" i="27"/>
  <c r="T38" i="27"/>
  <c r="R39" i="27"/>
  <c r="S39" i="27"/>
  <c r="T39" i="27"/>
  <c r="R40" i="27"/>
  <c r="S40" i="27"/>
  <c r="T40" i="27"/>
  <c r="R41" i="27"/>
  <c r="S41" i="27"/>
  <c r="T41" i="27"/>
  <c r="R42" i="27"/>
  <c r="S42" i="27"/>
  <c r="T42" i="27"/>
  <c r="R43" i="27"/>
  <c r="S43" i="27"/>
  <c r="T43" i="27"/>
  <c r="R44" i="27"/>
  <c r="S44" i="27"/>
  <c r="T44" i="27"/>
  <c r="R45" i="27"/>
  <c r="S45" i="27"/>
  <c r="T45" i="27"/>
  <c r="R46" i="27"/>
  <c r="S46" i="27"/>
  <c r="T46" i="27"/>
  <c r="R47" i="27"/>
  <c r="S47" i="27"/>
  <c r="T47" i="27"/>
  <c r="R48" i="27"/>
  <c r="S48" i="27"/>
  <c r="T48" i="27"/>
  <c r="R49" i="27"/>
  <c r="S49" i="27"/>
  <c r="T49" i="27"/>
  <c r="R50" i="27"/>
  <c r="S50" i="27"/>
  <c r="T50" i="27"/>
  <c r="R51" i="27"/>
  <c r="S51" i="27"/>
  <c r="T51" i="27"/>
  <c r="R52" i="27"/>
  <c r="S52" i="27"/>
  <c r="T52" i="27"/>
  <c r="R53" i="27"/>
  <c r="S53" i="27"/>
  <c r="T53" i="27"/>
  <c r="R54" i="27"/>
  <c r="S54" i="27"/>
  <c r="T54" i="27"/>
  <c r="M34" i="27"/>
  <c r="N34" i="27"/>
  <c r="O34" i="27"/>
  <c r="P34" i="27"/>
  <c r="Q34" i="27"/>
  <c r="M35" i="27"/>
  <c r="N35" i="27"/>
  <c r="O35" i="27"/>
  <c r="P35" i="27"/>
  <c r="Q35" i="27"/>
  <c r="M36" i="27"/>
  <c r="N36" i="27"/>
  <c r="O36" i="27"/>
  <c r="P36" i="27"/>
  <c r="Q36" i="27"/>
  <c r="M37" i="27"/>
  <c r="N37" i="27"/>
  <c r="O37" i="27"/>
  <c r="P37" i="27"/>
  <c r="Q37" i="27"/>
  <c r="M38" i="27"/>
  <c r="N38" i="27"/>
  <c r="O38" i="27"/>
  <c r="P38" i="27"/>
  <c r="Q38" i="27"/>
  <c r="M39" i="27"/>
  <c r="N39" i="27"/>
  <c r="O39" i="27"/>
  <c r="P39" i="27"/>
  <c r="Q39" i="27"/>
  <c r="M40" i="27"/>
  <c r="N40" i="27"/>
  <c r="O40" i="27"/>
  <c r="P40" i="27"/>
  <c r="Q40" i="27"/>
  <c r="M41" i="27"/>
  <c r="N41" i="27"/>
  <c r="O41" i="27"/>
  <c r="P41" i="27"/>
  <c r="Q41" i="27"/>
  <c r="M42" i="27"/>
  <c r="N42" i="27"/>
  <c r="O42" i="27"/>
  <c r="P42" i="27"/>
  <c r="Q42" i="27"/>
  <c r="M43" i="27"/>
  <c r="N43" i="27"/>
  <c r="O43" i="27"/>
  <c r="P43" i="27"/>
  <c r="Q43" i="27"/>
  <c r="M44" i="27"/>
  <c r="N44" i="27"/>
  <c r="O44" i="27"/>
  <c r="P44" i="27"/>
  <c r="Q44" i="27"/>
  <c r="M45" i="27"/>
  <c r="N45" i="27"/>
  <c r="O45" i="27"/>
  <c r="P45" i="27"/>
  <c r="Q45" i="27"/>
  <c r="M46" i="27"/>
  <c r="N46" i="27"/>
  <c r="O46" i="27"/>
  <c r="P46" i="27"/>
  <c r="Q46" i="27"/>
  <c r="M47" i="27"/>
  <c r="N47" i="27"/>
  <c r="O47" i="27"/>
  <c r="P47" i="27"/>
  <c r="Q47" i="27"/>
  <c r="M48" i="27"/>
  <c r="N48" i="27"/>
  <c r="O48" i="27"/>
  <c r="P48" i="27"/>
  <c r="Q48" i="27"/>
  <c r="M49" i="27"/>
  <c r="N49" i="27"/>
  <c r="O49" i="27"/>
  <c r="P49" i="27"/>
  <c r="Q49" i="27"/>
  <c r="M50" i="27"/>
  <c r="N50" i="27"/>
  <c r="O50" i="27"/>
  <c r="P50" i="27"/>
  <c r="Q50" i="27"/>
  <c r="M51" i="27"/>
  <c r="N51" i="27"/>
  <c r="O51" i="27"/>
  <c r="P51" i="27"/>
  <c r="Q51" i="27"/>
  <c r="M52" i="27"/>
  <c r="N52" i="27"/>
  <c r="O52" i="27"/>
  <c r="P52" i="27"/>
  <c r="Q52" i="27"/>
  <c r="M53" i="27"/>
  <c r="N53" i="27"/>
  <c r="O53" i="27"/>
  <c r="P53" i="27"/>
  <c r="Q53" i="27"/>
  <c r="M54" i="27"/>
  <c r="N54" i="27"/>
  <c r="O54" i="27"/>
  <c r="P54" i="27"/>
  <c r="Q54" i="27"/>
  <c r="R106" i="12"/>
  <c r="A77" i="26"/>
  <c r="A78" i="26"/>
  <c r="A79" i="26"/>
  <c r="A80" i="26"/>
  <c r="A81" i="26"/>
  <c r="A82" i="26"/>
  <c r="A83" i="26"/>
  <c r="A84" i="26"/>
  <c r="A85" i="26"/>
  <c r="A86" i="26"/>
  <c r="A87" i="26"/>
  <c r="A88" i="26"/>
  <c r="A89" i="26"/>
  <c r="A90" i="26"/>
  <c r="A91" i="26"/>
  <c r="A92" i="26"/>
  <c r="A93" i="26"/>
  <c r="B30" i="29"/>
  <c r="H16" i="30" s="1"/>
  <c r="B31" i="29"/>
  <c r="H17" i="30" s="1"/>
  <c r="B32" i="29"/>
  <c r="H18" i="30" s="1"/>
  <c r="B33" i="29"/>
  <c r="H19" i="30" s="1"/>
  <c r="B34" i="29"/>
  <c r="H20" i="30" s="1"/>
  <c r="B35" i="29"/>
  <c r="H21" i="30" s="1"/>
  <c r="B36" i="29"/>
  <c r="H22" i="30" s="1"/>
  <c r="B37" i="29"/>
  <c r="H23" i="30" s="1"/>
  <c r="B38" i="29"/>
  <c r="H24" i="30" s="1"/>
  <c r="B39" i="29"/>
  <c r="H25" i="30" s="1"/>
  <c r="B40" i="29"/>
  <c r="H26" i="30" s="1"/>
  <c r="B41" i="29"/>
  <c r="H27" i="30" s="1"/>
  <c r="B42" i="29"/>
  <c r="H28" i="30" s="1"/>
  <c r="B43" i="29"/>
  <c r="H29" i="30" s="1"/>
  <c r="B44" i="29"/>
  <c r="H30" i="30" s="1"/>
  <c r="B45" i="29"/>
  <c r="H31" i="30" s="1"/>
  <c r="B46" i="29"/>
  <c r="H32" i="30" s="1"/>
  <c r="C30" i="4"/>
  <c r="B25" i="4"/>
  <c r="G64" i="18"/>
  <c r="E76" i="18"/>
  <c r="G83" i="18"/>
  <c r="C13" i="10"/>
  <c r="C47" i="26" s="1"/>
  <c r="C78" i="26" s="1"/>
  <c r="E13" i="10"/>
  <c r="E31" i="29" s="1"/>
  <c r="C14" i="10"/>
  <c r="C20" i="21" s="1"/>
  <c r="E14" i="10"/>
  <c r="E32" i="29" s="1"/>
  <c r="C15" i="10"/>
  <c r="C21" i="21" s="1"/>
  <c r="E15" i="10"/>
  <c r="B49" i="26" s="1"/>
  <c r="B80" i="26" s="1"/>
  <c r="C16" i="10"/>
  <c r="C22" i="21" s="1"/>
  <c r="E16" i="10"/>
  <c r="B50" i="26" s="1"/>
  <c r="B81" i="26" s="1"/>
  <c r="C17" i="10"/>
  <c r="C51" i="26" s="1"/>
  <c r="C82" i="26" s="1"/>
  <c r="E17" i="10"/>
  <c r="Z118" i="20" s="1"/>
  <c r="Z129" i="20" s="1"/>
  <c r="BA129" i="20" s="1"/>
  <c r="C18" i="10"/>
  <c r="C52" i="26" s="1"/>
  <c r="C83" i="26" s="1"/>
  <c r="E18" i="10"/>
  <c r="E36" i="29" s="1"/>
  <c r="C19" i="10"/>
  <c r="C25" i="21" s="1"/>
  <c r="E19" i="10"/>
  <c r="C20" i="10"/>
  <c r="E20" i="10"/>
  <c r="AC118" i="20" s="1"/>
  <c r="C21" i="10"/>
  <c r="C27" i="21" s="1"/>
  <c r="E21" i="10"/>
  <c r="AD118" i="20" s="1"/>
  <c r="C22" i="10"/>
  <c r="C28" i="21" s="1"/>
  <c r="E22" i="10"/>
  <c r="E40" i="29" s="1"/>
  <c r="C23" i="10"/>
  <c r="C57" i="26" s="1"/>
  <c r="C88" i="26" s="1"/>
  <c r="E23" i="10"/>
  <c r="B57" i="26" s="1"/>
  <c r="B88" i="26" s="1"/>
  <c r="C24" i="10"/>
  <c r="C58" i="26" s="1"/>
  <c r="C89" i="26" s="1"/>
  <c r="E24" i="10"/>
  <c r="C25" i="10"/>
  <c r="C31" i="21" s="1"/>
  <c r="E25" i="10"/>
  <c r="AH118" i="20" s="1"/>
  <c r="AH131" i="20" s="1"/>
  <c r="BI131" i="20" s="1"/>
  <c r="C26" i="10"/>
  <c r="C32" i="21" s="1"/>
  <c r="E26" i="10"/>
  <c r="E44" i="29" s="1"/>
  <c r="C27" i="10"/>
  <c r="C61" i="26" s="1"/>
  <c r="C92" i="26" s="1"/>
  <c r="E27" i="10"/>
  <c r="E45" i="29" s="1"/>
  <c r="C28" i="10"/>
  <c r="E28" i="10"/>
  <c r="AK118" i="20" s="1"/>
  <c r="B10" i="21"/>
  <c r="AF10" i="21" s="1"/>
  <c r="AG10" i="21"/>
  <c r="B11" i="21"/>
  <c r="AF11" i="21" s="1"/>
  <c r="AG11" i="21"/>
  <c r="B12" i="21"/>
  <c r="AF12" i="21" s="1"/>
  <c r="AG12" i="21"/>
  <c r="B13" i="21"/>
  <c r="AF13" i="21" s="1"/>
  <c r="AG13" i="21"/>
  <c r="B14" i="21"/>
  <c r="AF14" i="21" s="1"/>
  <c r="AG14" i="21"/>
  <c r="B15" i="21"/>
  <c r="AF15" i="21" s="1"/>
  <c r="AG15" i="21"/>
  <c r="B16" i="21"/>
  <c r="AF16" i="21" s="1"/>
  <c r="AG16" i="21"/>
  <c r="B17" i="21"/>
  <c r="AF17" i="21" s="1"/>
  <c r="AG17" i="21"/>
  <c r="B18" i="21"/>
  <c r="AF18" i="21" s="1"/>
  <c r="AG18" i="21"/>
  <c r="B19" i="21"/>
  <c r="AF19" i="21" s="1"/>
  <c r="AG19" i="21"/>
  <c r="B20" i="21"/>
  <c r="AF20" i="21" s="1"/>
  <c r="AG20" i="21"/>
  <c r="B21" i="21"/>
  <c r="AF21" i="21" s="1"/>
  <c r="AG21" i="21"/>
  <c r="B22" i="21"/>
  <c r="AG22" i="21"/>
  <c r="B23" i="21"/>
  <c r="AF23" i="21" s="1"/>
  <c r="AG23" i="21"/>
  <c r="B24" i="21"/>
  <c r="AG24" i="21"/>
  <c r="B25" i="21"/>
  <c r="AF25" i="21" s="1"/>
  <c r="AG25" i="21"/>
  <c r="B26" i="21"/>
  <c r="AG26" i="21"/>
  <c r="B27" i="21"/>
  <c r="AF27" i="21" s="1"/>
  <c r="AG27" i="21"/>
  <c r="B28" i="21"/>
  <c r="AG28" i="21"/>
  <c r="B29" i="21"/>
  <c r="AF29" i="21" s="1"/>
  <c r="AG29" i="21"/>
  <c r="B30" i="21"/>
  <c r="AG30" i="21"/>
  <c r="B31" i="21"/>
  <c r="AF31" i="21" s="1"/>
  <c r="AG31" i="21"/>
  <c r="B32" i="21"/>
  <c r="AG32" i="21"/>
  <c r="B33" i="21"/>
  <c r="AF33" i="21" s="1"/>
  <c r="AG33" i="21"/>
  <c r="B34" i="21"/>
  <c r="AF34" i="21" s="1"/>
  <c r="AG34" i="21"/>
  <c r="B169" i="20"/>
  <c r="B168" i="20"/>
  <c r="C168" i="20" s="1"/>
  <c r="A4" i="5"/>
  <c r="E4" i="5" s="1"/>
  <c r="C21" i="4"/>
  <c r="C2" i="21" s="1"/>
  <c r="F21" i="4"/>
  <c r="F2" i="21" s="1"/>
  <c r="B24" i="4"/>
  <c r="D10" i="10" s="1"/>
  <c r="C3" i="10"/>
  <c r="C9" i="21" s="1"/>
  <c r="C11" i="10"/>
  <c r="C17" i="21" s="1"/>
  <c r="C9" i="10"/>
  <c r="C15" i="21" s="1"/>
  <c r="C7" i="10"/>
  <c r="C13" i="21" s="1"/>
  <c r="C8" i="10"/>
  <c r="C14" i="21" s="1"/>
  <c r="C6" i="10"/>
  <c r="C12" i="21" s="1"/>
  <c r="C5" i="10"/>
  <c r="C11" i="21" s="1"/>
  <c r="C10" i="10"/>
  <c r="C16" i="21" s="1"/>
  <c r="C12" i="10"/>
  <c r="C18" i="21" s="1"/>
  <c r="C4" i="10"/>
  <c r="C10" i="21" s="1"/>
  <c r="B1" i="27"/>
  <c r="H43" i="4"/>
  <c r="B50" i="4" s="1"/>
  <c r="B51" i="4" s="1"/>
  <c r="H42" i="4"/>
  <c r="B48" i="4" s="1"/>
  <c r="B49" i="4" s="1"/>
  <c r="A87" i="5"/>
  <c r="B160" i="20" s="1"/>
  <c r="A88" i="5"/>
  <c r="B161" i="20" s="1"/>
  <c r="A82" i="5"/>
  <c r="B154" i="20" s="1"/>
  <c r="A81" i="5"/>
  <c r="B153" i="20" s="1"/>
  <c r="A85" i="5"/>
  <c r="D158" i="20" s="1"/>
  <c r="A84" i="5"/>
  <c r="D157" i="20" s="1"/>
  <c r="A83" i="5"/>
  <c r="D156" i="20" s="1"/>
  <c r="A78" i="5"/>
  <c r="D149" i="20" s="1"/>
  <c r="D152" i="20" s="1"/>
  <c r="A77" i="5"/>
  <c r="D148" i="20" s="1"/>
  <c r="D151" i="20" s="1"/>
  <c r="A76" i="5"/>
  <c r="B147" i="20" s="1"/>
  <c r="B150" i="20" s="1"/>
  <c r="A75" i="5"/>
  <c r="B146" i="20" s="1"/>
  <c r="B9" i="21"/>
  <c r="AF9" i="21" s="1"/>
  <c r="E11" i="10"/>
  <c r="E29" i="29" s="1"/>
  <c r="E10" i="10"/>
  <c r="B44" i="26" s="1"/>
  <c r="E9" i="10"/>
  <c r="E27" i="29" s="1"/>
  <c r="E8" i="10"/>
  <c r="E7" i="10"/>
  <c r="B41" i="26" s="1"/>
  <c r="E6" i="10"/>
  <c r="E5" i="10"/>
  <c r="B39" i="26" s="1"/>
  <c r="E4" i="10"/>
  <c r="M118" i="20" s="1"/>
  <c r="M148" i="20" s="1"/>
  <c r="Y148" i="20" s="1"/>
  <c r="E3" i="10"/>
  <c r="L118" i="20" s="1"/>
  <c r="AM118" i="20" s="1"/>
  <c r="E12" i="10"/>
  <c r="U118" i="20" s="1"/>
  <c r="U158" i="20" s="1"/>
  <c r="B149" i="20"/>
  <c r="C149" i="20" s="1"/>
  <c r="B148" i="20"/>
  <c r="C148" i="20" s="1"/>
  <c r="B163" i="20"/>
  <c r="C163" i="20" s="1"/>
  <c r="B164" i="20"/>
  <c r="C164" i="20" s="1"/>
  <c r="B165" i="20"/>
  <c r="C165" i="20" s="1"/>
  <c r="B162" i="20"/>
  <c r="C162" i="20" s="1"/>
  <c r="B158" i="20"/>
  <c r="C158" i="20" s="1"/>
  <c r="B157" i="20"/>
  <c r="C157" i="20" s="1"/>
  <c r="B156" i="20"/>
  <c r="C156" i="20" s="1"/>
  <c r="U155" i="20"/>
  <c r="T155" i="20"/>
  <c r="S155" i="20"/>
  <c r="R155" i="20"/>
  <c r="Q155" i="20"/>
  <c r="P155" i="20"/>
  <c r="O155" i="20"/>
  <c r="N155" i="20"/>
  <c r="M155" i="20"/>
  <c r="L155" i="20"/>
  <c r="A24" i="5"/>
  <c r="A59" i="5"/>
  <c r="U34" i="26"/>
  <c r="AK34" i="26" s="1"/>
  <c r="BA34" i="26" s="1"/>
  <c r="BQ34" i="26" s="1"/>
  <c r="CG34" i="26" s="1"/>
  <c r="CW34" i="26" s="1"/>
  <c r="DM34" i="26" s="1"/>
  <c r="EC34" i="26" s="1"/>
  <c r="ES34" i="26" s="1"/>
  <c r="FI34" i="26" s="1"/>
  <c r="FY34" i="26" s="1"/>
  <c r="GO34" i="26" s="1"/>
  <c r="HE34" i="26" s="1"/>
  <c r="HU34" i="26" s="1"/>
  <c r="K99" i="26"/>
  <c r="Q99" i="26" s="1"/>
  <c r="W99" i="26" s="1"/>
  <c r="AC99" i="26" s="1"/>
  <c r="AI99" i="26" s="1"/>
  <c r="AO99" i="26" s="1"/>
  <c r="AU99" i="26" s="1"/>
  <c r="BA99" i="26" s="1"/>
  <c r="BG99" i="26" s="1"/>
  <c r="BM99" i="26" s="1"/>
  <c r="BS99" i="26" s="1"/>
  <c r="BY99" i="26" s="1"/>
  <c r="CE99" i="26" s="1"/>
  <c r="CK99" i="26" s="1"/>
  <c r="CQ99" i="26" s="1"/>
  <c r="CW99" i="26" s="1"/>
  <c r="DC99" i="26" s="1"/>
  <c r="DI99" i="26" s="1"/>
  <c r="DO99" i="26" s="1"/>
  <c r="DU99" i="26" s="1"/>
  <c r="EA99" i="26" s="1"/>
  <c r="EG99" i="26" s="1"/>
  <c r="EM99" i="26" s="1"/>
  <c r="ES99" i="26" s="1"/>
  <c r="EY99" i="26" s="1"/>
  <c r="FE99" i="26" s="1"/>
  <c r="FK99" i="26" s="1"/>
  <c r="U65" i="26"/>
  <c r="AK65" i="26" s="1"/>
  <c r="BA65" i="26" s="1"/>
  <c r="BQ65" i="26" s="1"/>
  <c r="CG65" i="26" s="1"/>
  <c r="CW65" i="26" s="1"/>
  <c r="DM65" i="26" s="1"/>
  <c r="EC65" i="26" s="1"/>
  <c r="ES65" i="26" s="1"/>
  <c r="FI65" i="26" s="1"/>
  <c r="FY65" i="26" s="1"/>
  <c r="GO65" i="26" s="1"/>
  <c r="HE65" i="26" s="1"/>
  <c r="HU65" i="26" s="1"/>
  <c r="A76" i="26"/>
  <c r="A75" i="26"/>
  <c r="A74" i="26"/>
  <c r="A73" i="26"/>
  <c r="A72" i="26"/>
  <c r="A71" i="26"/>
  <c r="A70" i="26"/>
  <c r="A69" i="26"/>
  <c r="A68" i="26"/>
  <c r="A58" i="5"/>
  <c r="A19" i="5"/>
  <c r="A60" i="5"/>
  <c r="B131" i="20"/>
  <c r="C131" i="20" s="1"/>
  <c r="B130" i="20"/>
  <c r="C130" i="20" s="1"/>
  <c r="B126" i="20"/>
  <c r="C126" i="20" s="1"/>
  <c r="B127" i="20"/>
  <c r="C127" i="20" s="1"/>
  <c r="B128" i="20"/>
  <c r="C128" i="20" s="1"/>
  <c r="B129" i="20"/>
  <c r="C129" i="20" s="1"/>
  <c r="P102" i="12"/>
  <c r="E106" i="20" s="1"/>
  <c r="B125" i="20"/>
  <c r="C125" i="20" s="1"/>
  <c r="A68" i="5"/>
  <c r="I6" i="34" s="1"/>
  <c r="L49" i="27"/>
  <c r="L50" i="27"/>
  <c r="L51" i="27"/>
  <c r="L52" i="27"/>
  <c r="L53" i="27"/>
  <c r="L54" i="27"/>
  <c r="L35" i="27"/>
  <c r="L36" i="27"/>
  <c r="L37" i="27"/>
  <c r="L38" i="27"/>
  <c r="L39" i="27"/>
  <c r="L40" i="27"/>
  <c r="L41" i="27"/>
  <c r="L42" i="27"/>
  <c r="L43" i="27"/>
  <c r="L44" i="27"/>
  <c r="L45" i="27"/>
  <c r="L46" i="27"/>
  <c r="L47" i="27"/>
  <c r="L48" i="27"/>
  <c r="L34" i="27"/>
  <c r="A63" i="5"/>
  <c r="A64" i="5"/>
  <c r="A65" i="5"/>
  <c r="A62" i="5"/>
  <c r="A57" i="5"/>
  <c r="A20" i="5"/>
  <c r="B22" i="29"/>
  <c r="H8" i="30" s="1"/>
  <c r="B23" i="29"/>
  <c r="H9" i="30" s="1"/>
  <c r="B24" i="29"/>
  <c r="H10" i="30" s="1"/>
  <c r="B25" i="29"/>
  <c r="H11" i="30" s="1"/>
  <c r="B26" i="29"/>
  <c r="H12" i="30" s="1"/>
  <c r="B27" i="29"/>
  <c r="H13" i="30" s="1"/>
  <c r="B28" i="29"/>
  <c r="H14" i="30" s="1"/>
  <c r="B29" i="29"/>
  <c r="H15" i="30" s="1"/>
  <c r="B21" i="29"/>
  <c r="H7" i="30" s="1"/>
  <c r="AG9" i="21"/>
  <c r="B124" i="20"/>
  <c r="C124" i="20" s="1"/>
  <c r="A56" i="5"/>
  <c r="A55" i="5"/>
  <c r="A54" i="5"/>
  <c r="Q2" i="12"/>
  <c r="P2" i="12"/>
  <c r="O2" i="12"/>
  <c r="X3" i="12" s="1"/>
  <c r="B120" i="20"/>
  <c r="B121" i="20"/>
  <c r="C121" i="20" s="1"/>
  <c r="B122" i="20"/>
  <c r="B123" i="20"/>
  <c r="C123" i="20" s="1"/>
  <c r="B119" i="20"/>
  <c r="C119" i="20" s="1"/>
  <c r="A15" i="5"/>
  <c r="A53" i="5"/>
  <c r="A52" i="5"/>
  <c r="A46" i="5"/>
  <c r="A45" i="5"/>
  <c r="A16" i="5"/>
  <c r="A17" i="5"/>
  <c r="A1" i="30" s="1"/>
  <c r="B3" i="29"/>
  <c r="B2" i="29"/>
  <c r="C43" i="4"/>
  <c r="C3" i="29" s="1"/>
  <c r="D43" i="4"/>
  <c r="E43" i="4"/>
  <c r="F3" i="29" s="1"/>
  <c r="F43" i="4"/>
  <c r="G43" i="4"/>
  <c r="I43" i="4"/>
  <c r="J43" i="4"/>
  <c r="K43" i="4"/>
  <c r="P43" i="4"/>
  <c r="Q43" i="4"/>
  <c r="W43" i="4"/>
  <c r="X43" i="4"/>
  <c r="X42" i="4"/>
  <c r="W42" i="4"/>
  <c r="Q42" i="4"/>
  <c r="P42" i="4"/>
  <c r="K42" i="4"/>
  <c r="J42" i="4"/>
  <c r="I42" i="4"/>
  <c r="G42" i="4"/>
  <c r="F42" i="4"/>
  <c r="E42" i="4"/>
  <c r="F2" i="29" s="1"/>
  <c r="D42" i="4"/>
  <c r="C42" i="4"/>
  <c r="C2" i="29" s="1"/>
  <c r="D7" i="29" s="1"/>
  <c r="E7" i="29" s="1"/>
  <c r="B5" i="29"/>
  <c r="A23" i="5"/>
  <c r="C2" i="28" s="1"/>
  <c r="A25" i="5"/>
  <c r="A14" i="5"/>
  <c r="B1" i="26"/>
  <c r="A32" i="5"/>
  <c r="A43" i="5"/>
  <c r="A44" i="5"/>
  <c r="A41" i="5"/>
  <c r="P12" i="3"/>
  <c r="C12" i="3" s="1"/>
  <c r="P13" i="3"/>
  <c r="C13" i="3"/>
  <c r="D12" i="3"/>
  <c r="E12" i="3"/>
  <c r="C2" i="10"/>
  <c r="S20" i="4"/>
  <c r="S1" i="26" s="1"/>
  <c r="T20" i="4"/>
  <c r="T1" i="21" s="1"/>
  <c r="U20" i="4"/>
  <c r="U1" i="26" s="1"/>
  <c r="V20" i="4"/>
  <c r="V1" i="26" s="1"/>
  <c r="W20" i="4"/>
  <c r="W1" i="26" s="1"/>
  <c r="X20" i="4"/>
  <c r="W21" i="4"/>
  <c r="W2" i="21" s="1"/>
  <c r="X21" i="4"/>
  <c r="X2" i="21" s="1"/>
  <c r="X2" i="12"/>
  <c r="B1" i="21"/>
  <c r="B2" i="21"/>
  <c r="M20" i="4"/>
  <c r="M1" i="21" s="1"/>
  <c r="N20" i="4"/>
  <c r="N1" i="26" s="1"/>
  <c r="O20" i="4"/>
  <c r="O1" i="26" s="1"/>
  <c r="P20" i="4"/>
  <c r="P1" i="26" s="1"/>
  <c r="Q20" i="4"/>
  <c r="Q1" i="26" s="1"/>
  <c r="R20" i="4"/>
  <c r="R1" i="26" s="1"/>
  <c r="P21" i="4"/>
  <c r="P2" i="21" s="1"/>
  <c r="Q21" i="4"/>
  <c r="Q2" i="21" s="1"/>
  <c r="D20" i="4"/>
  <c r="D1" i="21" s="1"/>
  <c r="E20" i="4"/>
  <c r="E1" i="26" s="1"/>
  <c r="F20" i="4"/>
  <c r="F1" i="21" s="1"/>
  <c r="G20" i="4"/>
  <c r="G1" i="26" s="1"/>
  <c r="H20" i="4"/>
  <c r="H1" i="21" s="1"/>
  <c r="I20" i="4"/>
  <c r="I1" i="21" s="1"/>
  <c r="J20" i="4"/>
  <c r="J1" i="21" s="1"/>
  <c r="K20" i="4"/>
  <c r="K1" i="26" s="1"/>
  <c r="L20" i="4"/>
  <c r="L1" i="26" s="1"/>
  <c r="C20" i="4"/>
  <c r="C1" i="21" s="1"/>
  <c r="D21" i="4"/>
  <c r="D2" i="21" s="1"/>
  <c r="E21" i="4"/>
  <c r="E2" i="21" s="1"/>
  <c r="G21" i="4"/>
  <c r="G2" i="21" s="1"/>
  <c r="H21" i="4"/>
  <c r="B27" i="4" s="1"/>
  <c r="B28" i="4" s="1"/>
  <c r="I21" i="4"/>
  <c r="I2" i="21" s="1"/>
  <c r="J21" i="4"/>
  <c r="J2" i="21" s="1"/>
  <c r="K21" i="4"/>
  <c r="K2" i="21" s="1"/>
  <c r="A42" i="5"/>
  <c r="D5" i="20"/>
  <c r="E5" i="20"/>
  <c r="F5" i="20"/>
  <c r="A5" i="20"/>
  <c r="B5" i="20"/>
  <c r="C5" i="20"/>
  <c r="C6" i="20"/>
  <c r="B6" i="20"/>
  <c r="A6" i="20"/>
  <c r="B2" i="20"/>
  <c r="C3" i="18"/>
  <c r="C4" i="18"/>
  <c r="G4" i="18" s="1"/>
  <c r="B3" i="18"/>
  <c r="B4" i="18"/>
  <c r="P5" i="3"/>
  <c r="C5" i="3"/>
  <c r="C6" i="3"/>
  <c r="P7" i="3"/>
  <c r="C7" i="3"/>
  <c r="P8" i="3"/>
  <c r="C8" i="3" s="1"/>
  <c r="P9" i="3"/>
  <c r="C9" i="3"/>
  <c r="P10" i="3"/>
  <c r="C10" i="3" s="1"/>
  <c r="P11" i="3"/>
  <c r="C11" i="3"/>
  <c r="A13" i="5"/>
  <c r="A22" i="5"/>
  <c r="C7" i="4"/>
  <c r="P3" i="3"/>
  <c r="P4" i="3"/>
  <c r="C4" i="3" s="1"/>
  <c r="P2" i="3"/>
  <c r="C2" i="3"/>
  <c r="D4" i="3"/>
  <c r="E4" i="3"/>
  <c r="D5" i="3"/>
  <c r="E5" i="3"/>
  <c r="D7" i="3"/>
  <c r="E7" i="3"/>
  <c r="D8" i="3"/>
  <c r="E8" i="3"/>
  <c r="D9" i="3"/>
  <c r="E9" i="3"/>
  <c r="D10" i="3"/>
  <c r="E10" i="3"/>
  <c r="D11" i="3"/>
  <c r="E11" i="3"/>
  <c r="D13" i="3"/>
  <c r="E13" i="3"/>
  <c r="D2" i="3"/>
  <c r="E2" i="3"/>
  <c r="D3" i="3"/>
  <c r="E3" i="3"/>
  <c r="C3" i="3"/>
  <c r="A3" i="5"/>
  <c r="P21" i="12" l="1"/>
  <c r="E25" i="20" s="1"/>
  <c r="E26" i="34" s="1"/>
  <c r="Q13" i="12"/>
  <c r="F17" i="20" s="1"/>
  <c r="E46" i="29"/>
  <c r="E25" i="29"/>
  <c r="P118" i="20"/>
  <c r="P131" i="20" s="1"/>
  <c r="AQ131" i="20" s="1"/>
  <c r="B56" i="26"/>
  <c r="B87" i="26" s="1"/>
  <c r="N118" i="20"/>
  <c r="N123" i="20" s="1"/>
  <c r="AO123" i="20" s="1"/>
  <c r="E23" i="29"/>
  <c r="B46" i="26"/>
  <c r="B77" i="26" s="1"/>
  <c r="B43" i="26"/>
  <c r="B74" i="26" s="1"/>
  <c r="W118" i="20"/>
  <c r="W126" i="20" s="1"/>
  <c r="AX126" i="20" s="1"/>
  <c r="E39" i="29"/>
  <c r="E22" i="29"/>
  <c r="F22" i="29" s="1"/>
  <c r="R80" i="12"/>
  <c r="R12" i="12"/>
  <c r="B47" i="26"/>
  <c r="B78" i="26" s="1"/>
  <c r="X118" i="20"/>
  <c r="X131" i="20" s="1"/>
  <c r="AY131" i="20" s="1"/>
  <c r="B55" i="26"/>
  <c r="B86" i="26" s="1"/>
  <c r="B38" i="26"/>
  <c r="B69" i="26" s="1"/>
  <c r="AE118" i="20"/>
  <c r="V118" i="20"/>
  <c r="V129" i="20" s="1"/>
  <c r="AW129" i="20" s="1"/>
  <c r="AF118" i="20"/>
  <c r="AF131" i="20" s="1"/>
  <c r="BG131" i="20" s="1"/>
  <c r="E30" i="29"/>
  <c r="G30" i="29" s="1"/>
  <c r="B62" i="26"/>
  <c r="B93" i="26" s="1"/>
  <c r="B48" i="26"/>
  <c r="B79" i="26" s="1"/>
  <c r="P73" i="12"/>
  <c r="E77" i="20" s="1"/>
  <c r="F78" i="15" s="1"/>
  <c r="Q21" i="12"/>
  <c r="F25" i="20" s="1"/>
  <c r="H2" i="30"/>
  <c r="D17" i="7"/>
  <c r="A27" i="27"/>
  <c r="B27" i="27" s="1"/>
  <c r="B28" i="26" s="1"/>
  <c r="A26" i="27"/>
  <c r="B26" i="27" s="1"/>
  <c r="B27" i="26" s="1"/>
  <c r="A23" i="27"/>
  <c r="B23" i="27" s="1"/>
  <c r="B24" i="26" s="1"/>
  <c r="A30" i="27"/>
  <c r="B30" i="27" s="1"/>
  <c r="B31" i="26" s="1"/>
  <c r="A29" i="27"/>
  <c r="B29" i="27" s="1"/>
  <c r="B30" i="26" s="1"/>
  <c r="A28" i="27"/>
  <c r="B28" i="27" s="1"/>
  <c r="B29" i="26" s="1"/>
  <c r="A25" i="27"/>
  <c r="B25" i="27" s="1"/>
  <c r="B26" i="26" s="1"/>
  <c r="A24" i="27"/>
  <c r="B24" i="27" s="1"/>
  <c r="B25" i="26" s="1"/>
  <c r="A17" i="27"/>
  <c r="B17" i="27" s="1"/>
  <c r="B18" i="26" s="1"/>
  <c r="R18" i="26" s="1"/>
  <c r="B2" i="27"/>
  <c r="B36" i="4" s="1"/>
  <c r="K21" i="34"/>
  <c r="Q93" i="12"/>
  <c r="F97" i="20" s="1"/>
  <c r="Q57" i="12"/>
  <c r="F61" i="20" s="1"/>
  <c r="P37" i="12"/>
  <c r="E41" i="20" s="1"/>
  <c r="F42" i="15" s="1"/>
  <c r="Q17" i="12"/>
  <c r="F21" i="20" s="1"/>
  <c r="P9" i="12"/>
  <c r="E13" i="20" s="1"/>
  <c r="F14" i="15" s="1"/>
  <c r="R4" i="12"/>
  <c r="K6" i="34"/>
  <c r="K34" i="34"/>
  <c r="F109" i="15"/>
  <c r="F66" i="15"/>
  <c r="I2" i="33"/>
  <c r="F50" i="15"/>
  <c r="F6" i="15"/>
  <c r="F107" i="15"/>
  <c r="F111" i="15"/>
  <c r="F105" i="15"/>
  <c r="D15" i="7"/>
  <c r="F106" i="15"/>
  <c r="K19" i="15"/>
  <c r="K67" i="15"/>
  <c r="K75" i="15"/>
  <c r="K101" i="15"/>
  <c r="K6" i="15"/>
  <c r="F110" i="15"/>
  <c r="E33" i="34"/>
  <c r="R72" i="12"/>
  <c r="Q55" i="12"/>
  <c r="F59" i="20" s="1"/>
  <c r="Q15" i="12"/>
  <c r="F19" i="20" s="1"/>
  <c r="Q5" i="12"/>
  <c r="F9" i="20" s="1"/>
  <c r="Q31" i="12"/>
  <c r="F35" i="20" s="1"/>
  <c r="Q63" i="12"/>
  <c r="F67" i="20" s="1"/>
  <c r="Q7" i="12"/>
  <c r="F11" i="20" s="1"/>
  <c r="P79" i="12"/>
  <c r="E83" i="20" s="1"/>
  <c r="R96" i="12"/>
  <c r="P53" i="12"/>
  <c r="E57" i="20" s="1"/>
  <c r="Q45" i="12"/>
  <c r="F49" i="20" s="1"/>
  <c r="Q39" i="12"/>
  <c r="F43" i="20" s="1"/>
  <c r="Q25" i="12"/>
  <c r="F29" i="20" s="1"/>
  <c r="P81" i="12"/>
  <c r="E85" i="20" s="1"/>
  <c r="R76" i="12"/>
  <c r="Q53" i="12"/>
  <c r="F57" i="20" s="1"/>
  <c r="Q47" i="12"/>
  <c r="F51" i="20" s="1"/>
  <c r="P33" i="12"/>
  <c r="E37" i="20" s="1"/>
  <c r="R28" i="12"/>
  <c r="P13" i="12"/>
  <c r="E17" i="20" s="1"/>
  <c r="P5" i="12"/>
  <c r="E9" i="20" s="1"/>
  <c r="P77" i="12"/>
  <c r="E81" i="20" s="1"/>
  <c r="R68" i="12"/>
  <c r="P49" i="12"/>
  <c r="E53" i="20" s="1"/>
  <c r="R44" i="12"/>
  <c r="Q41" i="12"/>
  <c r="F45" i="20" s="1"/>
  <c r="P29" i="12"/>
  <c r="E33" i="20" s="1"/>
  <c r="Q23" i="12"/>
  <c r="F27" i="20" s="1"/>
  <c r="P93" i="12"/>
  <c r="E97" i="20" s="1"/>
  <c r="P85" i="12"/>
  <c r="E89" i="20" s="1"/>
  <c r="P57" i="12"/>
  <c r="E61" i="20" s="1"/>
  <c r="R52" i="12"/>
  <c r="Q49" i="12"/>
  <c r="F53" i="20" s="1"/>
  <c r="Q29" i="12"/>
  <c r="F33" i="20" s="1"/>
  <c r="P17" i="12"/>
  <c r="E21" i="20" s="1"/>
  <c r="I75" i="15"/>
  <c r="I19" i="15"/>
  <c r="I67" i="15"/>
  <c r="I101" i="15"/>
  <c r="D98" i="18"/>
  <c r="D100" i="20"/>
  <c r="D16" i="18"/>
  <c r="D18" i="20"/>
  <c r="D64" i="18"/>
  <c r="D66" i="20"/>
  <c r="F30" i="15"/>
  <c r="E25" i="34"/>
  <c r="F26" i="15"/>
  <c r="F46" i="15"/>
  <c r="E27" i="34"/>
  <c r="J41" i="34"/>
  <c r="J37" i="34"/>
  <c r="U163" i="20"/>
  <c r="U169" i="20"/>
  <c r="U162" i="20"/>
  <c r="P168" i="20"/>
  <c r="AB168" i="20" s="1"/>
  <c r="P158" i="20"/>
  <c r="AB158" i="20" s="1"/>
  <c r="P149" i="20"/>
  <c r="AB149" i="20" s="1"/>
  <c r="A1" i="34"/>
  <c r="D13" i="7"/>
  <c r="D9" i="7"/>
  <c r="A1" i="28"/>
  <c r="D11" i="7"/>
  <c r="W96" i="12"/>
  <c r="X103" i="12"/>
  <c r="Y103" i="12" s="1"/>
  <c r="X100" i="12"/>
  <c r="Y100" i="12" s="1"/>
  <c r="X104" i="12"/>
  <c r="Y104" i="12" s="1"/>
  <c r="X97" i="12"/>
  <c r="Y97" i="12" s="1"/>
  <c r="X101" i="12"/>
  <c r="Y101" i="12" s="1"/>
  <c r="X106" i="12"/>
  <c r="Y106" i="12" s="1"/>
  <c r="X105" i="12"/>
  <c r="Y105" i="12" s="1"/>
  <c r="X98" i="12"/>
  <c r="Y98" i="12" s="1"/>
  <c r="X102" i="12"/>
  <c r="Y102" i="12" s="1"/>
  <c r="X99" i="12"/>
  <c r="Y99" i="12" s="1"/>
  <c r="X69" i="12"/>
  <c r="Y69" i="12" s="1"/>
  <c r="X65" i="12"/>
  <c r="Y65" i="12" s="1"/>
  <c r="W62" i="12"/>
  <c r="X67" i="12"/>
  <c r="Y67" i="12" s="1"/>
  <c r="X63" i="12"/>
  <c r="Y63" i="12" s="1"/>
  <c r="X66" i="12"/>
  <c r="Y66" i="12" s="1"/>
  <c r="X68" i="12"/>
  <c r="Y68" i="12" s="1"/>
  <c r="X64" i="12"/>
  <c r="Y64" i="12" s="1"/>
  <c r="X27" i="12"/>
  <c r="Y27" i="12" s="1"/>
  <c r="X24" i="12"/>
  <c r="Y24" i="12" s="1"/>
  <c r="X18" i="12"/>
  <c r="Y18" i="12" s="1"/>
  <c r="X15" i="12"/>
  <c r="Y15" i="12" s="1"/>
  <c r="X35" i="12"/>
  <c r="Y35" i="12" s="1"/>
  <c r="X20" i="12"/>
  <c r="Y20" i="12" s="1"/>
  <c r="X39" i="12"/>
  <c r="Y39" i="12" s="1"/>
  <c r="X30" i="12"/>
  <c r="Y30" i="12" s="1"/>
  <c r="X37" i="12"/>
  <c r="Y37" i="12" s="1"/>
  <c r="X32" i="12"/>
  <c r="Y32" i="12" s="1"/>
  <c r="X23" i="12"/>
  <c r="Y23" i="12" s="1"/>
  <c r="X36" i="12"/>
  <c r="Y36" i="12" s="1"/>
  <c r="X40" i="12"/>
  <c r="Y40" i="12" s="1"/>
  <c r="X34" i="12"/>
  <c r="Y34" i="12" s="1"/>
  <c r="X31" i="12"/>
  <c r="Y31" i="12" s="1"/>
  <c r="X28" i="12"/>
  <c r="Y28" i="12" s="1"/>
  <c r="X25" i="12"/>
  <c r="Y25" i="12" s="1"/>
  <c r="X22" i="12"/>
  <c r="Y22" i="12" s="1"/>
  <c r="X26" i="12"/>
  <c r="Y26" i="12" s="1"/>
  <c r="X17" i="12"/>
  <c r="Y17" i="12" s="1"/>
  <c r="X19" i="12"/>
  <c r="Y19" i="12" s="1"/>
  <c r="X16" i="12"/>
  <c r="Y16" i="12" s="1"/>
  <c r="X41" i="12"/>
  <c r="Y41" i="12" s="1"/>
  <c r="X38" i="12"/>
  <c r="Y38" i="12" s="1"/>
  <c r="X29" i="12"/>
  <c r="Y29" i="12" s="1"/>
  <c r="W14" i="12"/>
  <c r="X42" i="12"/>
  <c r="Y42" i="12" s="1"/>
  <c r="X33" i="12"/>
  <c r="Y33" i="12" s="1"/>
  <c r="X21" i="12"/>
  <c r="Y21" i="12" s="1"/>
  <c r="AL16" i="12"/>
  <c r="AK16" i="12"/>
  <c r="AI16" i="12"/>
  <c r="AJ16" i="12"/>
  <c r="AG16" i="12"/>
  <c r="AL40" i="12"/>
  <c r="AK40" i="12"/>
  <c r="AI40" i="12"/>
  <c r="AJ40" i="12"/>
  <c r="AG40" i="12"/>
  <c r="AF67" i="12"/>
  <c r="AN67" i="12"/>
  <c r="AE67" i="12"/>
  <c r="AM67" i="12"/>
  <c r="AK67" i="12"/>
  <c r="AL67" i="12"/>
  <c r="AI67" i="12"/>
  <c r="P103" i="12"/>
  <c r="E107" i="20" s="1"/>
  <c r="O103" i="12"/>
  <c r="R103" i="12"/>
  <c r="AM3" i="12"/>
  <c r="AL3" i="12"/>
  <c r="AJ3" i="12"/>
  <c r="AI3" i="12"/>
  <c r="AK3" i="12"/>
  <c r="AE3" i="12"/>
  <c r="O3" i="12" s="1"/>
  <c r="AG3" i="12"/>
  <c r="AF11" i="12"/>
  <c r="AN11" i="12"/>
  <c r="AE11" i="12"/>
  <c r="AM11" i="12"/>
  <c r="AK11" i="12"/>
  <c r="AL11" i="12"/>
  <c r="AI11" i="12"/>
  <c r="AF19" i="12"/>
  <c r="AN19" i="12"/>
  <c r="AE19" i="12"/>
  <c r="AM19" i="12"/>
  <c r="AK19" i="12"/>
  <c r="AL19" i="12"/>
  <c r="Q19" i="12" s="1"/>
  <c r="F23" i="20" s="1"/>
  <c r="AI19" i="12"/>
  <c r="AF27" i="12"/>
  <c r="AN27" i="12"/>
  <c r="AE27" i="12"/>
  <c r="AM27" i="12"/>
  <c r="AK27" i="12"/>
  <c r="AL27" i="12"/>
  <c r="AI27" i="12"/>
  <c r="AF35" i="12"/>
  <c r="AN35" i="12"/>
  <c r="AE35" i="12"/>
  <c r="O35" i="12" s="1"/>
  <c r="AM35" i="12"/>
  <c r="AK35" i="12"/>
  <c r="AL35" i="12"/>
  <c r="AI35" i="12"/>
  <c r="AF43" i="12"/>
  <c r="AN43" i="12"/>
  <c r="O43" i="12"/>
  <c r="AM43" i="12"/>
  <c r="AK43" i="12"/>
  <c r="AL43" i="12"/>
  <c r="AI43" i="12"/>
  <c r="AF51" i="12"/>
  <c r="AN51" i="12"/>
  <c r="AE51" i="12"/>
  <c r="AM51" i="12"/>
  <c r="AK51" i="12"/>
  <c r="AL51" i="12"/>
  <c r="AI51" i="12"/>
  <c r="AF59" i="12"/>
  <c r="AN59" i="12"/>
  <c r="AE59" i="12"/>
  <c r="AM59" i="12"/>
  <c r="AK59" i="12"/>
  <c r="AL59" i="12"/>
  <c r="AI59" i="12"/>
  <c r="AH70" i="12"/>
  <c r="AG70" i="12"/>
  <c r="O70" i="12"/>
  <c r="D74" i="20" s="1"/>
  <c r="AM70" i="12"/>
  <c r="AF70" i="12"/>
  <c r="AN70" i="12"/>
  <c r="R70" i="12" s="1"/>
  <c r="AK70" i="12"/>
  <c r="AH90" i="12"/>
  <c r="AG90" i="12"/>
  <c r="AE90" i="12"/>
  <c r="AM90" i="12"/>
  <c r="AF90" i="12"/>
  <c r="AN90" i="12"/>
  <c r="AK90" i="12"/>
  <c r="Q98" i="12"/>
  <c r="F102" i="20" s="1"/>
  <c r="P98" i="12"/>
  <c r="E102" i="20" s="1"/>
  <c r="AH10" i="12"/>
  <c r="AG10" i="12"/>
  <c r="AE10" i="12"/>
  <c r="AM10" i="12"/>
  <c r="AF10" i="12"/>
  <c r="AN10" i="12"/>
  <c r="AK10" i="12"/>
  <c r="AH18" i="12"/>
  <c r="AG18" i="12"/>
  <c r="AE18" i="12"/>
  <c r="AM18" i="12"/>
  <c r="AF18" i="12"/>
  <c r="AN18" i="12"/>
  <c r="R18" i="12" s="1"/>
  <c r="AK18" i="12"/>
  <c r="AH26" i="12"/>
  <c r="AG26" i="12"/>
  <c r="AE26" i="12"/>
  <c r="O26" i="12" s="1"/>
  <c r="D30" i="20" s="1"/>
  <c r="AM26" i="12"/>
  <c r="AF26" i="12"/>
  <c r="AN26" i="12"/>
  <c r="R26" i="12" s="1"/>
  <c r="AK26" i="12"/>
  <c r="AH34" i="12"/>
  <c r="AG34" i="12"/>
  <c r="Q34" i="12" s="1"/>
  <c r="F38" i="20" s="1"/>
  <c r="AE34" i="12"/>
  <c r="AM34" i="12"/>
  <c r="AF34" i="12"/>
  <c r="AN34" i="12"/>
  <c r="AK34" i="12"/>
  <c r="AH42" i="12"/>
  <c r="AG42" i="12"/>
  <c r="Q42" i="12" s="1"/>
  <c r="F46" i="20" s="1"/>
  <c r="AE42" i="12"/>
  <c r="AM42" i="12"/>
  <c r="AF42" i="12"/>
  <c r="AN42" i="12"/>
  <c r="AK42" i="12"/>
  <c r="AH50" i="12"/>
  <c r="AG50" i="12"/>
  <c r="AE50" i="12"/>
  <c r="AM50" i="12"/>
  <c r="AF50" i="12"/>
  <c r="AN50" i="12"/>
  <c r="R50" i="12" s="1"/>
  <c r="AK50" i="12"/>
  <c r="AH58" i="12"/>
  <c r="AG58" i="12"/>
  <c r="AE58" i="12"/>
  <c r="O58" i="12" s="1"/>
  <c r="D62" i="20" s="1"/>
  <c r="AM58" i="12"/>
  <c r="AF58" i="12"/>
  <c r="AN58" i="12"/>
  <c r="AK58" i="12"/>
  <c r="AJ69" i="12"/>
  <c r="AI69" i="12"/>
  <c r="AG69" i="12"/>
  <c r="AH69" i="12"/>
  <c r="AE69" i="12"/>
  <c r="AM69" i="12"/>
  <c r="AI89" i="12"/>
  <c r="AG89" i="12"/>
  <c r="AH89" i="12"/>
  <c r="O89" i="12"/>
  <c r="AM89" i="12"/>
  <c r="O97" i="12"/>
  <c r="R97" i="12"/>
  <c r="Q97" i="12"/>
  <c r="F101" i="20" s="1"/>
  <c r="O105" i="12"/>
  <c r="R105" i="12"/>
  <c r="Q105" i="12"/>
  <c r="F109" i="20" s="1"/>
  <c r="AH74" i="12"/>
  <c r="AG74" i="12"/>
  <c r="Q74" i="12" s="1"/>
  <c r="F78" i="20" s="1"/>
  <c r="AE74" i="12"/>
  <c r="O74" i="12" s="1"/>
  <c r="D78" i="20" s="1"/>
  <c r="AM74" i="12"/>
  <c r="AF74" i="12"/>
  <c r="AN74" i="12"/>
  <c r="R74" i="12" s="1"/>
  <c r="AK74" i="12"/>
  <c r="AJ85" i="12"/>
  <c r="AI85" i="12"/>
  <c r="R85" i="12" s="1"/>
  <c r="AG85" i="12"/>
  <c r="Q85" i="12" s="1"/>
  <c r="F89" i="20" s="1"/>
  <c r="AH85" i="12"/>
  <c r="AE85" i="12"/>
  <c r="AM85" i="12"/>
  <c r="AH83" i="12"/>
  <c r="AH24" i="12"/>
  <c r="AE8" i="12"/>
  <c r="AH3" i="12"/>
  <c r="AI90" i="12"/>
  <c r="AJ67" i="12"/>
  <c r="AM56" i="12"/>
  <c r="AH51" i="12"/>
  <c r="AF40" i="12"/>
  <c r="AN32" i="12"/>
  <c r="AJ27" i="12"/>
  <c r="AH16" i="12"/>
  <c r="AG11" i="12"/>
  <c r="AJ90" i="12"/>
  <c r="AL69" i="12"/>
  <c r="AL58" i="12"/>
  <c r="AJ51" i="12"/>
  <c r="AI42" i="12"/>
  <c r="AH40" i="12"/>
  <c r="AG35" i="12"/>
  <c r="AE24" i="12"/>
  <c r="AJ18" i="12"/>
  <c r="AM16" i="12"/>
  <c r="AH11" i="12"/>
  <c r="R98" i="12"/>
  <c r="AL90" i="12"/>
  <c r="AG83" i="12"/>
  <c r="AN69" i="12"/>
  <c r="AG59" i="12"/>
  <c r="AE48" i="12"/>
  <c r="AJ42" i="12"/>
  <c r="AM40" i="12"/>
  <c r="AH35" i="12"/>
  <c r="AL18" i="12"/>
  <c r="AN16" i="12"/>
  <c r="AJ11" i="12"/>
  <c r="AL24" i="12"/>
  <c r="AK24" i="12"/>
  <c r="P24" i="12" s="1"/>
  <c r="E28" i="20" s="1"/>
  <c r="AI24" i="12"/>
  <c r="AJ24" i="12"/>
  <c r="AG24" i="12"/>
  <c r="AL56" i="12"/>
  <c r="AK56" i="12"/>
  <c r="AI56" i="12"/>
  <c r="R56" i="12" s="1"/>
  <c r="AJ56" i="12"/>
  <c r="AG56" i="12"/>
  <c r="AF95" i="12"/>
  <c r="AN95" i="12"/>
  <c r="AE95" i="12"/>
  <c r="AM95" i="12"/>
  <c r="AK95" i="12"/>
  <c r="AL95" i="12"/>
  <c r="AI95" i="12"/>
  <c r="AH82" i="12"/>
  <c r="AG82" i="12"/>
  <c r="Q82" i="12" s="1"/>
  <c r="F86" i="20" s="1"/>
  <c r="AE82" i="12"/>
  <c r="O82" i="12" s="1"/>
  <c r="AM82" i="12"/>
  <c r="AF82" i="12"/>
  <c r="AN82" i="12"/>
  <c r="AK82" i="12"/>
  <c r="AJ65" i="12"/>
  <c r="AI65" i="12"/>
  <c r="R65" i="12" s="1"/>
  <c r="AG65" i="12"/>
  <c r="AH65" i="12"/>
  <c r="AE65" i="12"/>
  <c r="AM65" i="12"/>
  <c r="AH78" i="12"/>
  <c r="AG78" i="12"/>
  <c r="AE78" i="12"/>
  <c r="AM78" i="12"/>
  <c r="AF78" i="12"/>
  <c r="AN78" i="12"/>
  <c r="AK78" i="12"/>
  <c r="AL88" i="12"/>
  <c r="AK88" i="12"/>
  <c r="P88" i="12" s="1"/>
  <c r="E92" i="20" s="1"/>
  <c r="AI88" i="12"/>
  <c r="R88" i="12" s="1"/>
  <c r="AJ88" i="12"/>
  <c r="AG88" i="12"/>
  <c r="AJ59" i="12"/>
  <c r="AH48" i="12"/>
  <c r="AG43" i="12"/>
  <c r="AE32" i="12"/>
  <c r="AM24" i="12"/>
  <c r="AH19" i="12"/>
  <c r="AF8" i="12"/>
  <c r="AG95" i="12"/>
  <c r="AK89" i="12"/>
  <c r="P89" i="12" s="1"/>
  <c r="AH87" i="12"/>
  <c r="AI78" i="12"/>
  <c r="AL70" i="12"/>
  <c r="AF65" i="12"/>
  <c r="AE56" i="12"/>
  <c r="AJ50" i="12"/>
  <c r="AH43" i="12"/>
  <c r="AL26" i="12"/>
  <c r="AN24" i="12"/>
  <c r="AJ19" i="12"/>
  <c r="AI10" i="12"/>
  <c r="AL8" i="12"/>
  <c r="AK8" i="12"/>
  <c r="AI8" i="12"/>
  <c r="AJ8" i="12"/>
  <c r="AG8" i="12"/>
  <c r="AL32" i="12"/>
  <c r="AK32" i="12"/>
  <c r="P32" i="12" s="1"/>
  <c r="AI32" i="12"/>
  <c r="AJ32" i="12"/>
  <c r="AG32" i="12"/>
  <c r="AL48" i="12"/>
  <c r="AK48" i="12"/>
  <c r="AI48" i="12"/>
  <c r="AJ48" i="12"/>
  <c r="AG48" i="12"/>
  <c r="AF83" i="12"/>
  <c r="AN83" i="12"/>
  <c r="AE83" i="12"/>
  <c r="O83" i="12" s="1"/>
  <c r="D87" i="20" s="1"/>
  <c r="AM83" i="12"/>
  <c r="AK83" i="12"/>
  <c r="AL83" i="12"/>
  <c r="AI83" i="12"/>
  <c r="AF48" i="12"/>
  <c r="AN40" i="12"/>
  <c r="AN3" i="12"/>
  <c r="P97" i="12"/>
  <c r="E101" i="20" s="1"/>
  <c r="AH95" i="12"/>
  <c r="AL89" i="12"/>
  <c r="AJ78" i="12"/>
  <c r="AG67" i="12"/>
  <c r="AK65" i="12"/>
  <c r="AF56" i="12"/>
  <c r="AL50" i="12"/>
  <c r="AN48" i="12"/>
  <c r="AI34" i="12"/>
  <c r="AH32" i="12"/>
  <c r="AG27" i="12"/>
  <c r="AE16" i="12"/>
  <c r="AJ10" i="12"/>
  <c r="AM8" i="12"/>
  <c r="AJ77" i="12"/>
  <c r="AI77" i="12"/>
  <c r="R77" i="12" s="1"/>
  <c r="AG77" i="12"/>
  <c r="Q77" i="12" s="1"/>
  <c r="F81" i="20" s="1"/>
  <c r="AH77" i="12"/>
  <c r="AE77" i="12"/>
  <c r="AM77" i="12"/>
  <c r="AF87" i="12"/>
  <c r="AN87" i="12"/>
  <c r="AE87" i="12"/>
  <c r="O87" i="12" s="1"/>
  <c r="D91" i="20" s="1"/>
  <c r="AM87" i="12"/>
  <c r="AK87" i="12"/>
  <c r="AL87" i="12"/>
  <c r="Q87" i="12" s="1"/>
  <c r="F91" i="20" s="1"/>
  <c r="AI87" i="12"/>
  <c r="AF3" i="12"/>
  <c r="Q103" i="12"/>
  <c r="F107" i="20" s="1"/>
  <c r="AJ95" i="12"/>
  <c r="AN89" i="12"/>
  <c r="AE88" i="12"/>
  <c r="AI82" i="12"/>
  <c r="AL78" i="12"/>
  <c r="AF69" i="12"/>
  <c r="P69" i="12" s="1"/>
  <c r="E73" i="20" s="1"/>
  <c r="AH67" i="12"/>
  <c r="AL65" i="12"/>
  <c r="AI58" i="12"/>
  <c r="AH56" i="12"/>
  <c r="AG51" i="12"/>
  <c r="AE40" i="12"/>
  <c r="AJ34" i="12"/>
  <c r="AM32" i="12"/>
  <c r="AH27" i="12"/>
  <c r="AF16" i="12"/>
  <c r="AL10" i="12"/>
  <c r="AN8" i="12"/>
  <c r="Q106" i="12"/>
  <c r="F110" i="20" s="1"/>
  <c r="Q104" i="12"/>
  <c r="F108" i="20" s="1"/>
  <c r="Q100" i="12"/>
  <c r="F104" i="20" s="1"/>
  <c r="R99" i="12"/>
  <c r="AG96" i="12"/>
  <c r="Q96" i="12" s="1"/>
  <c r="AK94" i="12"/>
  <c r="P94" i="12" s="1"/>
  <c r="E98" i="20" s="1"/>
  <c r="AM93" i="12"/>
  <c r="AG92" i="12"/>
  <c r="Q92" i="12" s="1"/>
  <c r="F96" i="20" s="1"/>
  <c r="AI91" i="12"/>
  <c r="AK86" i="12"/>
  <c r="P86" i="12" s="1"/>
  <c r="E90" i="20" s="1"/>
  <c r="AG84" i="12"/>
  <c r="Q84" i="12" s="1"/>
  <c r="F88" i="20" s="1"/>
  <c r="AM81" i="12"/>
  <c r="AG80" i="12"/>
  <c r="Q80" i="12" s="1"/>
  <c r="F84" i="20" s="1"/>
  <c r="AI79" i="12"/>
  <c r="AG76" i="12"/>
  <c r="Q76" i="12" s="1"/>
  <c r="F80" i="20" s="1"/>
  <c r="AI75" i="12"/>
  <c r="AM73" i="12"/>
  <c r="AE73" i="12"/>
  <c r="AG72" i="12"/>
  <c r="Q72" i="12" s="1"/>
  <c r="F76" i="20" s="1"/>
  <c r="AI71" i="12"/>
  <c r="R71" i="12" s="1"/>
  <c r="AG68" i="12"/>
  <c r="Q68" i="12" s="1"/>
  <c r="F72" i="20" s="1"/>
  <c r="AK66" i="12"/>
  <c r="AG64" i="12"/>
  <c r="Q64" i="12" s="1"/>
  <c r="F68" i="20" s="1"/>
  <c r="AI63" i="12"/>
  <c r="AK62" i="12"/>
  <c r="AM61" i="12"/>
  <c r="AE61" i="12"/>
  <c r="AG60" i="12"/>
  <c r="Q60" i="12" s="1"/>
  <c r="F64" i="20" s="1"/>
  <c r="AM57" i="12"/>
  <c r="AE57" i="12"/>
  <c r="AI55" i="12"/>
  <c r="AM53" i="12"/>
  <c r="AE53" i="12"/>
  <c r="AG52" i="12"/>
  <c r="Q52" i="12" s="1"/>
  <c r="F56" i="20" s="1"/>
  <c r="AM49" i="12"/>
  <c r="AE49" i="12"/>
  <c r="AI47" i="12"/>
  <c r="AM45" i="12"/>
  <c r="AE45" i="12"/>
  <c r="AG44" i="12"/>
  <c r="Q44" i="12" s="1"/>
  <c r="F48" i="20" s="1"/>
  <c r="AM41" i="12"/>
  <c r="AE41" i="12"/>
  <c r="AI39" i="12"/>
  <c r="AM37" i="12"/>
  <c r="AE37" i="12"/>
  <c r="AG36" i="12"/>
  <c r="Q36" i="12" s="1"/>
  <c r="F40" i="20" s="1"/>
  <c r="AM33" i="12"/>
  <c r="AE33" i="12"/>
  <c r="AI31" i="12"/>
  <c r="AM29" i="12"/>
  <c r="AE29" i="12"/>
  <c r="AG28" i="12"/>
  <c r="Q28" i="12" s="1"/>
  <c r="F32" i="20" s="1"/>
  <c r="AM25" i="12"/>
  <c r="AE25" i="12"/>
  <c r="AI23" i="12"/>
  <c r="AM21" i="12"/>
  <c r="AE21" i="12"/>
  <c r="AG20" i="12"/>
  <c r="Q20" i="12" s="1"/>
  <c r="F24" i="20" s="1"/>
  <c r="AM17" i="12"/>
  <c r="AE17" i="12"/>
  <c r="AI15" i="12"/>
  <c r="AK14" i="12"/>
  <c r="AM13" i="12"/>
  <c r="AE13" i="12"/>
  <c r="AG12" i="12"/>
  <c r="Q12" i="12" s="1"/>
  <c r="F16" i="20" s="1"/>
  <c r="AM9" i="12"/>
  <c r="AE9" i="12"/>
  <c r="AI7" i="12"/>
  <c r="AM5" i="12"/>
  <c r="AE5" i="12"/>
  <c r="AG4" i="12"/>
  <c r="Q4" i="12" s="1"/>
  <c r="F8" i="20" s="1"/>
  <c r="O6" i="12"/>
  <c r="O22" i="12"/>
  <c r="O30" i="12"/>
  <c r="O38" i="12"/>
  <c r="O46" i="12"/>
  <c r="D50" i="20" s="1"/>
  <c r="O54" i="12"/>
  <c r="O101" i="12"/>
  <c r="D103" i="18" s="1"/>
  <c r="AN94" i="12"/>
  <c r="R94" i="12" s="1"/>
  <c r="AH93" i="12"/>
  <c r="AJ92" i="12"/>
  <c r="O92" i="12" s="1"/>
  <c r="D96" i="20" s="1"/>
  <c r="AL91" i="12"/>
  <c r="Q91" i="12" s="1"/>
  <c r="F95" i="20" s="1"/>
  <c r="AN86" i="12"/>
  <c r="R86" i="12" s="1"/>
  <c r="AJ84" i="12"/>
  <c r="O84" i="12" s="1"/>
  <c r="AH81" i="12"/>
  <c r="AJ80" i="12"/>
  <c r="O80" i="12" s="1"/>
  <c r="AL79" i="12"/>
  <c r="Q79" i="12" s="1"/>
  <c r="F83" i="20" s="1"/>
  <c r="AJ76" i="12"/>
  <c r="O76" i="12" s="1"/>
  <c r="AL75" i="12"/>
  <c r="Q75" i="12" s="1"/>
  <c r="F79" i="20" s="1"/>
  <c r="AJ72" i="12"/>
  <c r="O72" i="12" s="1"/>
  <c r="D76" i="20" s="1"/>
  <c r="AL71" i="12"/>
  <c r="Q71" i="12" s="1"/>
  <c r="F75" i="20" s="1"/>
  <c r="AJ68" i="12"/>
  <c r="O68" i="12" s="1"/>
  <c r="D72" i="20" s="1"/>
  <c r="AN66" i="12"/>
  <c r="R66" i="12" s="1"/>
  <c r="AF66" i="12"/>
  <c r="AJ64" i="12"/>
  <c r="O64" i="12" s="1"/>
  <c r="D68" i="20" s="1"/>
  <c r="AN62" i="12"/>
  <c r="R62" i="12" s="1"/>
  <c r="AF62" i="12"/>
  <c r="P62" i="12" s="1"/>
  <c r="AJ60" i="12"/>
  <c r="O60" i="12" s="1"/>
  <c r="AH57" i="12"/>
  <c r="AN54" i="12"/>
  <c r="R54" i="12" s="1"/>
  <c r="AF54" i="12"/>
  <c r="P54" i="12" s="1"/>
  <c r="E58" i="20" s="1"/>
  <c r="AJ52" i="12"/>
  <c r="O52" i="12" s="1"/>
  <c r="AH49" i="12"/>
  <c r="AN46" i="12"/>
  <c r="R46" i="12" s="1"/>
  <c r="AF46" i="12"/>
  <c r="P46" i="12" s="1"/>
  <c r="E50" i="20" s="1"/>
  <c r="AJ44" i="12"/>
  <c r="O44" i="12" s="1"/>
  <c r="D48" i="20" s="1"/>
  <c r="AH41" i="12"/>
  <c r="AN38" i="12"/>
  <c r="R38" i="12" s="1"/>
  <c r="AF38" i="12"/>
  <c r="P38" i="12" s="1"/>
  <c r="E42" i="20" s="1"/>
  <c r="AJ36" i="12"/>
  <c r="O36" i="12" s="1"/>
  <c r="AH33" i="12"/>
  <c r="AN30" i="12"/>
  <c r="R30" i="12" s="1"/>
  <c r="AF30" i="12"/>
  <c r="P30" i="12" s="1"/>
  <c r="E34" i="20" s="1"/>
  <c r="AJ28" i="12"/>
  <c r="O28" i="12" s="1"/>
  <c r="D32" i="20" s="1"/>
  <c r="AH25" i="12"/>
  <c r="AN22" i="12"/>
  <c r="R22" i="12" s="1"/>
  <c r="AF22" i="12"/>
  <c r="P22" i="12" s="1"/>
  <c r="E26" i="20" s="1"/>
  <c r="AJ20" i="12"/>
  <c r="O20" i="12" s="1"/>
  <c r="D24" i="20" s="1"/>
  <c r="AH17" i="12"/>
  <c r="AN14" i="12"/>
  <c r="R14" i="12" s="1"/>
  <c r="AF14" i="12"/>
  <c r="AJ12" i="12"/>
  <c r="O12" i="12" s="1"/>
  <c r="AH9" i="12"/>
  <c r="AN6" i="12"/>
  <c r="R6" i="12" s="1"/>
  <c r="AF6" i="12"/>
  <c r="P6" i="12" s="1"/>
  <c r="E10" i="20" s="1"/>
  <c r="AJ4" i="12"/>
  <c r="O4" i="12" s="1"/>
  <c r="O102" i="12"/>
  <c r="AM94" i="12"/>
  <c r="AE94" i="12"/>
  <c r="O94" i="12" s="1"/>
  <c r="AG73" i="12"/>
  <c r="Q73" i="12" s="1"/>
  <c r="F77" i="20" s="1"/>
  <c r="AI64" i="12"/>
  <c r="R64" i="12" s="1"/>
  <c r="AK63" i="12"/>
  <c r="AK55" i="12"/>
  <c r="AK47" i="12"/>
  <c r="AK39" i="12"/>
  <c r="AK31" i="12"/>
  <c r="AK23" i="12"/>
  <c r="AK15" i="12"/>
  <c r="AK7" i="12"/>
  <c r="O86" i="12"/>
  <c r="D90" i="20" s="1"/>
  <c r="R107" i="12"/>
  <c r="Q102" i="12"/>
  <c r="F106" i="20" s="1"/>
  <c r="R101" i="12"/>
  <c r="AK96" i="12"/>
  <c r="P96" i="12" s="1"/>
  <c r="AG94" i="12"/>
  <c r="Q94" i="12" s="1"/>
  <c r="F98" i="20" s="1"/>
  <c r="AI93" i="12"/>
  <c r="R93" i="12" s="1"/>
  <c r="AK92" i="12"/>
  <c r="P92" i="12" s="1"/>
  <c r="E96" i="20" s="1"/>
  <c r="AM91" i="12"/>
  <c r="AG86" i="12"/>
  <c r="Q86" i="12" s="1"/>
  <c r="F90" i="20" s="1"/>
  <c r="AK84" i="12"/>
  <c r="P84" i="12" s="1"/>
  <c r="E88" i="20" s="1"/>
  <c r="AI81" i="12"/>
  <c r="R81" i="12" s="1"/>
  <c r="AK80" i="12"/>
  <c r="P80" i="12" s="1"/>
  <c r="E84" i="20" s="1"/>
  <c r="AM79" i="12"/>
  <c r="AE79" i="12"/>
  <c r="O79" i="12" s="1"/>
  <c r="D83" i="20" s="1"/>
  <c r="AK76" i="12"/>
  <c r="P76" i="12" s="1"/>
  <c r="E80" i="20" s="1"/>
  <c r="AM75" i="12"/>
  <c r="AI73" i="12"/>
  <c r="R73" i="12" s="1"/>
  <c r="AK72" i="12"/>
  <c r="P72" i="12" s="1"/>
  <c r="E76" i="20" s="1"/>
  <c r="AM71" i="12"/>
  <c r="AE71" i="12"/>
  <c r="O71" i="12" s="1"/>
  <c r="D75" i="20" s="1"/>
  <c r="AK68" i="12"/>
  <c r="P68" i="12" s="1"/>
  <c r="E72" i="20" s="1"/>
  <c r="AG66" i="12"/>
  <c r="Q66" i="12" s="1"/>
  <c r="F70" i="20" s="1"/>
  <c r="AK64" i="12"/>
  <c r="P64" i="12" s="1"/>
  <c r="E68" i="20" s="1"/>
  <c r="AM63" i="12"/>
  <c r="AE63" i="12"/>
  <c r="O63" i="12" s="1"/>
  <c r="D67" i="20" s="1"/>
  <c r="AG62" i="12"/>
  <c r="Q62" i="12" s="1"/>
  <c r="AI61" i="12"/>
  <c r="R61" i="12" s="1"/>
  <c r="AK60" i="12"/>
  <c r="P60" i="12" s="1"/>
  <c r="E64" i="20" s="1"/>
  <c r="AI57" i="12"/>
  <c r="R57" i="12" s="1"/>
  <c r="AM55" i="12"/>
  <c r="AE55" i="12"/>
  <c r="O55" i="12" s="1"/>
  <c r="D59" i="20" s="1"/>
  <c r="AG54" i="12"/>
  <c r="Q54" i="12" s="1"/>
  <c r="F58" i="20" s="1"/>
  <c r="AI53" i="12"/>
  <c r="R53" i="12" s="1"/>
  <c r="AK52" i="12"/>
  <c r="P52" i="12" s="1"/>
  <c r="E56" i="20" s="1"/>
  <c r="AI49" i="12"/>
  <c r="R49" i="12" s="1"/>
  <c r="AM47" i="12"/>
  <c r="AE47" i="12"/>
  <c r="O47" i="12" s="1"/>
  <c r="D51" i="20" s="1"/>
  <c r="AG46" i="12"/>
  <c r="Q46" i="12" s="1"/>
  <c r="F50" i="20" s="1"/>
  <c r="AI45" i="12"/>
  <c r="R45" i="12" s="1"/>
  <c r="AK44" i="12"/>
  <c r="P44" i="12" s="1"/>
  <c r="E48" i="20" s="1"/>
  <c r="AI41" i="12"/>
  <c r="R41" i="12" s="1"/>
  <c r="AM39" i="12"/>
  <c r="AE39" i="12"/>
  <c r="O39" i="12" s="1"/>
  <c r="D43" i="20" s="1"/>
  <c r="AG38" i="12"/>
  <c r="Q38" i="12" s="1"/>
  <c r="F42" i="20" s="1"/>
  <c r="AI37" i="12"/>
  <c r="R37" i="12" s="1"/>
  <c r="AK36" i="12"/>
  <c r="P36" i="12" s="1"/>
  <c r="AI33" i="12"/>
  <c r="R33" i="12" s="1"/>
  <c r="AM31" i="12"/>
  <c r="AE31" i="12"/>
  <c r="O31" i="12" s="1"/>
  <c r="AG30" i="12"/>
  <c r="Q30" i="12" s="1"/>
  <c r="F34" i="20" s="1"/>
  <c r="AI29" i="12"/>
  <c r="R29" i="12" s="1"/>
  <c r="AK28" i="12"/>
  <c r="P28" i="12" s="1"/>
  <c r="E32" i="20" s="1"/>
  <c r="AI25" i="12"/>
  <c r="R25" i="12" s="1"/>
  <c r="AM23" i="12"/>
  <c r="AE23" i="12"/>
  <c r="O23" i="12" s="1"/>
  <c r="D27" i="20" s="1"/>
  <c r="AG22" i="12"/>
  <c r="Q22" i="12" s="1"/>
  <c r="F26" i="20" s="1"/>
  <c r="AI21" i="12"/>
  <c r="R21" i="12" s="1"/>
  <c r="AK20" i="12"/>
  <c r="P20" i="12" s="1"/>
  <c r="E24" i="20" s="1"/>
  <c r="AI17" i="12"/>
  <c r="R17" i="12" s="1"/>
  <c r="AM15" i="12"/>
  <c r="AE15" i="12"/>
  <c r="O15" i="12" s="1"/>
  <c r="D19" i="20" s="1"/>
  <c r="AG14" i="12"/>
  <c r="Q14" i="12" s="1"/>
  <c r="AI13" i="12"/>
  <c r="R13" i="12" s="1"/>
  <c r="AK12" i="12"/>
  <c r="P12" i="12" s="1"/>
  <c r="E16" i="20" s="1"/>
  <c r="AI9" i="12"/>
  <c r="R9" i="12" s="1"/>
  <c r="AM7" i="12"/>
  <c r="AE7" i="12"/>
  <c r="O7" i="12" s="1"/>
  <c r="AG6" i="12"/>
  <c r="Q6" i="12" s="1"/>
  <c r="F10" i="20" s="1"/>
  <c r="AI5" i="12"/>
  <c r="R5" i="12" s="1"/>
  <c r="AK4" i="12"/>
  <c r="P4" i="12" s="1"/>
  <c r="O75" i="12"/>
  <c r="O91" i="12"/>
  <c r="D95" i="20" s="1"/>
  <c r="O99" i="12"/>
  <c r="D101" i="18" s="1"/>
  <c r="P99" i="12"/>
  <c r="AH94" i="12"/>
  <c r="AJ93" i="12"/>
  <c r="O93" i="12" s="1"/>
  <c r="AN91" i="12"/>
  <c r="AF91" i="12"/>
  <c r="P91" i="12" s="1"/>
  <c r="E95" i="20" s="1"/>
  <c r="AH86" i="12"/>
  <c r="AJ81" i="12"/>
  <c r="O81" i="12" s="1"/>
  <c r="AN79" i="12"/>
  <c r="AN75" i="12"/>
  <c r="AF75" i="12"/>
  <c r="P75" i="12" s="1"/>
  <c r="E79" i="20" s="1"/>
  <c r="AJ73" i="12"/>
  <c r="AN71" i="12"/>
  <c r="AF71" i="12"/>
  <c r="P71" i="12" s="1"/>
  <c r="AN63" i="12"/>
  <c r="AF63" i="12"/>
  <c r="AJ61" i="12"/>
  <c r="AJ57" i="12"/>
  <c r="AN55" i="12"/>
  <c r="AF55" i="12"/>
  <c r="AH54" i="12"/>
  <c r="AJ53" i="12"/>
  <c r="AJ49" i="12"/>
  <c r="AN47" i="12"/>
  <c r="AF47" i="12"/>
  <c r="AH46" i="12"/>
  <c r="AJ45" i="12"/>
  <c r="AJ41" i="12"/>
  <c r="AN39" i="12"/>
  <c r="AF39" i="12"/>
  <c r="AH38" i="12"/>
  <c r="AJ37" i="12"/>
  <c r="AJ33" i="12"/>
  <c r="AN31" i="12"/>
  <c r="AF31" i="12"/>
  <c r="AH30" i="12"/>
  <c r="AJ29" i="12"/>
  <c r="AJ25" i="12"/>
  <c r="AN23" i="12"/>
  <c r="AF23" i="12"/>
  <c r="AH22" i="12"/>
  <c r="AJ21" i="12"/>
  <c r="AJ17" i="12"/>
  <c r="AN15" i="12"/>
  <c r="AF15" i="12"/>
  <c r="AJ13" i="12"/>
  <c r="AJ9" i="12"/>
  <c r="AN7" i="12"/>
  <c r="AF7" i="12"/>
  <c r="AH6" i="12"/>
  <c r="AJ5" i="12"/>
  <c r="O104" i="12"/>
  <c r="D106" i="18" s="1"/>
  <c r="O66" i="12"/>
  <c r="O100" i="12"/>
  <c r="O106" i="12"/>
  <c r="O98" i="12"/>
  <c r="N4" i="18"/>
  <c r="R1" i="21"/>
  <c r="S21" i="4"/>
  <c r="S2" i="21" s="1"/>
  <c r="AB3" i="12"/>
  <c r="F1" i="26"/>
  <c r="D1" i="26"/>
  <c r="E98" i="18"/>
  <c r="E129" i="20"/>
  <c r="N105" i="18"/>
  <c r="N101" i="18"/>
  <c r="Y3" i="12"/>
  <c r="L1" i="21"/>
  <c r="E94" i="18"/>
  <c r="E90" i="18"/>
  <c r="E86" i="18"/>
  <c r="E82" i="18"/>
  <c r="E78" i="18"/>
  <c r="E75" i="18"/>
  <c r="E71" i="18"/>
  <c r="E67" i="18"/>
  <c r="E63" i="18"/>
  <c r="E59" i="18"/>
  <c r="E55" i="18"/>
  <c r="E51" i="18"/>
  <c r="Y76" i="18"/>
  <c r="M1" i="26"/>
  <c r="S1" i="21"/>
  <c r="H1" i="26"/>
  <c r="O1" i="21"/>
  <c r="B45" i="4"/>
  <c r="S2" i="28"/>
  <c r="J2" i="33"/>
  <c r="P1" i="21"/>
  <c r="D4" i="10"/>
  <c r="D22" i="29" s="1"/>
  <c r="D12" i="10"/>
  <c r="D46" i="26" s="1"/>
  <c r="D77" i="26" s="1"/>
  <c r="D20" i="10"/>
  <c r="D54" i="26" s="1"/>
  <c r="D85" i="26" s="1"/>
  <c r="D28" i="10"/>
  <c r="D62" i="26" s="1"/>
  <c r="D93" i="26" s="1"/>
  <c r="D22" i="10"/>
  <c r="D56" i="26" s="1"/>
  <c r="D87" i="26" s="1"/>
  <c r="D14" i="10"/>
  <c r="D48" i="26" s="1"/>
  <c r="D79" i="26" s="1"/>
  <c r="D6" i="10"/>
  <c r="D12" i="21" s="1"/>
  <c r="D3" i="10"/>
  <c r="D37" i="26" s="1"/>
  <c r="D68" i="26" s="1"/>
  <c r="D21" i="10"/>
  <c r="D55" i="26" s="1"/>
  <c r="D86" i="26" s="1"/>
  <c r="D23" i="10"/>
  <c r="D57" i="26" s="1"/>
  <c r="D88" i="26" s="1"/>
  <c r="D16" i="10"/>
  <c r="D50" i="26" s="1"/>
  <c r="D81" i="26" s="1"/>
  <c r="D25" i="10"/>
  <c r="D59" i="26" s="1"/>
  <c r="D90" i="26" s="1"/>
  <c r="D17" i="10"/>
  <c r="D51" i="26" s="1"/>
  <c r="D82" i="26" s="1"/>
  <c r="D9" i="10"/>
  <c r="D15" i="21" s="1"/>
  <c r="D5" i="10"/>
  <c r="D23" i="29" s="1"/>
  <c r="D15" i="10"/>
  <c r="D49" i="26" s="1"/>
  <c r="D80" i="26" s="1"/>
  <c r="D24" i="10"/>
  <c r="D58" i="26" s="1"/>
  <c r="D89" i="26" s="1"/>
  <c r="D8" i="10"/>
  <c r="D14" i="21" s="1"/>
  <c r="D26" i="10"/>
  <c r="D60" i="26" s="1"/>
  <c r="D91" i="26" s="1"/>
  <c r="D18" i="10"/>
  <c r="D52" i="26" s="1"/>
  <c r="D83" i="26" s="1"/>
  <c r="D13" i="10"/>
  <c r="D47" i="26" s="1"/>
  <c r="D78" i="26" s="1"/>
  <c r="D7" i="10"/>
  <c r="D25" i="29" s="1"/>
  <c r="D27" i="10"/>
  <c r="D61" i="26" s="1"/>
  <c r="D92" i="26" s="1"/>
  <c r="D19" i="10"/>
  <c r="D53" i="26" s="1"/>
  <c r="D84" i="26" s="1"/>
  <c r="D11" i="10"/>
  <c r="D29" i="29" s="1"/>
  <c r="M162" i="20"/>
  <c r="Y162" i="20" s="1"/>
  <c r="M165" i="20"/>
  <c r="Y165" i="20" s="1"/>
  <c r="C19" i="21"/>
  <c r="P156" i="20"/>
  <c r="AB156" i="20" s="1"/>
  <c r="M157" i="20"/>
  <c r="Y157" i="20" s="1"/>
  <c r="P169" i="20"/>
  <c r="AB169" i="20" s="1"/>
  <c r="P162" i="20"/>
  <c r="AB162" i="20" s="1"/>
  <c r="M156" i="20"/>
  <c r="Y156" i="20" s="1"/>
  <c r="C23" i="21"/>
  <c r="C21" i="29"/>
  <c r="C42" i="26"/>
  <c r="C73" i="26" s="1"/>
  <c r="X10" i="12"/>
  <c r="Y10" i="12" s="1"/>
  <c r="A4" i="27"/>
  <c r="B4" i="27" s="1"/>
  <c r="B5" i="26" s="1"/>
  <c r="H5" i="26" s="1"/>
  <c r="C43" i="26"/>
  <c r="C74" i="26" s="1"/>
  <c r="C33" i="21"/>
  <c r="C30" i="21"/>
  <c r="B2" i="34"/>
  <c r="E2" i="15"/>
  <c r="C29" i="21"/>
  <c r="AD129" i="20"/>
  <c r="BE129" i="20" s="1"/>
  <c r="AD131" i="20"/>
  <c r="BE131" i="20" s="1"/>
  <c r="B40" i="26"/>
  <c r="B71" i="26" s="1"/>
  <c r="E24" i="29"/>
  <c r="F24" i="29" s="1"/>
  <c r="E102" i="18"/>
  <c r="E41" i="29"/>
  <c r="G41" i="29" s="1"/>
  <c r="M169" i="20"/>
  <c r="Y169" i="20" s="1"/>
  <c r="W1" i="21"/>
  <c r="AH129" i="20"/>
  <c r="BI129" i="20" s="1"/>
  <c r="T118" i="20"/>
  <c r="T123" i="20" s="1"/>
  <c r="AU123" i="20" s="1"/>
  <c r="B45" i="26"/>
  <c r="B76" i="26" s="1"/>
  <c r="B61" i="26"/>
  <c r="B92" i="26" s="1"/>
  <c r="AJ118" i="20"/>
  <c r="AJ131" i="20" s="1"/>
  <c r="BK131" i="20" s="1"/>
  <c r="B53" i="26"/>
  <c r="B84" i="26" s="1"/>
  <c r="AB118" i="20"/>
  <c r="AB131" i="20" s="1"/>
  <c r="BC131" i="20" s="1"/>
  <c r="F30" i="4"/>
  <c r="F2" i="20" s="1"/>
  <c r="H110" i="20" s="1"/>
  <c r="C62" i="26"/>
  <c r="C93" i="26" s="1"/>
  <c r="C34" i="21"/>
  <c r="C54" i="26"/>
  <c r="C85" i="26" s="1"/>
  <c r="C26" i="21"/>
  <c r="A1" i="33"/>
  <c r="O118" i="20"/>
  <c r="O124" i="20" s="1"/>
  <c r="AP124" i="20" s="1"/>
  <c r="C1" i="26"/>
  <c r="H6" i="20"/>
  <c r="C39" i="26"/>
  <c r="J1" i="26"/>
  <c r="G97" i="18"/>
  <c r="I92" i="18"/>
  <c r="I88" i="18"/>
  <c r="I84" i="18"/>
  <c r="I80" i="18"/>
  <c r="I73" i="18"/>
  <c r="I65" i="18"/>
  <c r="I61" i="18"/>
  <c r="I57" i="18"/>
  <c r="I53" i="18"/>
  <c r="I49" i="18"/>
  <c r="O5" i="18"/>
  <c r="AD107" i="18"/>
  <c r="B54" i="26"/>
  <c r="B85" i="26" s="1"/>
  <c r="E42" i="29"/>
  <c r="F42" i="29" s="1"/>
  <c r="AG118" i="20"/>
  <c r="AG124" i="20" s="1"/>
  <c r="BH124" i="20" s="1"/>
  <c r="E34" i="29"/>
  <c r="G34" i="29" s="1"/>
  <c r="Y118" i="20"/>
  <c r="Y128" i="20" s="1"/>
  <c r="AZ128" i="20" s="1"/>
  <c r="E69" i="18"/>
  <c r="I69" i="18"/>
  <c r="Q1" i="21"/>
  <c r="H4" i="18"/>
  <c r="M4" i="18"/>
  <c r="R118" i="20"/>
  <c r="R120" i="20" s="1"/>
  <c r="AS120" i="20" s="1"/>
  <c r="E33" i="29"/>
  <c r="G33" i="29" s="1"/>
  <c r="E26" i="29"/>
  <c r="G26" i="29" s="1"/>
  <c r="Q118" i="20"/>
  <c r="Q124" i="20" s="1"/>
  <c r="AR124" i="20" s="1"/>
  <c r="E37" i="29"/>
  <c r="G37" i="29" s="1"/>
  <c r="E43" i="29"/>
  <c r="G43" i="29" s="1"/>
  <c r="B59" i="26"/>
  <c r="B90" i="26" s="1"/>
  <c r="E35" i="29"/>
  <c r="G35" i="29" s="1"/>
  <c r="B51" i="26"/>
  <c r="B82" i="26" s="1"/>
  <c r="F4" i="18"/>
  <c r="U1" i="21"/>
  <c r="F6" i="20"/>
  <c r="K4" i="18"/>
  <c r="T1" i="26"/>
  <c r="X12" i="12"/>
  <c r="Y12" i="12" s="1"/>
  <c r="E21" i="29"/>
  <c r="F21" i="29" s="1"/>
  <c r="B42" i="26"/>
  <c r="B73" i="26" s="1"/>
  <c r="E38" i="29"/>
  <c r="G38" i="29" s="1"/>
  <c r="B58" i="26"/>
  <c r="B89" i="26" s="1"/>
  <c r="G93" i="18"/>
  <c r="G89" i="18"/>
  <c r="G85" i="18"/>
  <c r="G81" i="18"/>
  <c r="G77" i="18"/>
  <c r="G74" i="18"/>
  <c r="G70" i="18"/>
  <c r="G66" i="18"/>
  <c r="G62" i="18"/>
  <c r="G58" i="18"/>
  <c r="G54" i="18"/>
  <c r="G50" i="18"/>
  <c r="E106" i="18"/>
  <c r="N99" i="18"/>
  <c r="AA118" i="20"/>
  <c r="AA120" i="20" s="1"/>
  <c r="BB120" i="20" s="1"/>
  <c r="S118" i="20"/>
  <c r="S119" i="20" s="1"/>
  <c r="AT119" i="20" s="1"/>
  <c r="AI118" i="20"/>
  <c r="AI120" i="20" s="1"/>
  <c r="BJ120" i="20" s="1"/>
  <c r="B60" i="26"/>
  <c r="B91" i="26" s="1"/>
  <c r="B52" i="26"/>
  <c r="B83" i="26" s="1"/>
  <c r="C24" i="21"/>
  <c r="K95" i="18"/>
  <c r="K91" i="18"/>
  <c r="K87" i="18"/>
  <c r="K79" i="18"/>
  <c r="K72" i="18"/>
  <c r="K68" i="18"/>
  <c r="K60" i="18"/>
  <c r="K56" i="18"/>
  <c r="K52" i="18"/>
  <c r="S48" i="18"/>
  <c r="E28" i="29"/>
  <c r="F28" i="29" s="1"/>
  <c r="AE120" i="20"/>
  <c r="BF120" i="20" s="1"/>
  <c r="AE122" i="20"/>
  <c r="BF122" i="20" s="1"/>
  <c r="AE124" i="20"/>
  <c r="BF124" i="20" s="1"/>
  <c r="AE126" i="20"/>
  <c r="BF126" i="20" s="1"/>
  <c r="AE128" i="20"/>
  <c r="BF128" i="20" s="1"/>
  <c r="BF118" i="20"/>
  <c r="AE119" i="20"/>
  <c r="BF119" i="20" s="1"/>
  <c r="AE121" i="20"/>
  <c r="BF121" i="20" s="1"/>
  <c r="AE123" i="20"/>
  <c r="BF123" i="20" s="1"/>
  <c r="AE125" i="20"/>
  <c r="BF125" i="20" s="1"/>
  <c r="AE127" i="20"/>
  <c r="BF127" i="20" s="1"/>
  <c r="AE129" i="20"/>
  <c r="BF129" i="20" s="1"/>
  <c r="AC120" i="20"/>
  <c r="BD120" i="20" s="1"/>
  <c r="AC122" i="20"/>
  <c r="BD122" i="20" s="1"/>
  <c r="AC124" i="20"/>
  <c r="BD124" i="20" s="1"/>
  <c r="AC126" i="20"/>
  <c r="BD126" i="20" s="1"/>
  <c r="AC128" i="20"/>
  <c r="BD128" i="20" s="1"/>
  <c r="BD118" i="20"/>
  <c r="AC119" i="20"/>
  <c r="BD119" i="20" s="1"/>
  <c r="AC121" i="20"/>
  <c r="BD121" i="20" s="1"/>
  <c r="AC123" i="20"/>
  <c r="BD123" i="20" s="1"/>
  <c r="AC125" i="20"/>
  <c r="BD125" i="20" s="1"/>
  <c r="AC127" i="20"/>
  <c r="BD127" i="20" s="1"/>
  <c r="AC129" i="20"/>
  <c r="BD129" i="20" s="1"/>
  <c r="W124" i="20"/>
  <c r="AX124" i="20" s="1"/>
  <c r="W119" i="20"/>
  <c r="AX119" i="20" s="1"/>
  <c r="W127" i="20"/>
  <c r="AX127" i="20" s="1"/>
  <c r="U120" i="20"/>
  <c r="AV120" i="20" s="1"/>
  <c r="U122" i="20"/>
  <c r="AV122" i="20" s="1"/>
  <c r="U124" i="20"/>
  <c r="AV124" i="20" s="1"/>
  <c r="U126" i="20"/>
  <c r="AV126" i="20" s="1"/>
  <c r="U128" i="20"/>
  <c r="AV128" i="20" s="1"/>
  <c r="AV118" i="20"/>
  <c r="U119" i="20"/>
  <c r="AV119" i="20" s="1"/>
  <c r="U121" i="20"/>
  <c r="AV121" i="20" s="1"/>
  <c r="U123" i="20"/>
  <c r="AV123" i="20" s="1"/>
  <c r="U125" i="20"/>
  <c r="AV125" i="20" s="1"/>
  <c r="U127" i="20"/>
  <c r="AV127" i="20" s="1"/>
  <c r="U129" i="20"/>
  <c r="AV129" i="20" s="1"/>
  <c r="U131" i="20"/>
  <c r="AV131" i="20" s="1"/>
  <c r="M120" i="20"/>
  <c r="AN120" i="20" s="1"/>
  <c r="M122" i="20"/>
  <c r="AN122" i="20" s="1"/>
  <c r="M124" i="20"/>
  <c r="AN124" i="20" s="1"/>
  <c r="M126" i="20"/>
  <c r="AN126" i="20" s="1"/>
  <c r="M128" i="20"/>
  <c r="AN128" i="20" s="1"/>
  <c r="AN118" i="20"/>
  <c r="M119" i="20"/>
  <c r="AN119" i="20" s="1"/>
  <c r="M121" i="20"/>
  <c r="AN121" i="20" s="1"/>
  <c r="M123" i="20"/>
  <c r="AN123" i="20" s="1"/>
  <c r="M125" i="20"/>
  <c r="AN125" i="20" s="1"/>
  <c r="M127" i="20"/>
  <c r="AN127" i="20" s="1"/>
  <c r="M129" i="20"/>
  <c r="AN129" i="20" s="1"/>
  <c r="M131" i="20"/>
  <c r="AN131" i="20" s="1"/>
  <c r="AK120" i="20"/>
  <c r="BL120" i="20" s="1"/>
  <c r="AK122" i="20"/>
  <c r="BL122" i="20" s="1"/>
  <c r="AK124" i="20"/>
  <c r="BL124" i="20" s="1"/>
  <c r="AK126" i="20"/>
  <c r="BL126" i="20" s="1"/>
  <c r="AK128" i="20"/>
  <c r="BL128" i="20" s="1"/>
  <c r="BL118" i="20"/>
  <c r="AK119" i="20"/>
  <c r="BL119" i="20" s="1"/>
  <c r="AK121" i="20"/>
  <c r="BL121" i="20" s="1"/>
  <c r="AK123" i="20"/>
  <c r="BL123" i="20" s="1"/>
  <c r="AK125" i="20"/>
  <c r="BL125" i="20" s="1"/>
  <c r="AK127" i="20"/>
  <c r="BL127" i="20" s="1"/>
  <c r="AK129" i="20"/>
  <c r="BL129" i="20" s="1"/>
  <c r="AK130" i="20"/>
  <c r="BL130" i="20" s="1"/>
  <c r="AC130" i="20"/>
  <c r="BD130" i="20" s="1"/>
  <c r="U130" i="20"/>
  <c r="AV130" i="20" s="1"/>
  <c r="M130" i="20"/>
  <c r="AN130" i="20" s="1"/>
  <c r="BE118" i="20"/>
  <c r="AD119" i="20"/>
  <c r="BE119" i="20" s="1"/>
  <c r="AD121" i="20"/>
  <c r="BE121" i="20" s="1"/>
  <c r="AD123" i="20"/>
  <c r="BE123" i="20" s="1"/>
  <c r="AD125" i="20"/>
  <c r="BE125" i="20" s="1"/>
  <c r="AD127" i="20"/>
  <c r="BE127" i="20" s="1"/>
  <c r="AD120" i="20"/>
  <c r="BE120" i="20" s="1"/>
  <c r="AD122" i="20"/>
  <c r="BE122" i="20" s="1"/>
  <c r="AD124" i="20"/>
  <c r="BE124" i="20" s="1"/>
  <c r="AD126" i="20"/>
  <c r="BE126" i="20" s="1"/>
  <c r="AD128" i="20"/>
  <c r="BE128" i="20" s="1"/>
  <c r="AD130" i="20"/>
  <c r="BE130" i="20" s="1"/>
  <c r="BA118" i="20"/>
  <c r="Z119" i="20"/>
  <c r="BA119" i="20" s="1"/>
  <c r="Z121" i="20"/>
  <c r="BA121" i="20" s="1"/>
  <c r="Z123" i="20"/>
  <c r="BA123" i="20" s="1"/>
  <c r="Z125" i="20"/>
  <c r="BA125" i="20" s="1"/>
  <c r="Z127" i="20"/>
  <c r="BA127" i="20" s="1"/>
  <c r="Z120" i="20"/>
  <c r="BA120" i="20" s="1"/>
  <c r="Z122" i="20"/>
  <c r="BA122" i="20" s="1"/>
  <c r="Z124" i="20"/>
  <c r="BA124" i="20" s="1"/>
  <c r="Z126" i="20"/>
  <c r="BA126" i="20" s="1"/>
  <c r="Z128" i="20"/>
  <c r="BA128" i="20" s="1"/>
  <c r="Z130" i="20"/>
  <c r="BA130" i="20" s="1"/>
  <c r="X123" i="20"/>
  <c r="AY123" i="20" s="1"/>
  <c r="X122" i="20"/>
  <c r="AY122" i="20" s="1"/>
  <c r="X130" i="20"/>
  <c r="AY130" i="20" s="1"/>
  <c r="V123" i="20"/>
  <c r="AW123" i="20" s="1"/>
  <c r="V122" i="20"/>
  <c r="AW122" i="20" s="1"/>
  <c r="V130" i="20"/>
  <c r="AW130" i="20" s="1"/>
  <c r="AQ118" i="20"/>
  <c r="P119" i="20"/>
  <c r="AQ119" i="20" s="1"/>
  <c r="P121" i="20"/>
  <c r="AQ121" i="20" s="1"/>
  <c r="P123" i="20"/>
  <c r="AQ123" i="20" s="1"/>
  <c r="P125" i="20"/>
  <c r="AQ125" i="20" s="1"/>
  <c r="P127" i="20"/>
  <c r="AQ127" i="20" s="1"/>
  <c r="P129" i="20"/>
  <c r="AQ129" i="20" s="1"/>
  <c r="P120" i="20"/>
  <c r="AQ120" i="20" s="1"/>
  <c r="P122" i="20"/>
  <c r="AQ122" i="20" s="1"/>
  <c r="P124" i="20"/>
  <c r="AQ124" i="20" s="1"/>
  <c r="P126" i="20"/>
  <c r="AQ126" i="20" s="1"/>
  <c r="P128" i="20"/>
  <c r="AQ128" i="20" s="1"/>
  <c r="P130" i="20"/>
  <c r="AQ130" i="20" s="1"/>
  <c r="N121" i="20"/>
  <c r="AO121" i="20" s="1"/>
  <c r="N129" i="20"/>
  <c r="AO129" i="20" s="1"/>
  <c r="N126" i="20"/>
  <c r="AO126" i="20" s="1"/>
  <c r="BI118" i="20"/>
  <c r="AH119" i="20"/>
  <c r="BI119" i="20" s="1"/>
  <c r="AH121" i="20"/>
  <c r="BI121" i="20" s="1"/>
  <c r="AH123" i="20"/>
  <c r="BI123" i="20" s="1"/>
  <c r="AH125" i="20"/>
  <c r="BI125" i="20" s="1"/>
  <c r="AH127" i="20"/>
  <c r="BI127" i="20" s="1"/>
  <c r="AH120" i="20"/>
  <c r="BI120" i="20" s="1"/>
  <c r="AH122" i="20"/>
  <c r="BI122" i="20" s="1"/>
  <c r="AH124" i="20"/>
  <c r="BI124" i="20" s="1"/>
  <c r="AH126" i="20"/>
  <c r="BI126" i="20" s="1"/>
  <c r="AH128" i="20"/>
  <c r="BI128" i="20" s="1"/>
  <c r="AH130" i="20"/>
  <c r="BI130" i="20" s="1"/>
  <c r="AF119" i="20"/>
  <c r="BG119" i="20" s="1"/>
  <c r="AF121" i="20"/>
  <c r="BG121" i="20" s="1"/>
  <c r="AF126" i="20"/>
  <c r="BG126" i="20" s="1"/>
  <c r="AF128" i="20"/>
  <c r="BG128" i="20" s="1"/>
  <c r="M164" i="20"/>
  <c r="Y164" i="20" s="1"/>
  <c r="M168" i="20"/>
  <c r="Y168" i="20" s="1"/>
  <c r="M158" i="20"/>
  <c r="Y158" i="20" s="1"/>
  <c r="C122" i="20"/>
  <c r="M149" i="20"/>
  <c r="Y149" i="20" s="1"/>
  <c r="M163" i="20"/>
  <c r="Y163" i="20" s="1"/>
  <c r="AK131" i="20"/>
  <c r="BL131" i="20" s="1"/>
  <c r="AG131" i="20"/>
  <c r="BH131" i="20" s="1"/>
  <c r="AE131" i="20"/>
  <c r="BF131" i="20" s="1"/>
  <c r="AC131" i="20"/>
  <c r="BD131" i="20" s="1"/>
  <c r="Z131" i="20"/>
  <c r="BA131" i="20" s="1"/>
  <c r="N131" i="20"/>
  <c r="AO131" i="20" s="1"/>
  <c r="AE130" i="20"/>
  <c r="BF130" i="20" s="1"/>
  <c r="D2" i="33"/>
  <c r="C45" i="26"/>
  <c r="C76" i="26" s="1"/>
  <c r="A1" i="15"/>
  <c r="E6" i="15"/>
  <c r="I6" i="15"/>
  <c r="K2" i="28"/>
  <c r="B3" i="21"/>
  <c r="X5" i="12"/>
  <c r="Y5" i="12" s="1"/>
  <c r="X7" i="12"/>
  <c r="Y7" i="12" s="1"/>
  <c r="D6" i="20"/>
  <c r="C38" i="26"/>
  <c r="C41" i="26"/>
  <c r="C44" i="26"/>
  <c r="C75" i="26" s="1"/>
  <c r="E127" i="20"/>
  <c r="C40" i="26"/>
  <c r="D4" i="18"/>
  <c r="X6" i="12"/>
  <c r="Y6" i="12" s="1"/>
  <c r="W2" i="12"/>
  <c r="X4" i="12"/>
  <c r="Y4" i="12" s="1"/>
  <c r="E128" i="20"/>
  <c r="C46" i="29"/>
  <c r="C45" i="29"/>
  <c r="C44" i="29"/>
  <c r="C43" i="29"/>
  <c r="C42" i="29"/>
  <c r="C41" i="29"/>
  <c r="C40" i="29"/>
  <c r="C39" i="29"/>
  <c r="C38" i="29"/>
  <c r="C37" i="29"/>
  <c r="C36" i="29"/>
  <c r="C35" i="29"/>
  <c r="C34" i="29"/>
  <c r="C33" i="29"/>
  <c r="C32" i="29"/>
  <c r="C31" i="29"/>
  <c r="C30" i="29"/>
  <c r="C29" i="29"/>
  <c r="C28" i="29"/>
  <c r="C27" i="29"/>
  <c r="C26" i="29"/>
  <c r="C25" i="29"/>
  <c r="C24" i="29"/>
  <c r="C23" i="29"/>
  <c r="C22" i="29"/>
  <c r="C60" i="26"/>
  <c r="C91" i="26" s="1"/>
  <c r="C59" i="26"/>
  <c r="C90" i="26" s="1"/>
  <c r="C56" i="26"/>
  <c r="C87" i="26" s="1"/>
  <c r="C55" i="26"/>
  <c r="C86" i="26" s="1"/>
  <c r="C53" i="26"/>
  <c r="C84" i="26" s="1"/>
  <c r="C50" i="26"/>
  <c r="C81" i="26" s="1"/>
  <c r="C49" i="26"/>
  <c r="C80" i="26" s="1"/>
  <c r="C48" i="26"/>
  <c r="C79" i="26" s="1"/>
  <c r="C46" i="26"/>
  <c r="C77" i="26" s="1"/>
  <c r="S83" i="18"/>
  <c r="I76" i="18"/>
  <c r="Y69" i="18"/>
  <c r="S64" i="18"/>
  <c r="N107" i="18"/>
  <c r="N103" i="18"/>
  <c r="AD99" i="18"/>
  <c r="X1" i="21"/>
  <c r="X1" i="26"/>
  <c r="C120" i="20"/>
  <c r="E131" i="20"/>
  <c r="M104" i="18"/>
  <c r="E104" i="18"/>
  <c r="F101" i="18"/>
  <c r="AD101" i="18"/>
  <c r="I6" i="20"/>
  <c r="B7" i="15"/>
  <c r="K6" i="20"/>
  <c r="J6" i="20"/>
  <c r="G6" i="20"/>
  <c r="C7" i="15" s="1"/>
  <c r="D7" i="15" s="1"/>
  <c r="E6" i="20"/>
  <c r="I1" i="26"/>
  <c r="V1" i="21"/>
  <c r="G1" i="21"/>
  <c r="K1" i="21"/>
  <c r="E1" i="21"/>
  <c r="AD103" i="18"/>
  <c r="M108" i="18"/>
  <c r="E108" i="18"/>
  <c r="F105" i="18"/>
  <c r="AD105" i="18"/>
  <c r="M100" i="18"/>
  <c r="E100" i="18"/>
  <c r="K97" i="18"/>
  <c r="G95" i="18"/>
  <c r="I94" i="18"/>
  <c r="K93" i="18"/>
  <c r="E92" i="18"/>
  <c r="G91" i="18"/>
  <c r="I90" i="18"/>
  <c r="K89" i="18"/>
  <c r="E88" i="18"/>
  <c r="G87" i="18"/>
  <c r="I86" i="18"/>
  <c r="K85" i="18"/>
  <c r="E84" i="18"/>
  <c r="I82" i="18"/>
  <c r="K81" i="18"/>
  <c r="E80" i="18"/>
  <c r="G79" i="18"/>
  <c r="I78" i="18"/>
  <c r="K77" i="18"/>
  <c r="I75" i="18"/>
  <c r="K74" i="18"/>
  <c r="E73" i="18"/>
  <c r="G72" i="18"/>
  <c r="I71" i="18"/>
  <c r="K70" i="18"/>
  <c r="G68" i="18"/>
  <c r="I67" i="18"/>
  <c r="K66" i="18"/>
  <c r="E65" i="18"/>
  <c r="I63" i="18"/>
  <c r="K62" i="18"/>
  <c r="E61" i="18"/>
  <c r="G60" i="18"/>
  <c r="I59" i="18"/>
  <c r="K58" i="18"/>
  <c r="E57" i="18"/>
  <c r="G56" i="18"/>
  <c r="I55" i="18"/>
  <c r="K54" i="18"/>
  <c r="E53" i="18"/>
  <c r="G52" i="18"/>
  <c r="I51" i="18"/>
  <c r="K50" i="18"/>
  <c r="E49" i="18"/>
  <c r="W48" i="18"/>
  <c r="S5" i="18"/>
  <c r="AA83" i="18"/>
  <c r="K83" i="18"/>
  <c r="Q76" i="18"/>
  <c r="Q69" i="18"/>
  <c r="AA64" i="18"/>
  <c r="K64" i="18"/>
  <c r="F107" i="18"/>
  <c r="M106" i="18"/>
  <c r="F103" i="18"/>
  <c r="M102" i="18"/>
  <c r="F99" i="18"/>
  <c r="M98" i="18"/>
  <c r="A9" i="27"/>
  <c r="B9" i="27" s="1"/>
  <c r="B10" i="26" s="1"/>
  <c r="R10" i="26" s="1"/>
  <c r="A12" i="27"/>
  <c r="B12" i="27" s="1"/>
  <c r="B13" i="26" s="1"/>
  <c r="C13" i="26" s="1"/>
  <c r="A18" i="27"/>
  <c r="B18" i="27" s="1"/>
  <c r="B19" i="26" s="1"/>
  <c r="Q19" i="26" s="1"/>
  <c r="A7" i="27"/>
  <c r="B7" i="27" s="1"/>
  <c r="B8" i="26" s="1"/>
  <c r="Q8" i="26" s="1"/>
  <c r="A6" i="27"/>
  <c r="B6" i="27" s="1"/>
  <c r="B7" i="26" s="1"/>
  <c r="I7" i="26" s="1"/>
  <c r="A8" i="27"/>
  <c r="B8" i="27" s="1"/>
  <c r="B9" i="26" s="1"/>
  <c r="I9" i="26" s="1"/>
  <c r="A14" i="27"/>
  <c r="B14" i="27" s="1"/>
  <c r="B15" i="26" s="1"/>
  <c r="R15" i="26" s="1"/>
  <c r="A5" i="27"/>
  <c r="B5" i="27" s="1"/>
  <c r="B6" i="26" s="1"/>
  <c r="J6" i="26" s="1"/>
  <c r="A19" i="27"/>
  <c r="B19" i="27" s="1"/>
  <c r="B20" i="26" s="1"/>
  <c r="A15" i="27"/>
  <c r="B15" i="27" s="1"/>
  <c r="B16" i="26" s="1"/>
  <c r="E16" i="26" s="1"/>
  <c r="A10" i="27"/>
  <c r="B10" i="27" s="1"/>
  <c r="B11" i="26" s="1"/>
  <c r="Q11" i="26" s="1"/>
  <c r="A3" i="27"/>
  <c r="B3" i="27" s="1"/>
  <c r="B4" i="26" s="1"/>
  <c r="G4" i="26" s="1"/>
  <c r="A13" i="27"/>
  <c r="B13" i="27" s="1"/>
  <c r="B14" i="26" s="1"/>
  <c r="H14" i="26" s="1"/>
  <c r="A20" i="27"/>
  <c r="B20" i="27" s="1"/>
  <c r="B21" i="26" s="1"/>
  <c r="F21" i="26" s="1"/>
  <c r="A16" i="27"/>
  <c r="B16" i="27" s="1"/>
  <c r="B17" i="26" s="1"/>
  <c r="H17" i="26" s="1"/>
  <c r="A21" i="27"/>
  <c r="B21" i="27" s="1"/>
  <c r="B22" i="26" s="1"/>
  <c r="G22" i="26" s="1"/>
  <c r="D8" i="29"/>
  <c r="E8" i="29" s="1"/>
  <c r="G45" i="29"/>
  <c r="G39" i="29"/>
  <c r="G31" i="29"/>
  <c r="G29" i="29"/>
  <c r="G27" i="29"/>
  <c r="G25" i="29"/>
  <c r="G23" i="29"/>
  <c r="G46" i="29"/>
  <c r="G44" i="29"/>
  <c r="G40" i="29"/>
  <c r="G36" i="29"/>
  <c r="G32" i="29"/>
  <c r="G22" i="29"/>
  <c r="F46" i="29"/>
  <c r="F44" i="29"/>
  <c r="F40" i="29"/>
  <c r="F36" i="29"/>
  <c r="F32" i="29"/>
  <c r="F30" i="29"/>
  <c r="F45" i="29"/>
  <c r="F39" i="29"/>
  <c r="F31" i="29"/>
  <c r="F29" i="29"/>
  <c r="F27" i="29"/>
  <c r="F25" i="29"/>
  <c r="F23" i="29"/>
  <c r="C2" i="20"/>
  <c r="D28" i="29"/>
  <c r="B4" i="29"/>
  <c r="R21" i="29" s="1"/>
  <c r="X9" i="12"/>
  <c r="Y9" i="12" s="1"/>
  <c r="X8" i="12"/>
  <c r="Y8" i="12" s="1"/>
  <c r="X13" i="12"/>
  <c r="Y13" i="12" s="1"/>
  <c r="X11" i="12"/>
  <c r="Y11" i="12" s="1"/>
  <c r="D30" i="4"/>
  <c r="C24" i="4"/>
  <c r="J4" i="18"/>
  <c r="I4" i="18"/>
  <c r="L4" i="18"/>
  <c r="E4" i="18"/>
  <c r="I5" i="18"/>
  <c r="AA5" i="18"/>
  <c r="AA97" i="18"/>
  <c r="S97" i="18"/>
  <c r="W95" i="18"/>
  <c r="O95" i="18"/>
  <c r="Y94" i="18"/>
  <c r="Q94" i="18"/>
  <c r="AA93" i="18"/>
  <c r="S93" i="18"/>
  <c r="AC92" i="18"/>
  <c r="U92" i="18"/>
  <c r="M92" i="18"/>
  <c r="W91" i="18"/>
  <c r="O91" i="18"/>
  <c r="Y90" i="18"/>
  <c r="Q90" i="18"/>
  <c r="AA89" i="18"/>
  <c r="S89" i="18"/>
  <c r="AC88" i="18"/>
  <c r="U88" i="18"/>
  <c r="M88" i="18"/>
  <c r="W87" i="18"/>
  <c r="O87" i="18"/>
  <c r="Y86" i="18"/>
  <c r="Q86" i="18"/>
  <c r="AA85" i="18"/>
  <c r="S85" i="18"/>
  <c r="AC84" i="18"/>
  <c r="U84" i="18"/>
  <c r="M84" i="18"/>
  <c r="W83" i="18"/>
  <c r="O83" i="18"/>
  <c r="Y82" i="18"/>
  <c r="Q82" i="18"/>
  <c r="AA81" i="18"/>
  <c r="S81" i="18"/>
  <c r="AC80" i="18"/>
  <c r="U80" i="18"/>
  <c r="M80" i="18"/>
  <c r="W79" i="18"/>
  <c r="O79" i="18"/>
  <c r="Y78" i="18"/>
  <c r="Q78" i="18"/>
  <c r="AA77" i="18"/>
  <c r="S77" i="18"/>
  <c r="AC76" i="18"/>
  <c r="U76" i="18"/>
  <c r="M76" i="18"/>
  <c r="Y75" i="18"/>
  <c r="Q75" i="18"/>
  <c r="AA74" i="18"/>
  <c r="S74" i="18"/>
  <c r="AC73" i="18"/>
  <c r="U73" i="18"/>
  <c r="M73" i="18"/>
  <c r="W72" i="18"/>
  <c r="O72" i="18"/>
  <c r="Y71" i="18"/>
  <c r="Q71" i="18"/>
  <c r="AA70" i="18"/>
  <c r="S70" i="18"/>
  <c r="AC69" i="18"/>
  <c r="U69" i="18"/>
  <c r="M69" i="18"/>
  <c r="W68" i="18"/>
  <c r="O68" i="18"/>
  <c r="Y67" i="18"/>
  <c r="Q67" i="18"/>
  <c r="AA66" i="18"/>
  <c r="S66" i="18"/>
  <c r="AC65" i="18"/>
  <c r="U65" i="18"/>
  <c r="M65" i="18"/>
  <c r="W64" i="18"/>
  <c r="O64" i="18"/>
  <c r="Y63" i="18"/>
  <c r="Q63" i="18"/>
  <c r="AA62" i="18"/>
  <c r="S62" i="18"/>
  <c r="AC61" i="18"/>
  <c r="U61" i="18"/>
  <c r="M61" i="18"/>
  <c r="W60" i="18"/>
  <c r="O60" i="18"/>
  <c r="Y59" i="18"/>
  <c r="Q59" i="18"/>
  <c r="AA58" i="18"/>
  <c r="S58" i="18"/>
  <c r="AC57" i="18"/>
  <c r="U57" i="18"/>
  <c r="M57" i="18"/>
  <c r="W56" i="18"/>
  <c r="O56" i="18"/>
  <c r="Y55" i="18"/>
  <c r="Q55" i="18"/>
  <c r="AA54" i="18"/>
  <c r="S54" i="18"/>
  <c r="AC53" i="18"/>
  <c r="U53" i="18"/>
  <c r="M53" i="18"/>
  <c r="W52" i="18"/>
  <c r="O52" i="18"/>
  <c r="Y51" i="18"/>
  <c r="Q51" i="18"/>
  <c r="AA50" i="18"/>
  <c r="S50" i="18"/>
  <c r="AC49" i="18"/>
  <c r="U49" i="18"/>
  <c r="M49" i="18"/>
  <c r="U108" i="18"/>
  <c r="V107" i="18"/>
  <c r="U106" i="18"/>
  <c r="V105" i="18"/>
  <c r="U104" i="18"/>
  <c r="V103" i="18"/>
  <c r="U102" i="18"/>
  <c r="V101" i="18"/>
  <c r="U100" i="18"/>
  <c r="V99" i="18"/>
  <c r="U98" i="18"/>
  <c r="M5" i="18"/>
  <c r="E5" i="18"/>
  <c r="W5" i="18"/>
  <c r="W97" i="18"/>
  <c r="O97" i="18"/>
  <c r="AA95" i="18"/>
  <c r="S95" i="18"/>
  <c r="AC94" i="18"/>
  <c r="U94" i="18"/>
  <c r="M94" i="18"/>
  <c r="W93" i="18"/>
  <c r="O93" i="18"/>
  <c r="Y92" i="18"/>
  <c r="Q92" i="18"/>
  <c r="AA91" i="18"/>
  <c r="S91" i="18"/>
  <c r="AC90" i="18"/>
  <c r="U90" i="18"/>
  <c r="M90" i="18"/>
  <c r="W89" i="18"/>
  <c r="O89" i="18"/>
  <c r="Y88" i="18"/>
  <c r="Q88" i="18"/>
  <c r="AA87" i="18"/>
  <c r="S87" i="18"/>
  <c r="AC86" i="18"/>
  <c r="U86" i="18"/>
  <c r="M86" i="18"/>
  <c r="W85" i="18"/>
  <c r="O85" i="18"/>
  <c r="Y84" i="18"/>
  <c r="Q84" i="18"/>
  <c r="AC82" i="18"/>
  <c r="U82" i="18"/>
  <c r="M82" i="18"/>
  <c r="W81" i="18"/>
  <c r="O81" i="18"/>
  <c r="Y80" i="18"/>
  <c r="Q80" i="18"/>
  <c r="AA79" i="18"/>
  <c r="S79" i="18"/>
  <c r="AC78" i="18"/>
  <c r="U78" i="18"/>
  <c r="M78" i="18"/>
  <c r="W77" i="18"/>
  <c r="O77" i="18"/>
  <c r="AC75" i="18"/>
  <c r="U75" i="18"/>
  <c r="M75" i="18"/>
  <c r="W74" i="18"/>
  <c r="O74" i="18"/>
  <c r="Y73" i="18"/>
  <c r="Q73" i="18"/>
  <c r="AA72" i="18"/>
  <c r="S72" i="18"/>
  <c r="AC71" i="18"/>
  <c r="U71" i="18"/>
  <c r="M71" i="18"/>
  <c r="W70" i="18"/>
  <c r="O70" i="18"/>
  <c r="AA68" i="18"/>
  <c r="S68" i="18"/>
  <c r="AC67" i="18"/>
  <c r="U67" i="18"/>
  <c r="M67" i="18"/>
  <c r="W66" i="18"/>
  <c r="O66" i="18"/>
  <c r="Y65" i="18"/>
  <c r="Q65" i="18"/>
  <c r="AC63" i="18"/>
  <c r="U63" i="18"/>
  <c r="M63" i="18"/>
  <c r="W62" i="18"/>
  <c r="O62" i="18"/>
  <c r="Y61" i="18"/>
  <c r="Q61" i="18"/>
  <c r="AA60" i="18"/>
  <c r="S60" i="18"/>
  <c r="AC59" i="18"/>
  <c r="U59" i="18"/>
  <c r="M59" i="18"/>
  <c r="W58" i="18"/>
  <c r="O58" i="18"/>
  <c r="Y57" i="18"/>
  <c r="Q57" i="18"/>
  <c r="AA56" i="18"/>
  <c r="S56" i="18"/>
  <c r="AC55" i="18"/>
  <c r="U55" i="18"/>
  <c r="M55" i="18"/>
  <c r="W54" i="18"/>
  <c r="O54" i="18"/>
  <c r="Y53" i="18"/>
  <c r="Q53" i="18"/>
  <c r="AA52" i="18"/>
  <c r="S52" i="18"/>
  <c r="AC51" i="18"/>
  <c r="U51" i="18"/>
  <c r="M51" i="18"/>
  <c r="W50" i="18"/>
  <c r="O50" i="18"/>
  <c r="Y49" i="18"/>
  <c r="Q49" i="18"/>
  <c r="AA48" i="18"/>
  <c r="F97" i="18"/>
  <c r="H97" i="18"/>
  <c r="J97" i="18"/>
  <c r="L97" i="18"/>
  <c r="N97" i="18"/>
  <c r="P97" i="18"/>
  <c r="R97" i="18"/>
  <c r="T97" i="18"/>
  <c r="V97" i="18"/>
  <c r="X97" i="18"/>
  <c r="Z97" i="18"/>
  <c r="AB97" i="18"/>
  <c r="AD97" i="18"/>
  <c r="F95" i="18"/>
  <c r="H95" i="18"/>
  <c r="J95" i="18"/>
  <c r="L95" i="18"/>
  <c r="N95" i="18"/>
  <c r="P95" i="18"/>
  <c r="R95" i="18"/>
  <c r="T95" i="18"/>
  <c r="V95" i="18"/>
  <c r="X95" i="18"/>
  <c r="Z95" i="18"/>
  <c r="AB95" i="18"/>
  <c r="AD95" i="18"/>
  <c r="F94" i="18"/>
  <c r="H94" i="18"/>
  <c r="J94" i="18"/>
  <c r="L94" i="18"/>
  <c r="N94" i="18"/>
  <c r="P94" i="18"/>
  <c r="R94" i="18"/>
  <c r="T94" i="18"/>
  <c r="V94" i="18"/>
  <c r="X94" i="18"/>
  <c r="Z94" i="18"/>
  <c r="AB94" i="18"/>
  <c r="AD94" i="18"/>
  <c r="F93" i="18"/>
  <c r="H93" i="18"/>
  <c r="J93" i="18"/>
  <c r="L93" i="18"/>
  <c r="N93" i="18"/>
  <c r="P93" i="18"/>
  <c r="R93" i="18"/>
  <c r="T93" i="18"/>
  <c r="V93" i="18"/>
  <c r="X93" i="18"/>
  <c r="Z93" i="18"/>
  <c r="AB93" i="18"/>
  <c r="AD93" i="18"/>
  <c r="F92" i="18"/>
  <c r="H92" i="18"/>
  <c r="J92" i="18"/>
  <c r="L92" i="18"/>
  <c r="N92" i="18"/>
  <c r="P92" i="18"/>
  <c r="R92" i="18"/>
  <c r="T92" i="18"/>
  <c r="V92" i="18"/>
  <c r="X92" i="18"/>
  <c r="Z92" i="18"/>
  <c r="AB92" i="18"/>
  <c r="AD92" i="18"/>
  <c r="F91" i="18"/>
  <c r="H91" i="18"/>
  <c r="J91" i="18"/>
  <c r="L91" i="18"/>
  <c r="N91" i="18"/>
  <c r="P91" i="18"/>
  <c r="R91" i="18"/>
  <c r="T91" i="18"/>
  <c r="V91" i="18"/>
  <c r="X91" i="18"/>
  <c r="Z91" i="18"/>
  <c r="AB91" i="18"/>
  <c r="AD91" i="18"/>
  <c r="F90" i="18"/>
  <c r="H90" i="18"/>
  <c r="J90" i="18"/>
  <c r="L90" i="18"/>
  <c r="N90" i="18"/>
  <c r="P90" i="18"/>
  <c r="R90" i="18"/>
  <c r="T90" i="18"/>
  <c r="V90" i="18"/>
  <c r="X90" i="18"/>
  <c r="Z90" i="18"/>
  <c r="AB90" i="18"/>
  <c r="AD90" i="18"/>
  <c r="F89" i="18"/>
  <c r="H89" i="18"/>
  <c r="J89" i="18"/>
  <c r="L89" i="18"/>
  <c r="N89" i="18"/>
  <c r="P89" i="18"/>
  <c r="R89" i="18"/>
  <c r="T89" i="18"/>
  <c r="V89" i="18"/>
  <c r="X89" i="18"/>
  <c r="Z89" i="18"/>
  <c r="AB89" i="18"/>
  <c r="AD89" i="18"/>
  <c r="F88" i="18"/>
  <c r="H88" i="18"/>
  <c r="J88" i="18"/>
  <c r="L88" i="18"/>
  <c r="N88" i="18"/>
  <c r="P88" i="18"/>
  <c r="R88" i="18"/>
  <c r="T88" i="18"/>
  <c r="V88" i="18"/>
  <c r="X88" i="18"/>
  <c r="Z88" i="18"/>
  <c r="AB88" i="18"/>
  <c r="AD88" i="18"/>
  <c r="F87" i="18"/>
  <c r="H87" i="18"/>
  <c r="J87" i="18"/>
  <c r="L87" i="18"/>
  <c r="N87" i="18"/>
  <c r="P87" i="18"/>
  <c r="R87" i="18"/>
  <c r="T87" i="18"/>
  <c r="V87" i="18"/>
  <c r="X87" i="18"/>
  <c r="Z87" i="18"/>
  <c r="AB87" i="18"/>
  <c r="AD87" i="18"/>
  <c r="F86" i="18"/>
  <c r="H86" i="18"/>
  <c r="J86" i="18"/>
  <c r="L86" i="18"/>
  <c r="N86" i="18"/>
  <c r="P86" i="18"/>
  <c r="R86" i="18"/>
  <c r="T86" i="18"/>
  <c r="V86" i="18"/>
  <c r="X86" i="18"/>
  <c r="Z86" i="18"/>
  <c r="AB86" i="18"/>
  <c r="AD86" i="18"/>
  <c r="F85" i="18"/>
  <c r="H85" i="18"/>
  <c r="J85" i="18"/>
  <c r="L85" i="18"/>
  <c r="N85" i="18"/>
  <c r="P85" i="18"/>
  <c r="R85" i="18"/>
  <c r="T85" i="18"/>
  <c r="V85" i="18"/>
  <c r="X85" i="18"/>
  <c r="Z85" i="18"/>
  <c r="AB85" i="18"/>
  <c r="AD85" i="18"/>
  <c r="F84" i="18"/>
  <c r="H84" i="18"/>
  <c r="J84" i="18"/>
  <c r="L84" i="18"/>
  <c r="N84" i="18"/>
  <c r="P84" i="18"/>
  <c r="R84" i="18"/>
  <c r="T84" i="18"/>
  <c r="V84" i="18"/>
  <c r="X84" i="18"/>
  <c r="Z84" i="18"/>
  <c r="AB84" i="18"/>
  <c r="AD84" i="18"/>
  <c r="F83" i="18"/>
  <c r="H83" i="18"/>
  <c r="J83" i="18"/>
  <c r="L83" i="18"/>
  <c r="N83" i="18"/>
  <c r="P83" i="18"/>
  <c r="R83" i="18"/>
  <c r="T83" i="18"/>
  <c r="V83" i="18"/>
  <c r="X83" i="18"/>
  <c r="Z83" i="18"/>
  <c r="AB83" i="18"/>
  <c r="AD83" i="18"/>
  <c r="F82" i="18"/>
  <c r="H82" i="18"/>
  <c r="J82" i="18"/>
  <c r="L82" i="18"/>
  <c r="N82" i="18"/>
  <c r="P82" i="18"/>
  <c r="R82" i="18"/>
  <c r="T82" i="18"/>
  <c r="V82" i="18"/>
  <c r="X82" i="18"/>
  <c r="Z82" i="18"/>
  <c r="AB82" i="18"/>
  <c r="AD82" i="18"/>
  <c r="F81" i="18"/>
  <c r="H81" i="18"/>
  <c r="J81" i="18"/>
  <c r="L81" i="18"/>
  <c r="N81" i="18"/>
  <c r="P81" i="18"/>
  <c r="R81" i="18"/>
  <c r="T81" i="18"/>
  <c r="V81" i="18"/>
  <c r="X81" i="18"/>
  <c r="Z81" i="18"/>
  <c r="AB81" i="18"/>
  <c r="AD81" i="18"/>
  <c r="F80" i="18"/>
  <c r="H80" i="18"/>
  <c r="J80" i="18"/>
  <c r="L80" i="18"/>
  <c r="N80" i="18"/>
  <c r="P80" i="18"/>
  <c r="R80" i="18"/>
  <c r="T80" i="18"/>
  <c r="V80" i="18"/>
  <c r="X80" i="18"/>
  <c r="Z80" i="18"/>
  <c r="AB80" i="18"/>
  <c r="AD80" i="18"/>
  <c r="F79" i="18"/>
  <c r="H79" i="18"/>
  <c r="J79" i="18"/>
  <c r="L79" i="18"/>
  <c r="N79" i="18"/>
  <c r="P79" i="18"/>
  <c r="R79" i="18"/>
  <c r="T79" i="18"/>
  <c r="V79" i="18"/>
  <c r="X79" i="18"/>
  <c r="Z79" i="18"/>
  <c r="AB79" i="18"/>
  <c r="AD79" i="18"/>
  <c r="F78" i="18"/>
  <c r="H78" i="18"/>
  <c r="J78" i="18"/>
  <c r="L78" i="18"/>
  <c r="N78" i="18"/>
  <c r="P78" i="18"/>
  <c r="R78" i="18"/>
  <c r="T78" i="18"/>
  <c r="V78" i="18"/>
  <c r="X78" i="18"/>
  <c r="Z78" i="18"/>
  <c r="AB78" i="18"/>
  <c r="AD78" i="18"/>
  <c r="F77" i="18"/>
  <c r="H77" i="18"/>
  <c r="J77" i="18"/>
  <c r="L77" i="18"/>
  <c r="N77" i="18"/>
  <c r="P77" i="18"/>
  <c r="R77" i="18"/>
  <c r="T77" i="18"/>
  <c r="V77" i="18"/>
  <c r="X77" i="18"/>
  <c r="Z77" i="18"/>
  <c r="AB77" i="18"/>
  <c r="AD77" i="18"/>
  <c r="F76" i="18"/>
  <c r="H76" i="18"/>
  <c r="J76" i="18"/>
  <c r="L76" i="18"/>
  <c r="N76" i="18"/>
  <c r="P76" i="18"/>
  <c r="R76" i="18"/>
  <c r="T76" i="18"/>
  <c r="V76" i="18"/>
  <c r="X76" i="18"/>
  <c r="Z76" i="18"/>
  <c r="AB76" i="18"/>
  <c r="AD76" i="18"/>
  <c r="F75" i="18"/>
  <c r="H75" i="18"/>
  <c r="J75" i="18"/>
  <c r="L75" i="18"/>
  <c r="N75" i="18"/>
  <c r="P75" i="18"/>
  <c r="R75" i="18"/>
  <c r="T75" i="18"/>
  <c r="V75" i="18"/>
  <c r="X75" i="18"/>
  <c r="Z75" i="18"/>
  <c r="AB75" i="18"/>
  <c r="AD75" i="18"/>
  <c r="F74" i="18"/>
  <c r="H74" i="18"/>
  <c r="J74" i="18"/>
  <c r="L74" i="18"/>
  <c r="N74" i="18"/>
  <c r="P74" i="18"/>
  <c r="R74" i="18"/>
  <c r="T74" i="18"/>
  <c r="V74" i="18"/>
  <c r="X74" i="18"/>
  <c r="Z74" i="18"/>
  <c r="AB74" i="18"/>
  <c r="AD74" i="18"/>
  <c r="F73" i="18"/>
  <c r="H73" i="18"/>
  <c r="J73" i="18"/>
  <c r="L73" i="18"/>
  <c r="N73" i="18"/>
  <c r="P73" i="18"/>
  <c r="R73" i="18"/>
  <c r="T73" i="18"/>
  <c r="V73" i="18"/>
  <c r="X73" i="18"/>
  <c r="Z73" i="18"/>
  <c r="AB73" i="18"/>
  <c r="AD73" i="18"/>
  <c r="F72" i="18"/>
  <c r="H72" i="18"/>
  <c r="J72" i="18"/>
  <c r="L72" i="18"/>
  <c r="N72" i="18"/>
  <c r="P72" i="18"/>
  <c r="R72" i="18"/>
  <c r="T72" i="18"/>
  <c r="V72" i="18"/>
  <c r="X72" i="18"/>
  <c r="Z72" i="18"/>
  <c r="AB72" i="18"/>
  <c r="AD72" i="18"/>
  <c r="F71" i="18"/>
  <c r="H71" i="18"/>
  <c r="J71" i="18"/>
  <c r="L71" i="18"/>
  <c r="N71" i="18"/>
  <c r="P71" i="18"/>
  <c r="R71" i="18"/>
  <c r="T71" i="18"/>
  <c r="V71" i="18"/>
  <c r="X71" i="18"/>
  <c r="Z71" i="18"/>
  <c r="AB71" i="18"/>
  <c r="AD71" i="18"/>
  <c r="F70" i="18"/>
  <c r="H70" i="18"/>
  <c r="J70" i="18"/>
  <c r="L70" i="18"/>
  <c r="N70" i="18"/>
  <c r="P70" i="18"/>
  <c r="R70" i="18"/>
  <c r="T70" i="18"/>
  <c r="V70" i="18"/>
  <c r="X70" i="18"/>
  <c r="Z70" i="18"/>
  <c r="AB70" i="18"/>
  <c r="AD70" i="18"/>
  <c r="F69" i="18"/>
  <c r="H69" i="18"/>
  <c r="J69" i="18"/>
  <c r="L69" i="18"/>
  <c r="N69" i="18"/>
  <c r="P69" i="18"/>
  <c r="R69" i="18"/>
  <c r="T69" i="18"/>
  <c r="V69" i="18"/>
  <c r="X69" i="18"/>
  <c r="Z69" i="18"/>
  <c r="AB69" i="18"/>
  <c r="AD69" i="18"/>
  <c r="F68" i="18"/>
  <c r="H68" i="18"/>
  <c r="J68" i="18"/>
  <c r="L68" i="18"/>
  <c r="N68" i="18"/>
  <c r="P68" i="18"/>
  <c r="R68" i="18"/>
  <c r="T68" i="18"/>
  <c r="V68" i="18"/>
  <c r="X68" i="18"/>
  <c r="Z68" i="18"/>
  <c r="AB68" i="18"/>
  <c r="AD68" i="18"/>
  <c r="F67" i="18"/>
  <c r="H67" i="18"/>
  <c r="J67" i="18"/>
  <c r="L67" i="18"/>
  <c r="N67" i="18"/>
  <c r="P67" i="18"/>
  <c r="R67" i="18"/>
  <c r="T67" i="18"/>
  <c r="V67" i="18"/>
  <c r="X67" i="18"/>
  <c r="Z67" i="18"/>
  <c r="AB67" i="18"/>
  <c r="AD67" i="18"/>
  <c r="F66" i="18"/>
  <c r="H66" i="18"/>
  <c r="J66" i="18"/>
  <c r="L66" i="18"/>
  <c r="N66" i="18"/>
  <c r="P66" i="18"/>
  <c r="R66" i="18"/>
  <c r="T66" i="18"/>
  <c r="V66" i="18"/>
  <c r="X66" i="18"/>
  <c r="Z66" i="18"/>
  <c r="AB66" i="18"/>
  <c r="AD66" i="18"/>
  <c r="F65" i="18"/>
  <c r="H65" i="18"/>
  <c r="J65" i="18"/>
  <c r="L65" i="18"/>
  <c r="N65" i="18"/>
  <c r="P65" i="18"/>
  <c r="R65" i="18"/>
  <c r="T65" i="18"/>
  <c r="V65" i="18"/>
  <c r="X65" i="18"/>
  <c r="Z65" i="18"/>
  <c r="AB65" i="18"/>
  <c r="AD65" i="18"/>
  <c r="F64" i="18"/>
  <c r="H64" i="18"/>
  <c r="J64" i="18"/>
  <c r="L64" i="18"/>
  <c r="N64" i="18"/>
  <c r="P64" i="18"/>
  <c r="R64" i="18"/>
  <c r="T64" i="18"/>
  <c r="V64" i="18"/>
  <c r="X64" i="18"/>
  <c r="Z64" i="18"/>
  <c r="AB64" i="18"/>
  <c r="AD64" i="18"/>
  <c r="F63" i="18"/>
  <c r="H63" i="18"/>
  <c r="J63" i="18"/>
  <c r="L63" i="18"/>
  <c r="N63" i="18"/>
  <c r="P63" i="18"/>
  <c r="R63" i="18"/>
  <c r="T63" i="18"/>
  <c r="V63" i="18"/>
  <c r="X63" i="18"/>
  <c r="Z63" i="18"/>
  <c r="AB63" i="18"/>
  <c r="AD63" i="18"/>
  <c r="F62" i="18"/>
  <c r="H62" i="18"/>
  <c r="J62" i="18"/>
  <c r="L62" i="18"/>
  <c r="N62" i="18"/>
  <c r="P62" i="18"/>
  <c r="R62" i="18"/>
  <c r="T62" i="18"/>
  <c r="V62" i="18"/>
  <c r="X62" i="18"/>
  <c r="Z62" i="18"/>
  <c r="AB62" i="18"/>
  <c r="AD62" i="18"/>
  <c r="F61" i="18"/>
  <c r="H61" i="18"/>
  <c r="J61" i="18"/>
  <c r="L61" i="18"/>
  <c r="N61" i="18"/>
  <c r="P61" i="18"/>
  <c r="R61" i="18"/>
  <c r="T61" i="18"/>
  <c r="V61" i="18"/>
  <c r="X61" i="18"/>
  <c r="Z61" i="18"/>
  <c r="AB61" i="18"/>
  <c r="AD61" i="18"/>
  <c r="F60" i="18"/>
  <c r="H60" i="18"/>
  <c r="J60" i="18"/>
  <c r="L60" i="18"/>
  <c r="N60" i="18"/>
  <c r="P60" i="18"/>
  <c r="R60" i="18"/>
  <c r="T60" i="18"/>
  <c r="V60" i="18"/>
  <c r="X60" i="18"/>
  <c r="Z60" i="18"/>
  <c r="AB60" i="18"/>
  <c r="AD60" i="18"/>
  <c r="F59" i="18"/>
  <c r="H59" i="18"/>
  <c r="J59" i="18"/>
  <c r="L59" i="18"/>
  <c r="N59" i="18"/>
  <c r="P59" i="18"/>
  <c r="R59" i="18"/>
  <c r="T59" i="18"/>
  <c r="V59" i="18"/>
  <c r="X59" i="18"/>
  <c r="Z59" i="18"/>
  <c r="AB59" i="18"/>
  <c r="AD59" i="18"/>
  <c r="F58" i="18"/>
  <c r="H58" i="18"/>
  <c r="J58" i="18"/>
  <c r="L58" i="18"/>
  <c r="N58" i="18"/>
  <c r="P58" i="18"/>
  <c r="R58" i="18"/>
  <c r="T58" i="18"/>
  <c r="V58" i="18"/>
  <c r="X58" i="18"/>
  <c r="Z58" i="18"/>
  <c r="AB58" i="18"/>
  <c r="AD58" i="18"/>
  <c r="F57" i="18"/>
  <c r="H57" i="18"/>
  <c r="J57" i="18"/>
  <c r="L57" i="18"/>
  <c r="N57" i="18"/>
  <c r="P57" i="18"/>
  <c r="R57" i="18"/>
  <c r="T57" i="18"/>
  <c r="V57" i="18"/>
  <c r="X57" i="18"/>
  <c r="Z57" i="18"/>
  <c r="AB57" i="18"/>
  <c r="AD57" i="18"/>
  <c r="F56" i="18"/>
  <c r="H56" i="18"/>
  <c r="J56" i="18"/>
  <c r="L56" i="18"/>
  <c r="N56" i="18"/>
  <c r="P56" i="18"/>
  <c r="R56" i="18"/>
  <c r="T56" i="18"/>
  <c r="V56" i="18"/>
  <c r="X56" i="18"/>
  <c r="Z56" i="18"/>
  <c r="AB56" i="18"/>
  <c r="AD56" i="18"/>
  <c r="F55" i="18"/>
  <c r="H55" i="18"/>
  <c r="J55" i="18"/>
  <c r="L55" i="18"/>
  <c r="N55" i="18"/>
  <c r="P55" i="18"/>
  <c r="R55" i="18"/>
  <c r="T55" i="18"/>
  <c r="V55" i="18"/>
  <c r="X55" i="18"/>
  <c r="Z55" i="18"/>
  <c r="AB55" i="18"/>
  <c r="AD55" i="18"/>
  <c r="F54" i="18"/>
  <c r="H54" i="18"/>
  <c r="J54" i="18"/>
  <c r="L54" i="18"/>
  <c r="N54" i="18"/>
  <c r="P54" i="18"/>
  <c r="R54" i="18"/>
  <c r="T54" i="18"/>
  <c r="V54" i="18"/>
  <c r="X54" i="18"/>
  <c r="Z54" i="18"/>
  <c r="AB54" i="18"/>
  <c r="AD54" i="18"/>
  <c r="F53" i="18"/>
  <c r="H53" i="18"/>
  <c r="J53" i="18"/>
  <c r="L53" i="18"/>
  <c r="N53" i="18"/>
  <c r="P53" i="18"/>
  <c r="R53" i="18"/>
  <c r="T53" i="18"/>
  <c r="V53" i="18"/>
  <c r="X53" i="18"/>
  <c r="Z53" i="18"/>
  <c r="AB53" i="18"/>
  <c r="AD53" i="18"/>
  <c r="F52" i="18"/>
  <c r="H52" i="18"/>
  <c r="J52" i="18"/>
  <c r="L52" i="18"/>
  <c r="N52" i="18"/>
  <c r="P52" i="18"/>
  <c r="R52" i="18"/>
  <c r="T52" i="18"/>
  <c r="V52" i="18"/>
  <c r="X52" i="18"/>
  <c r="Z52" i="18"/>
  <c r="AB52" i="18"/>
  <c r="AD52" i="18"/>
  <c r="F51" i="18"/>
  <c r="H51" i="18"/>
  <c r="J51" i="18"/>
  <c r="L51" i="18"/>
  <c r="N51" i="18"/>
  <c r="P51" i="18"/>
  <c r="R51" i="18"/>
  <c r="T51" i="18"/>
  <c r="V51" i="18"/>
  <c r="X51" i="18"/>
  <c r="Z51" i="18"/>
  <c r="AB51" i="18"/>
  <c r="AD51" i="18"/>
  <c r="F50" i="18"/>
  <c r="H50" i="18"/>
  <c r="J50" i="18"/>
  <c r="L50" i="18"/>
  <c r="N50" i="18"/>
  <c r="P50" i="18"/>
  <c r="R50" i="18"/>
  <c r="T50" i="18"/>
  <c r="V50" i="18"/>
  <c r="X50" i="18"/>
  <c r="Z50" i="18"/>
  <c r="AB50" i="18"/>
  <c r="AD50" i="18"/>
  <c r="F49" i="18"/>
  <c r="H49" i="18"/>
  <c r="J49" i="18"/>
  <c r="L49" i="18"/>
  <c r="N49" i="18"/>
  <c r="P49" i="18"/>
  <c r="R49" i="18"/>
  <c r="T49" i="18"/>
  <c r="V49" i="18"/>
  <c r="X49" i="18"/>
  <c r="Z49" i="18"/>
  <c r="AB49" i="18"/>
  <c r="AD49" i="18"/>
  <c r="E48" i="18"/>
  <c r="G48" i="18"/>
  <c r="I48" i="18"/>
  <c r="K48" i="18"/>
  <c r="M48" i="18"/>
  <c r="O48" i="18"/>
  <c r="Q48" i="18"/>
  <c r="F48" i="18"/>
  <c r="H48" i="18"/>
  <c r="J48" i="18"/>
  <c r="L48" i="18"/>
  <c r="N48" i="18"/>
  <c r="P48" i="18"/>
  <c r="R48" i="18"/>
  <c r="T48" i="18"/>
  <c r="V48" i="18"/>
  <c r="X48" i="18"/>
  <c r="Z48" i="18"/>
  <c r="AB48" i="18"/>
  <c r="AD48" i="18"/>
  <c r="E47" i="18"/>
  <c r="G47" i="18"/>
  <c r="I47" i="18"/>
  <c r="K47" i="18"/>
  <c r="M47" i="18"/>
  <c r="O47" i="18"/>
  <c r="Q47" i="18"/>
  <c r="S47" i="18"/>
  <c r="U47" i="18"/>
  <c r="W47" i="18"/>
  <c r="Y47" i="18"/>
  <c r="AA47" i="18"/>
  <c r="AC47" i="18"/>
  <c r="F47" i="18"/>
  <c r="H47" i="18"/>
  <c r="J47" i="18"/>
  <c r="L47" i="18"/>
  <c r="N47" i="18"/>
  <c r="P47" i="18"/>
  <c r="R47" i="18"/>
  <c r="T47" i="18"/>
  <c r="V47" i="18"/>
  <c r="X47" i="18"/>
  <c r="Z47" i="18"/>
  <c r="AB47" i="18"/>
  <c r="AD47" i="18"/>
  <c r="F46" i="18"/>
  <c r="H46" i="18"/>
  <c r="J46" i="18"/>
  <c r="L46" i="18"/>
  <c r="N46" i="18"/>
  <c r="P46" i="18"/>
  <c r="R46" i="18"/>
  <c r="T46" i="18"/>
  <c r="V46" i="18"/>
  <c r="X46" i="18"/>
  <c r="E46" i="18"/>
  <c r="I46" i="18"/>
  <c r="M46" i="18"/>
  <c r="Q46" i="18"/>
  <c r="U46" i="18"/>
  <c r="Y46" i="18"/>
  <c r="AA46" i="18"/>
  <c r="AC46" i="18"/>
  <c r="G46" i="18"/>
  <c r="K46" i="18"/>
  <c r="O46" i="18"/>
  <c r="S46" i="18"/>
  <c r="W46" i="18"/>
  <c r="Z46" i="18"/>
  <c r="AB46" i="18"/>
  <c r="AD46" i="18"/>
  <c r="F45" i="18"/>
  <c r="H45" i="18"/>
  <c r="J45" i="18"/>
  <c r="L45" i="18"/>
  <c r="N45" i="18"/>
  <c r="P45" i="18"/>
  <c r="R45" i="18"/>
  <c r="T45" i="18"/>
  <c r="V45" i="18"/>
  <c r="X45" i="18"/>
  <c r="Z45" i="18"/>
  <c r="AB45" i="18"/>
  <c r="AD45" i="18"/>
  <c r="G45" i="18"/>
  <c r="K45" i="18"/>
  <c r="O45" i="18"/>
  <c r="S45" i="18"/>
  <c r="W45" i="18"/>
  <c r="AA45" i="18"/>
  <c r="E45" i="18"/>
  <c r="I45" i="18"/>
  <c r="M45" i="18"/>
  <c r="Q45" i="18"/>
  <c r="U45" i="18"/>
  <c r="Y45" i="18"/>
  <c r="AC45" i="18"/>
  <c r="F44" i="18"/>
  <c r="H44" i="18"/>
  <c r="J44" i="18"/>
  <c r="L44" i="18"/>
  <c r="N44" i="18"/>
  <c r="P44" i="18"/>
  <c r="R44" i="18"/>
  <c r="T44" i="18"/>
  <c r="V44" i="18"/>
  <c r="X44" i="18"/>
  <c r="Z44" i="18"/>
  <c r="AB44" i="18"/>
  <c r="AD44" i="18"/>
  <c r="E44" i="18"/>
  <c r="I44" i="18"/>
  <c r="M44" i="18"/>
  <c r="Q44" i="18"/>
  <c r="U44" i="18"/>
  <c r="Y44" i="18"/>
  <c r="AC44" i="18"/>
  <c r="G44" i="18"/>
  <c r="K44" i="18"/>
  <c r="O44" i="18"/>
  <c r="S44" i="18"/>
  <c r="W44" i="18"/>
  <c r="AA44" i="18"/>
  <c r="F43" i="18"/>
  <c r="H43" i="18"/>
  <c r="J43" i="18"/>
  <c r="L43" i="18"/>
  <c r="N43" i="18"/>
  <c r="P43" i="18"/>
  <c r="R43" i="18"/>
  <c r="T43" i="18"/>
  <c r="V43" i="18"/>
  <c r="X43" i="18"/>
  <c r="Z43" i="18"/>
  <c r="AB43" i="18"/>
  <c r="AD43" i="18"/>
  <c r="G43" i="18"/>
  <c r="K43" i="18"/>
  <c r="O43" i="18"/>
  <c r="S43" i="18"/>
  <c r="W43" i="18"/>
  <c r="AA43" i="18"/>
  <c r="E43" i="18"/>
  <c r="I43" i="18"/>
  <c r="M43" i="18"/>
  <c r="Q43" i="18"/>
  <c r="U43" i="18"/>
  <c r="Y43" i="18"/>
  <c r="AC43" i="18"/>
  <c r="F42" i="18"/>
  <c r="H42" i="18"/>
  <c r="J42" i="18"/>
  <c r="L42" i="18"/>
  <c r="N42" i="18"/>
  <c r="P42" i="18"/>
  <c r="R42" i="18"/>
  <c r="T42" i="18"/>
  <c r="V42" i="18"/>
  <c r="X42" i="18"/>
  <c r="Z42" i="18"/>
  <c r="AB42" i="18"/>
  <c r="AD42" i="18"/>
  <c r="E42" i="18"/>
  <c r="I42" i="18"/>
  <c r="M42" i="18"/>
  <c r="Q42" i="18"/>
  <c r="U42" i="18"/>
  <c r="Y42" i="18"/>
  <c r="AC42" i="18"/>
  <c r="G42" i="18"/>
  <c r="K42" i="18"/>
  <c r="O42" i="18"/>
  <c r="S42" i="18"/>
  <c r="W42" i="18"/>
  <c r="AA42" i="18"/>
  <c r="F41" i="18"/>
  <c r="H41" i="18"/>
  <c r="J41" i="18"/>
  <c r="L41" i="18"/>
  <c r="N41" i="18"/>
  <c r="P41" i="18"/>
  <c r="R41" i="18"/>
  <c r="T41" i="18"/>
  <c r="V41" i="18"/>
  <c r="X41" i="18"/>
  <c r="Z41" i="18"/>
  <c r="AB41" i="18"/>
  <c r="AD41" i="18"/>
  <c r="E41" i="18"/>
  <c r="I41" i="18"/>
  <c r="M41" i="18"/>
  <c r="Q41" i="18"/>
  <c r="U41" i="18"/>
  <c r="Y41" i="18"/>
  <c r="AC41" i="18"/>
  <c r="G41" i="18"/>
  <c r="K41" i="18"/>
  <c r="O41" i="18"/>
  <c r="S41" i="18"/>
  <c r="W41" i="18"/>
  <c r="AA41" i="18"/>
  <c r="F40" i="18"/>
  <c r="H40" i="18"/>
  <c r="J40" i="18"/>
  <c r="L40" i="18"/>
  <c r="N40" i="18"/>
  <c r="P40" i="18"/>
  <c r="R40" i="18"/>
  <c r="T40" i="18"/>
  <c r="V40" i="18"/>
  <c r="X40" i="18"/>
  <c r="Z40" i="18"/>
  <c r="AB40" i="18"/>
  <c r="AD40" i="18"/>
  <c r="G40" i="18"/>
  <c r="K40" i="18"/>
  <c r="O40" i="18"/>
  <c r="S40" i="18"/>
  <c r="W40" i="18"/>
  <c r="AA40" i="18"/>
  <c r="E40" i="18"/>
  <c r="I40" i="18"/>
  <c r="M40" i="18"/>
  <c r="Q40" i="18"/>
  <c r="U40" i="18"/>
  <c r="Y40" i="18"/>
  <c r="AC40" i="18"/>
  <c r="F39" i="18"/>
  <c r="H39" i="18"/>
  <c r="J39" i="18"/>
  <c r="L39" i="18"/>
  <c r="N39" i="18"/>
  <c r="P39" i="18"/>
  <c r="R39" i="18"/>
  <c r="T39" i="18"/>
  <c r="V39" i="18"/>
  <c r="X39" i="18"/>
  <c r="Z39" i="18"/>
  <c r="AB39" i="18"/>
  <c r="AD39" i="18"/>
  <c r="E39" i="18"/>
  <c r="I39" i="18"/>
  <c r="M39" i="18"/>
  <c r="Q39" i="18"/>
  <c r="U39" i="18"/>
  <c r="Y39" i="18"/>
  <c r="AC39" i="18"/>
  <c r="G39" i="18"/>
  <c r="K39" i="18"/>
  <c r="O39" i="18"/>
  <c r="S39" i="18"/>
  <c r="W39" i="18"/>
  <c r="AA39" i="18"/>
  <c r="F38" i="18"/>
  <c r="H38" i="18"/>
  <c r="J38" i="18"/>
  <c r="L38" i="18"/>
  <c r="N38" i="18"/>
  <c r="P38" i="18"/>
  <c r="R38" i="18"/>
  <c r="T38" i="18"/>
  <c r="V38" i="18"/>
  <c r="X38" i="18"/>
  <c r="Z38" i="18"/>
  <c r="AB38" i="18"/>
  <c r="AD38" i="18"/>
  <c r="G38" i="18"/>
  <c r="K38" i="18"/>
  <c r="O38" i="18"/>
  <c r="S38" i="18"/>
  <c r="W38" i="18"/>
  <c r="AA38" i="18"/>
  <c r="E38" i="18"/>
  <c r="I38" i="18"/>
  <c r="M38" i="18"/>
  <c r="Q38" i="18"/>
  <c r="U38" i="18"/>
  <c r="Y38" i="18"/>
  <c r="AC38" i="18"/>
  <c r="F37" i="18"/>
  <c r="H37" i="18"/>
  <c r="J37" i="18"/>
  <c r="L37" i="18"/>
  <c r="N37" i="18"/>
  <c r="P37" i="18"/>
  <c r="R37" i="18"/>
  <c r="T37" i="18"/>
  <c r="V37" i="18"/>
  <c r="X37" i="18"/>
  <c r="Z37" i="18"/>
  <c r="AB37" i="18"/>
  <c r="AD37" i="18"/>
  <c r="E37" i="18"/>
  <c r="I37" i="18"/>
  <c r="M37" i="18"/>
  <c r="Q37" i="18"/>
  <c r="U37" i="18"/>
  <c r="Y37" i="18"/>
  <c r="AC37" i="18"/>
  <c r="G37" i="18"/>
  <c r="K37" i="18"/>
  <c r="O37" i="18"/>
  <c r="S37" i="18"/>
  <c r="W37" i="18"/>
  <c r="AA37" i="18"/>
  <c r="F36" i="18"/>
  <c r="H36" i="18"/>
  <c r="J36" i="18"/>
  <c r="L36" i="18"/>
  <c r="N36" i="18"/>
  <c r="P36" i="18"/>
  <c r="R36" i="18"/>
  <c r="T36" i="18"/>
  <c r="V36" i="18"/>
  <c r="X36" i="18"/>
  <c r="Z36" i="18"/>
  <c r="AB36" i="18"/>
  <c r="AD36" i="18"/>
  <c r="G36" i="18"/>
  <c r="K36" i="18"/>
  <c r="O36" i="18"/>
  <c r="S36" i="18"/>
  <c r="W36" i="18"/>
  <c r="AA36" i="18"/>
  <c r="E36" i="18"/>
  <c r="I36" i="18"/>
  <c r="M36" i="18"/>
  <c r="Q36" i="18"/>
  <c r="U36" i="18"/>
  <c r="Y36" i="18"/>
  <c r="AC36" i="18"/>
  <c r="F35" i="18"/>
  <c r="H35" i="18"/>
  <c r="J35" i="18"/>
  <c r="L35" i="18"/>
  <c r="N35" i="18"/>
  <c r="P35" i="18"/>
  <c r="R35" i="18"/>
  <c r="T35" i="18"/>
  <c r="V35" i="18"/>
  <c r="X35" i="18"/>
  <c r="Z35" i="18"/>
  <c r="AB35" i="18"/>
  <c r="AD35" i="18"/>
  <c r="E35" i="18"/>
  <c r="I35" i="18"/>
  <c r="M35" i="18"/>
  <c r="Q35" i="18"/>
  <c r="U35" i="18"/>
  <c r="Y35" i="18"/>
  <c r="AC35" i="18"/>
  <c r="G35" i="18"/>
  <c r="K35" i="18"/>
  <c r="O35" i="18"/>
  <c r="S35" i="18"/>
  <c r="W35" i="18"/>
  <c r="AA35" i="18"/>
  <c r="F34" i="18"/>
  <c r="H34" i="18"/>
  <c r="J34" i="18"/>
  <c r="L34" i="18"/>
  <c r="N34" i="18"/>
  <c r="P34" i="18"/>
  <c r="R34" i="18"/>
  <c r="T34" i="18"/>
  <c r="V34" i="18"/>
  <c r="X34" i="18"/>
  <c r="Z34" i="18"/>
  <c r="AB34" i="18"/>
  <c r="AD34" i="18"/>
  <c r="G34" i="18"/>
  <c r="K34" i="18"/>
  <c r="O34" i="18"/>
  <c r="S34" i="18"/>
  <c r="W34" i="18"/>
  <c r="AA34" i="18"/>
  <c r="E34" i="18"/>
  <c r="I34" i="18"/>
  <c r="M34" i="18"/>
  <c r="Q34" i="18"/>
  <c r="U34" i="18"/>
  <c r="Y34" i="18"/>
  <c r="AC34" i="18"/>
  <c r="F33" i="18"/>
  <c r="H33" i="18"/>
  <c r="J33" i="18"/>
  <c r="L33" i="18"/>
  <c r="N33" i="18"/>
  <c r="P33" i="18"/>
  <c r="R33" i="18"/>
  <c r="T33" i="18"/>
  <c r="V33" i="18"/>
  <c r="X33" i="18"/>
  <c r="Z33" i="18"/>
  <c r="AB33" i="18"/>
  <c r="AD33" i="18"/>
  <c r="E33" i="18"/>
  <c r="I33" i="18"/>
  <c r="M33" i="18"/>
  <c r="Q33" i="18"/>
  <c r="U33" i="18"/>
  <c r="Y33" i="18"/>
  <c r="AC33" i="18"/>
  <c r="G33" i="18"/>
  <c r="K33" i="18"/>
  <c r="O33" i="18"/>
  <c r="S33" i="18"/>
  <c r="W33" i="18"/>
  <c r="AA33" i="18"/>
  <c r="F32" i="18"/>
  <c r="H32" i="18"/>
  <c r="J32" i="18"/>
  <c r="L32" i="18"/>
  <c r="N32" i="18"/>
  <c r="P32" i="18"/>
  <c r="R32" i="18"/>
  <c r="T32" i="18"/>
  <c r="V32" i="18"/>
  <c r="X32" i="18"/>
  <c r="Z32" i="18"/>
  <c r="AB32" i="18"/>
  <c r="AD32" i="18"/>
  <c r="G32" i="18"/>
  <c r="K32" i="18"/>
  <c r="O32" i="18"/>
  <c r="S32" i="18"/>
  <c r="W32" i="18"/>
  <c r="AA32" i="18"/>
  <c r="E32" i="18"/>
  <c r="I32" i="18"/>
  <c r="M32" i="18"/>
  <c r="Q32" i="18"/>
  <c r="U32" i="18"/>
  <c r="Y32" i="18"/>
  <c r="AC32" i="18"/>
  <c r="F31" i="18"/>
  <c r="H31" i="18"/>
  <c r="J31" i="18"/>
  <c r="L31" i="18"/>
  <c r="N31" i="18"/>
  <c r="P31" i="18"/>
  <c r="R31" i="18"/>
  <c r="T31" i="18"/>
  <c r="V31" i="18"/>
  <c r="X31" i="18"/>
  <c r="Z31" i="18"/>
  <c r="AB31" i="18"/>
  <c r="AD31" i="18"/>
  <c r="E31" i="18"/>
  <c r="I31" i="18"/>
  <c r="M31" i="18"/>
  <c r="Q31" i="18"/>
  <c r="U31" i="18"/>
  <c r="Y31" i="18"/>
  <c r="AC31" i="18"/>
  <c r="G31" i="18"/>
  <c r="K31" i="18"/>
  <c r="O31" i="18"/>
  <c r="S31" i="18"/>
  <c r="W31" i="18"/>
  <c r="AA31" i="18"/>
  <c r="F30" i="18"/>
  <c r="H30" i="18"/>
  <c r="J30" i="18"/>
  <c r="L30" i="18"/>
  <c r="N30" i="18"/>
  <c r="P30" i="18"/>
  <c r="R30" i="18"/>
  <c r="T30" i="18"/>
  <c r="V30" i="18"/>
  <c r="X30" i="18"/>
  <c r="Z30" i="18"/>
  <c r="AB30" i="18"/>
  <c r="AD30" i="18"/>
  <c r="G30" i="18"/>
  <c r="K30" i="18"/>
  <c r="O30" i="18"/>
  <c r="S30" i="18"/>
  <c r="W30" i="18"/>
  <c r="AA30" i="18"/>
  <c r="E30" i="18"/>
  <c r="I30" i="18"/>
  <c r="M30" i="18"/>
  <c r="Q30" i="18"/>
  <c r="U30" i="18"/>
  <c r="Y30" i="18"/>
  <c r="AC30" i="18"/>
  <c r="F29" i="18"/>
  <c r="H29" i="18"/>
  <c r="J29" i="18"/>
  <c r="L29" i="18"/>
  <c r="N29" i="18"/>
  <c r="P29" i="18"/>
  <c r="R29" i="18"/>
  <c r="T29" i="18"/>
  <c r="V29" i="18"/>
  <c r="X29" i="18"/>
  <c r="Z29" i="18"/>
  <c r="AB29" i="18"/>
  <c r="AD29" i="18"/>
  <c r="E29" i="18"/>
  <c r="I29" i="18"/>
  <c r="M29" i="18"/>
  <c r="Q29" i="18"/>
  <c r="U29" i="18"/>
  <c r="Y29" i="18"/>
  <c r="AC29" i="18"/>
  <c r="G29" i="18"/>
  <c r="K29" i="18"/>
  <c r="O29" i="18"/>
  <c r="S29" i="18"/>
  <c r="W29" i="18"/>
  <c r="AA29" i="18"/>
  <c r="F28" i="18"/>
  <c r="H28" i="18"/>
  <c r="J28" i="18"/>
  <c r="L28" i="18"/>
  <c r="N28" i="18"/>
  <c r="P28" i="18"/>
  <c r="R28" i="18"/>
  <c r="T28" i="18"/>
  <c r="V28" i="18"/>
  <c r="X28" i="18"/>
  <c r="Z28" i="18"/>
  <c r="AB28" i="18"/>
  <c r="AD28" i="18"/>
  <c r="G28" i="18"/>
  <c r="K28" i="18"/>
  <c r="O28" i="18"/>
  <c r="S28" i="18"/>
  <c r="W28" i="18"/>
  <c r="AA28" i="18"/>
  <c r="E28" i="18"/>
  <c r="I28" i="18"/>
  <c r="M28" i="18"/>
  <c r="Q28" i="18"/>
  <c r="U28" i="18"/>
  <c r="Y28" i="18"/>
  <c r="AC28" i="18"/>
  <c r="F27" i="18"/>
  <c r="H27" i="18"/>
  <c r="J27" i="18"/>
  <c r="L27" i="18"/>
  <c r="N27" i="18"/>
  <c r="P27" i="18"/>
  <c r="R27" i="18"/>
  <c r="T27" i="18"/>
  <c r="V27" i="18"/>
  <c r="X27" i="18"/>
  <c r="Z27" i="18"/>
  <c r="AB27" i="18"/>
  <c r="AD27" i="18"/>
  <c r="E27" i="18"/>
  <c r="I27" i="18"/>
  <c r="M27" i="18"/>
  <c r="Q27" i="18"/>
  <c r="U27" i="18"/>
  <c r="Y27" i="18"/>
  <c r="AC27" i="18"/>
  <c r="G27" i="18"/>
  <c r="K27" i="18"/>
  <c r="O27" i="18"/>
  <c r="S27" i="18"/>
  <c r="W27" i="18"/>
  <c r="AA27" i="18"/>
  <c r="F26" i="18"/>
  <c r="H26" i="18"/>
  <c r="J26" i="18"/>
  <c r="L26" i="18"/>
  <c r="N26" i="18"/>
  <c r="P26" i="18"/>
  <c r="R26" i="18"/>
  <c r="T26" i="18"/>
  <c r="V26" i="18"/>
  <c r="X26" i="18"/>
  <c r="Z26" i="18"/>
  <c r="AB26" i="18"/>
  <c r="AD26" i="18"/>
  <c r="G26" i="18"/>
  <c r="K26" i="18"/>
  <c r="O26" i="18"/>
  <c r="S26" i="18"/>
  <c r="W26" i="18"/>
  <c r="AA26" i="18"/>
  <c r="E26" i="18"/>
  <c r="I26" i="18"/>
  <c r="M26" i="18"/>
  <c r="Q26" i="18"/>
  <c r="U26" i="18"/>
  <c r="Y26" i="18"/>
  <c r="AC26" i="18"/>
  <c r="F25" i="18"/>
  <c r="H25" i="18"/>
  <c r="J25" i="18"/>
  <c r="L25" i="18"/>
  <c r="N25" i="18"/>
  <c r="P25" i="18"/>
  <c r="R25" i="18"/>
  <c r="T25" i="18"/>
  <c r="V25" i="18"/>
  <c r="X25" i="18"/>
  <c r="Z25" i="18"/>
  <c r="AB25" i="18"/>
  <c r="AD25" i="18"/>
  <c r="E25" i="18"/>
  <c r="I25" i="18"/>
  <c r="M25" i="18"/>
  <c r="Q25" i="18"/>
  <c r="U25" i="18"/>
  <c r="Y25" i="18"/>
  <c r="AC25" i="18"/>
  <c r="G25" i="18"/>
  <c r="K25" i="18"/>
  <c r="O25" i="18"/>
  <c r="S25" i="18"/>
  <c r="W25" i="18"/>
  <c r="AA25" i="18"/>
  <c r="F24" i="18"/>
  <c r="H24" i="18"/>
  <c r="J24" i="18"/>
  <c r="L24" i="18"/>
  <c r="N24" i="18"/>
  <c r="P24" i="18"/>
  <c r="R24" i="18"/>
  <c r="T24" i="18"/>
  <c r="V24" i="18"/>
  <c r="X24" i="18"/>
  <c r="Z24" i="18"/>
  <c r="AB24" i="18"/>
  <c r="AD24" i="18"/>
  <c r="G24" i="18"/>
  <c r="K24" i="18"/>
  <c r="O24" i="18"/>
  <c r="S24" i="18"/>
  <c r="W24" i="18"/>
  <c r="AA24" i="18"/>
  <c r="E24" i="18"/>
  <c r="I24" i="18"/>
  <c r="M24" i="18"/>
  <c r="Q24" i="18"/>
  <c r="U24" i="18"/>
  <c r="Y24" i="18"/>
  <c r="AC24" i="18"/>
  <c r="F23" i="18"/>
  <c r="H23" i="18"/>
  <c r="J23" i="18"/>
  <c r="L23" i="18"/>
  <c r="N23" i="18"/>
  <c r="P23" i="18"/>
  <c r="R23" i="18"/>
  <c r="T23" i="18"/>
  <c r="V23" i="18"/>
  <c r="X23" i="18"/>
  <c r="Z23" i="18"/>
  <c r="AB23" i="18"/>
  <c r="AD23" i="18"/>
  <c r="E23" i="18"/>
  <c r="I23" i="18"/>
  <c r="M23" i="18"/>
  <c r="Q23" i="18"/>
  <c r="U23" i="18"/>
  <c r="Y23" i="18"/>
  <c r="AC23" i="18"/>
  <c r="G23" i="18"/>
  <c r="K23" i="18"/>
  <c r="O23" i="18"/>
  <c r="S23" i="18"/>
  <c r="W23" i="18"/>
  <c r="AA23" i="18"/>
  <c r="F22" i="18"/>
  <c r="H22" i="18"/>
  <c r="J22" i="18"/>
  <c r="L22" i="18"/>
  <c r="N22" i="18"/>
  <c r="P22" i="18"/>
  <c r="R22" i="18"/>
  <c r="T22" i="18"/>
  <c r="V22" i="18"/>
  <c r="X22" i="18"/>
  <c r="Z22" i="18"/>
  <c r="AB22" i="18"/>
  <c r="AD22" i="18"/>
  <c r="G22" i="18"/>
  <c r="K22" i="18"/>
  <c r="O22" i="18"/>
  <c r="S22" i="18"/>
  <c r="W22" i="18"/>
  <c r="AA22" i="18"/>
  <c r="E22" i="18"/>
  <c r="I22" i="18"/>
  <c r="M22" i="18"/>
  <c r="Q22" i="18"/>
  <c r="U22" i="18"/>
  <c r="Y22" i="18"/>
  <c r="AC22" i="18"/>
  <c r="F21" i="18"/>
  <c r="H21" i="18"/>
  <c r="J21" i="18"/>
  <c r="L21" i="18"/>
  <c r="N21" i="18"/>
  <c r="P21" i="18"/>
  <c r="R21" i="18"/>
  <c r="T21" i="18"/>
  <c r="V21" i="18"/>
  <c r="X21" i="18"/>
  <c r="Z21" i="18"/>
  <c r="AB21" i="18"/>
  <c r="AD21" i="18"/>
  <c r="E21" i="18"/>
  <c r="I21" i="18"/>
  <c r="M21" i="18"/>
  <c r="Q21" i="18"/>
  <c r="U21" i="18"/>
  <c r="Y21" i="18"/>
  <c r="AC21" i="18"/>
  <c r="G21" i="18"/>
  <c r="K21" i="18"/>
  <c r="O21" i="18"/>
  <c r="S21" i="18"/>
  <c r="W21" i="18"/>
  <c r="AA21" i="18"/>
  <c r="F20" i="18"/>
  <c r="H20" i="18"/>
  <c r="J20" i="18"/>
  <c r="L20" i="18"/>
  <c r="N20" i="18"/>
  <c r="P20" i="18"/>
  <c r="R20" i="18"/>
  <c r="T20" i="18"/>
  <c r="V20" i="18"/>
  <c r="X20" i="18"/>
  <c r="Z20" i="18"/>
  <c r="AB20" i="18"/>
  <c r="AD20" i="18"/>
  <c r="G20" i="18"/>
  <c r="K20" i="18"/>
  <c r="O20" i="18"/>
  <c r="S20" i="18"/>
  <c r="W20" i="18"/>
  <c r="AA20" i="18"/>
  <c r="E20" i="18"/>
  <c r="I20" i="18"/>
  <c r="M20" i="18"/>
  <c r="Q20" i="18"/>
  <c r="U20" i="18"/>
  <c r="Y20" i="18"/>
  <c r="AC20" i="18"/>
  <c r="F19" i="18"/>
  <c r="H19" i="18"/>
  <c r="J19" i="18"/>
  <c r="L19" i="18"/>
  <c r="N19" i="18"/>
  <c r="P19" i="18"/>
  <c r="R19" i="18"/>
  <c r="T19" i="18"/>
  <c r="V19" i="18"/>
  <c r="X19" i="18"/>
  <c r="Z19" i="18"/>
  <c r="AB19" i="18"/>
  <c r="AD19" i="18"/>
  <c r="E19" i="18"/>
  <c r="I19" i="18"/>
  <c r="M19" i="18"/>
  <c r="Q19" i="18"/>
  <c r="U19" i="18"/>
  <c r="Y19" i="18"/>
  <c r="AC19" i="18"/>
  <c r="G19" i="18"/>
  <c r="K19" i="18"/>
  <c r="O19" i="18"/>
  <c r="S19" i="18"/>
  <c r="W19" i="18"/>
  <c r="AA19" i="18"/>
  <c r="F18" i="18"/>
  <c r="H18" i="18"/>
  <c r="J18" i="18"/>
  <c r="L18" i="18"/>
  <c r="N18" i="18"/>
  <c r="P18" i="18"/>
  <c r="R18" i="18"/>
  <c r="T18" i="18"/>
  <c r="V18" i="18"/>
  <c r="X18" i="18"/>
  <c r="Z18" i="18"/>
  <c r="AB18" i="18"/>
  <c r="AD18" i="18"/>
  <c r="G18" i="18"/>
  <c r="K18" i="18"/>
  <c r="O18" i="18"/>
  <c r="S18" i="18"/>
  <c r="W18" i="18"/>
  <c r="AA18" i="18"/>
  <c r="E18" i="18"/>
  <c r="I18" i="18"/>
  <c r="M18" i="18"/>
  <c r="Q18" i="18"/>
  <c r="U18" i="18"/>
  <c r="Y18" i="18"/>
  <c r="AC18" i="18"/>
  <c r="E17" i="18"/>
  <c r="G17" i="18"/>
  <c r="I17" i="18"/>
  <c r="K17" i="18"/>
  <c r="M17" i="18"/>
  <c r="O17" i="18"/>
  <c r="Q17" i="18"/>
  <c r="S17" i="18"/>
  <c r="U17" i="18"/>
  <c r="W17" i="18"/>
  <c r="H17" i="18"/>
  <c r="L17" i="18"/>
  <c r="P17" i="18"/>
  <c r="T17" i="18"/>
  <c r="X17" i="18"/>
  <c r="Z17" i="18"/>
  <c r="AB17" i="18"/>
  <c r="AD17" i="18"/>
  <c r="J17" i="18"/>
  <c r="R17" i="18"/>
  <c r="Y17" i="18"/>
  <c r="AC17" i="18"/>
  <c r="F17" i="18"/>
  <c r="N17" i="18"/>
  <c r="V17" i="18"/>
  <c r="AA17" i="18"/>
  <c r="E16" i="18"/>
  <c r="G16" i="18"/>
  <c r="I16" i="18"/>
  <c r="K16" i="18"/>
  <c r="M16" i="18"/>
  <c r="O16" i="18"/>
  <c r="Q16" i="18"/>
  <c r="S16" i="18"/>
  <c r="U16" i="18"/>
  <c r="W16" i="18"/>
  <c r="Y16" i="18"/>
  <c r="AA16" i="18"/>
  <c r="AC16" i="18"/>
  <c r="F16" i="18"/>
  <c r="J16" i="18"/>
  <c r="N16" i="18"/>
  <c r="R16" i="18"/>
  <c r="V16" i="18"/>
  <c r="Z16" i="18"/>
  <c r="AD16" i="18"/>
  <c r="L16" i="18"/>
  <c r="T16" i="18"/>
  <c r="AB16" i="18"/>
  <c r="H16" i="18"/>
  <c r="P16" i="18"/>
  <c r="X16" i="18"/>
  <c r="E15" i="18"/>
  <c r="G15" i="18"/>
  <c r="I15" i="18"/>
  <c r="K15" i="18"/>
  <c r="M15" i="18"/>
  <c r="O15" i="18"/>
  <c r="Q15" i="18"/>
  <c r="S15" i="18"/>
  <c r="U15" i="18"/>
  <c r="W15" i="18"/>
  <c r="Y15" i="18"/>
  <c r="AA15" i="18"/>
  <c r="AC15" i="18"/>
  <c r="H15" i="18"/>
  <c r="L15" i="18"/>
  <c r="P15" i="18"/>
  <c r="T15" i="18"/>
  <c r="X15" i="18"/>
  <c r="AB15" i="18"/>
  <c r="F15" i="18"/>
  <c r="N15" i="18"/>
  <c r="V15" i="18"/>
  <c r="AD15" i="18"/>
  <c r="J15" i="18"/>
  <c r="R15" i="18"/>
  <c r="Z15" i="18"/>
  <c r="E14" i="18"/>
  <c r="G14" i="18"/>
  <c r="I14" i="18"/>
  <c r="K14" i="18"/>
  <c r="M14" i="18"/>
  <c r="O14" i="18"/>
  <c r="Q14" i="18"/>
  <c r="S14" i="18"/>
  <c r="U14" i="18"/>
  <c r="W14" i="18"/>
  <c r="Y14" i="18"/>
  <c r="AA14" i="18"/>
  <c r="AC14" i="18"/>
  <c r="F14" i="18"/>
  <c r="J14" i="18"/>
  <c r="N14" i="18"/>
  <c r="R14" i="18"/>
  <c r="V14" i="18"/>
  <c r="Z14" i="18"/>
  <c r="AD14" i="18"/>
  <c r="H14" i="18"/>
  <c r="P14" i="18"/>
  <c r="X14" i="18"/>
  <c r="L14" i="18"/>
  <c r="T14" i="18"/>
  <c r="AB14" i="18"/>
  <c r="E13" i="18"/>
  <c r="G13" i="18"/>
  <c r="I13" i="18"/>
  <c r="K13" i="18"/>
  <c r="M13" i="18"/>
  <c r="O13" i="18"/>
  <c r="Q13" i="18"/>
  <c r="S13" i="18"/>
  <c r="U13" i="18"/>
  <c r="W13" i="18"/>
  <c r="Y13" i="18"/>
  <c r="AA13" i="18"/>
  <c r="AC13" i="18"/>
  <c r="H13" i="18"/>
  <c r="L13" i="18"/>
  <c r="P13" i="18"/>
  <c r="T13" i="18"/>
  <c r="X13" i="18"/>
  <c r="AB13" i="18"/>
  <c r="J13" i="18"/>
  <c r="R13" i="18"/>
  <c r="Z13" i="18"/>
  <c r="F13" i="18"/>
  <c r="N13" i="18"/>
  <c r="V13" i="18"/>
  <c r="AD13" i="18"/>
  <c r="E12" i="18"/>
  <c r="G12" i="18"/>
  <c r="I12" i="18"/>
  <c r="K12" i="18"/>
  <c r="M12" i="18"/>
  <c r="O12" i="18"/>
  <c r="Q12" i="18"/>
  <c r="S12" i="18"/>
  <c r="U12" i="18"/>
  <c r="W12" i="18"/>
  <c r="Y12" i="18"/>
  <c r="AA12" i="18"/>
  <c r="AC12" i="18"/>
  <c r="F12" i="18"/>
  <c r="J12" i="18"/>
  <c r="N12" i="18"/>
  <c r="R12" i="18"/>
  <c r="V12" i="18"/>
  <c r="Z12" i="18"/>
  <c r="AD12" i="18"/>
  <c r="L12" i="18"/>
  <c r="T12" i="18"/>
  <c r="AB12" i="18"/>
  <c r="H12" i="18"/>
  <c r="P12" i="18"/>
  <c r="X12" i="18"/>
  <c r="E11" i="18"/>
  <c r="G11" i="18"/>
  <c r="I11" i="18"/>
  <c r="K11" i="18"/>
  <c r="M11" i="18"/>
  <c r="O11" i="18"/>
  <c r="Q11" i="18"/>
  <c r="S11" i="18"/>
  <c r="U11" i="18"/>
  <c r="W11" i="18"/>
  <c r="Y11" i="18"/>
  <c r="AA11" i="18"/>
  <c r="AC11" i="18"/>
  <c r="H11" i="18"/>
  <c r="L11" i="18"/>
  <c r="P11" i="18"/>
  <c r="T11" i="18"/>
  <c r="X11" i="18"/>
  <c r="AB11" i="18"/>
  <c r="F11" i="18"/>
  <c r="N11" i="18"/>
  <c r="V11" i="18"/>
  <c r="AD11" i="18"/>
  <c r="J11" i="18"/>
  <c r="R11" i="18"/>
  <c r="Z11" i="18"/>
  <c r="E10" i="18"/>
  <c r="G10" i="18"/>
  <c r="I10" i="18"/>
  <c r="K10" i="18"/>
  <c r="M10" i="18"/>
  <c r="O10" i="18"/>
  <c r="Q10" i="18"/>
  <c r="S10" i="18"/>
  <c r="U10" i="18"/>
  <c r="W10" i="18"/>
  <c r="Y10" i="18"/>
  <c r="AA10" i="18"/>
  <c r="AC10" i="18"/>
  <c r="F10" i="18"/>
  <c r="J10" i="18"/>
  <c r="N10" i="18"/>
  <c r="R10" i="18"/>
  <c r="V10" i="18"/>
  <c r="Z10" i="18"/>
  <c r="AD10" i="18"/>
  <c r="H10" i="18"/>
  <c r="P10" i="18"/>
  <c r="X10" i="18"/>
  <c r="L10" i="18"/>
  <c r="T10" i="18"/>
  <c r="AB10" i="18"/>
  <c r="E9" i="18"/>
  <c r="G9" i="18"/>
  <c r="I9" i="18"/>
  <c r="K9" i="18"/>
  <c r="M9" i="18"/>
  <c r="O9" i="18"/>
  <c r="Q9" i="18"/>
  <c r="S9" i="18"/>
  <c r="U9" i="18"/>
  <c r="W9" i="18"/>
  <c r="Y9" i="18"/>
  <c r="AA9" i="18"/>
  <c r="AC9" i="18"/>
  <c r="H9" i="18"/>
  <c r="L9" i="18"/>
  <c r="P9" i="18"/>
  <c r="T9" i="18"/>
  <c r="X9" i="18"/>
  <c r="AB9" i="18"/>
  <c r="J9" i="18"/>
  <c r="R9" i="18"/>
  <c r="Z9" i="18"/>
  <c r="F9" i="18"/>
  <c r="N9" i="18"/>
  <c r="V9" i="18"/>
  <c r="AD9" i="18"/>
  <c r="E8" i="18"/>
  <c r="G8" i="18"/>
  <c r="I8" i="18"/>
  <c r="K8" i="18"/>
  <c r="M8" i="18"/>
  <c r="O8" i="18"/>
  <c r="Q8" i="18"/>
  <c r="S8" i="18"/>
  <c r="U8" i="18"/>
  <c r="W8" i="18"/>
  <c r="Y8" i="18"/>
  <c r="AA8" i="18"/>
  <c r="AC8" i="18"/>
  <c r="F8" i="18"/>
  <c r="J8" i="18"/>
  <c r="N8" i="18"/>
  <c r="R8" i="18"/>
  <c r="V8" i="18"/>
  <c r="Z8" i="18"/>
  <c r="AD8" i="18"/>
  <c r="L8" i="18"/>
  <c r="T8" i="18"/>
  <c r="AB8" i="18"/>
  <c r="H8" i="18"/>
  <c r="P8" i="18"/>
  <c r="X8" i="18"/>
  <c r="E7" i="18"/>
  <c r="G7" i="18"/>
  <c r="I7" i="18"/>
  <c r="K7" i="18"/>
  <c r="M7" i="18"/>
  <c r="O7" i="18"/>
  <c r="Q7" i="18"/>
  <c r="S7" i="18"/>
  <c r="U7" i="18"/>
  <c r="W7" i="18"/>
  <c r="Y7" i="18"/>
  <c r="AA7" i="18"/>
  <c r="AC7" i="18"/>
  <c r="H7" i="18"/>
  <c r="L7" i="18"/>
  <c r="P7" i="18"/>
  <c r="T7" i="18"/>
  <c r="X7" i="18"/>
  <c r="AB7" i="18"/>
  <c r="F7" i="18"/>
  <c r="N7" i="18"/>
  <c r="V7" i="18"/>
  <c r="AD7" i="18"/>
  <c r="J7" i="18"/>
  <c r="R7" i="18"/>
  <c r="Z7" i="18"/>
  <c r="E6" i="18"/>
  <c r="G6" i="18"/>
  <c r="I6" i="18"/>
  <c r="K6" i="18"/>
  <c r="M6" i="18"/>
  <c r="O6" i="18"/>
  <c r="Q6" i="18"/>
  <c r="S6" i="18"/>
  <c r="U6" i="18"/>
  <c r="W6" i="18"/>
  <c r="Y6" i="18"/>
  <c r="AA6" i="18"/>
  <c r="AC6" i="18"/>
  <c r="F6" i="18"/>
  <c r="J6" i="18"/>
  <c r="N6" i="18"/>
  <c r="R6" i="18"/>
  <c r="V6" i="18"/>
  <c r="Z6" i="18"/>
  <c r="AD6" i="18"/>
  <c r="H6" i="18"/>
  <c r="P6" i="18"/>
  <c r="X6" i="18"/>
  <c r="L6" i="18"/>
  <c r="T6" i="18"/>
  <c r="AB6" i="18"/>
  <c r="P5" i="18"/>
  <c r="R5" i="18"/>
  <c r="T5" i="18"/>
  <c r="V5" i="18"/>
  <c r="X5" i="18"/>
  <c r="Z5" i="18"/>
  <c r="AB5" i="18"/>
  <c r="AD5" i="18"/>
  <c r="F5" i="18"/>
  <c r="H5" i="18"/>
  <c r="J5" i="18"/>
  <c r="L5" i="18"/>
  <c r="N5" i="18"/>
  <c r="K5" i="18"/>
  <c r="G5" i="18"/>
  <c r="AC5" i="18"/>
  <c r="Y5" i="18"/>
  <c r="U5" i="18"/>
  <c r="Q5" i="18"/>
  <c r="AC97" i="18"/>
  <c r="Y97" i="18"/>
  <c r="U97" i="18"/>
  <c r="Q97" i="18"/>
  <c r="M97" i="18"/>
  <c r="I97" i="18"/>
  <c r="E97" i="18"/>
  <c r="AC95" i="18"/>
  <c r="Y95" i="18"/>
  <c r="U95" i="18"/>
  <c r="Q95" i="18"/>
  <c r="M95" i="18"/>
  <c r="I95" i="18"/>
  <c r="E95" i="18"/>
  <c r="AA94" i="18"/>
  <c r="W94" i="18"/>
  <c r="S94" i="18"/>
  <c r="O94" i="18"/>
  <c r="K94" i="18"/>
  <c r="G94" i="18"/>
  <c r="AC93" i="18"/>
  <c r="Y93" i="18"/>
  <c r="U93" i="18"/>
  <c r="Q93" i="18"/>
  <c r="M93" i="18"/>
  <c r="I93" i="18"/>
  <c r="E93" i="18"/>
  <c r="AA92" i="18"/>
  <c r="W92" i="18"/>
  <c r="S92" i="18"/>
  <c r="O92" i="18"/>
  <c r="K92" i="18"/>
  <c r="G92" i="18"/>
  <c r="AC91" i="18"/>
  <c r="Y91" i="18"/>
  <c r="U91" i="18"/>
  <c r="Q91" i="18"/>
  <c r="M91" i="18"/>
  <c r="I91" i="18"/>
  <c r="E91" i="18"/>
  <c r="AA90" i="18"/>
  <c r="W90" i="18"/>
  <c r="S90" i="18"/>
  <c r="O90" i="18"/>
  <c r="K90" i="18"/>
  <c r="G90" i="18"/>
  <c r="AC89" i="18"/>
  <c r="Y89" i="18"/>
  <c r="U89" i="18"/>
  <c r="Q89" i="18"/>
  <c r="M89" i="18"/>
  <c r="I89" i="18"/>
  <c r="E89" i="18"/>
  <c r="AA88" i="18"/>
  <c r="W88" i="18"/>
  <c r="S88" i="18"/>
  <c r="O88" i="18"/>
  <c r="K88" i="18"/>
  <c r="G88" i="18"/>
  <c r="AC87" i="18"/>
  <c r="Y87" i="18"/>
  <c r="U87" i="18"/>
  <c r="Q87" i="18"/>
  <c r="M87" i="18"/>
  <c r="I87" i="18"/>
  <c r="E87" i="18"/>
  <c r="AA86" i="18"/>
  <c r="W86" i="18"/>
  <c r="S86" i="18"/>
  <c r="O86" i="18"/>
  <c r="K86" i="18"/>
  <c r="G86" i="18"/>
  <c r="AC85" i="18"/>
  <c r="Y85" i="18"/>
  <c r="U85" i="18"/>
  <c r="Q85" i="18"/>
  <c r="M85" i="18"/>
  <c r="I85" i="18"/>
  <c r="E85" i="18"/>
  <c r="AA84" i="18"/>
  <c r="W84" i="18"/>
  <c r="S84" i="18"/>
  <c r="O84" i="18"/>
  <c r="K84" i="18"/>
  <c r="G84" i="18"/>
  <c r="AC83" i="18"/>
  <c r="Y83" i="18"/>
  <c r="U83" i="18"/>
  <c r="Q83" i="18"/>
  <c r="M83" i="18"/>
  <c r="I83" i="18"/>
  <c r="E83" i="18"/>
  <c r="AA82" i="18"/>
  <c r="W82" i="18"/>
  <c r="S82" i="18"/>
  <c r="O82" i="18"/>
  <c r="K82" i="18"/>
  <c r="G82" i="18"/>
  <c r="AC81" i="18"/>
  <c r="Y81" i="18"/>
  <c r="U81" i="18"/>
  <c r="Q81" i="18"/>
  <c r="M81" i="18"/>
  <c r="I81" i="18"/>
  <c r="E81" i="18"/>
  <c r="AA80" i="18"/>
  <c r="W80" i="18"/>
  <c r="S80" i="18"/>
  <c r="O80" i="18"/>
  <c r="K80" i="18"/>
  <c r="G80" i="18"/>
  <c r="AC79" i="18"/>
  <c r="Y79" i="18"/>
  <c r="U79" i="18"/>
  <c r="Q79" i="18"/>
  <c r="M79" i="18"/>
  <c r="I79" i="18"/>
  <c r="E79" i="18"/>
  <c r="AA78" i="18"/>
  <c r="W78" i="18"/>
  <c r="S78" i="18"/>
  <c r="O78" i="18"/>
  <c r="K78" i="18"/>
  <c r="G78" i="18"/>
  <c r="AC77" i="18"/>
  <c r="Y77" i="18"/>
  <c r="U77" i="18"/>
  <c r="Q77" i="18"/>
  <c r="M77" i="18"/>
  <c r="I77" i="18"/>
  <c r="E77" i="18"/>
  <c r="AA76" i="18"/>
  <c r="W76" i="18"/>
  <c r="S76" i="18"/>
  <c r="O76" i="18"/>
  <c r="K76" i="18"/>
  <c r="G76" i="18"/>
  <c r="AA75" i="18"/>
  <c r="W75" i="18"/>
  <c r="S75" i="18"/>
  <c r="O75" i="18"/>
  <c r="K75" i="18"/>
  <c r="G75" i="18"/>
  <c r="AC74" i="18"/>
  <c r="Y74" i="18"/>
  <c r="U74" i="18"/>
  <c r="Q74" i="18"/>
  <c r="M74" i="18"/>
  <c r="I74" i="18"/>
  <c r="E74" i="18"/>
  <c r="AA73" i="18"/>
  <c r="W73" i="18"/>
  <c r="S73" i="18"/>
  <c r="O73" i="18"/>
  <c r="K73" i="18"/>
  <c r="G73" i="18"/>
  <c r="AC72" i="18"/>
  <c r="Y72" i="18"/>
  <c r="U72" i="18"/>
  <c r="Q72" i="18"/>
  <c r="M72" i="18"/>
  <c r="I72" i="18"/>
  <c r="E72" i="18"/>
  <c r="AA71" i="18"/>
  <c r="W71" i="18"/>
  <c r="S71" i="18"/>
  <c r="O71" i="18"/>
  <c r="K71" i="18"/>
  <c r="G71" i="18"/>
  <c r="AC70" i="18"/>
  <c r="Y70" i="18"/>
  <c r="U70" i="18"/>
  <c r="Q70" i="18"/>
  <c r="M70" i="18"/>
  <c r="I70" i="18"/>
  <c r="E70" i="18"/>
  <c r="AA69" i="18"/>
  <c r="W69" i="18"/>
  <c r="S69" i="18"/>
  <c r="O69" i="18"/>
  <c r="K69" i="18"/>
  <c r="G69" i="18"/>
  <c r="AC68" i="18"/>
  <c r="Y68" i="18"/>
  <c r="U68" i="18"/>
  <c r="Q68" i="18"/>
  <c r="M68" i="18"/>
  <c r="I68" i="18"/>
  <c r="E68" i="18"/>
  <c r="AA67" i="18"/>
  <c r="W67" i="18"/>
  <c r="S67" i="18"/>
  <c r="O67" i="18"/>
  <c r="K67" i="18"/>
  <c r="G67" i="18"/>
  <c r="AC66" i="18"/>
  <c r="Y66" i="18"/>
  <c r="U66" i="18"/>
  <c r="Q66" i="18"/>
  <c r="M66" i="18"/>
  <c r="I66" i="18"/>
  <c r="E66" i="18"/>
  <c r="AA65" i="18"/>
  <c r="W65" i="18"/>
  <c r="S65" i="18"/>
  <c r="O65" i="18"/>
  <c r="K65" i="18"/>
  <c r="G65" i="18"/>
  <c r="AC64" i="18"/>
  <c r="Y64" i="18"/>
  <c r="U64" i="18"/>
  <c r="Q64" i="18"/>
  <c r="M64" i="18"/>
  <c r="I64" i="18"/>
  <c r="E64" i="18"/>
  <c r="AA63" i="18"/>
  <c r="W63" i="18"/>
  <c r="S63" i="18"/>
  <c r="O63" i="18"/>
  <c r="K63" i="18"/>
  <c r="G63" i="18"/>
  <c r="AC62" i="18"/>
  <c r="Y62" i="18"/>
  <c r="U62" i="18"/>
  <c r="Q62" i="18"/>
  <c r="M62" i="18"/>
  <c r="I62" i="18"/>
  <c r="E62" i="18"/>
  <c r="AA61" i="18"/>
  <c r="W61" i="18"/>
  <c r="S61" i="18"/>
  <c r="O61" i="18"/>
  <c r="K61" i="18"/>
  <c r="G61" i="18"/>
  <c r="AC60" i="18"/>
  <c r="Y60" i="18"/>
  <c r="U60" i="18"/>
  <c r="Q60" i="18"/>
  <c r="M60" i="18"/>
  <c r="I60" i="18"/>
  <c r="E60" i="18"/>
  <c r="AA59" i="18"/>
  <c r="W59" i="18"/>
  <c r="S59" i="18"/>
  <c r="O59" i="18"/>
  <c r="K59" i="18"/>
  <c r="G59" i="18"/>
  <c r="AC58" i="18"/>
  <c r="Y58" i="18"/>
  <c r="U58" i="18"/>
  <c r="Q58" i="18"/>
  <c r="M58" i="18"/>
  <c r="I58" i="18"/>
  <c r="E58" i="18"/>
  <c r="AA57" i="18"/>
  <c r="W57" i="18"/>
  <c r="S57" i="18"/>
  <c r="O57" i="18"/>
  <c r="K57" i="18"/>
  <c r="G57" i="18"/>
  <c r="AC56" i="18"/>
  <c r="Y56" i="18"/>
  <c r="U56" i="18"/>
  <c r="Q56" i="18"/>
  <c r="M56" i="18"/>
  <c r="I56" i="18"/>
  <c r="E56" i="18"/>
  <c r="AA55" i="18"/>
  <c r="W55" i="18"/>
  <c r="S55" i="18"/>
  <c r="O55" i="18"/>
  <c r="K55" i="18"/>
  <c r="G55" i="18"/>
  <c r="AC54" i="18"/>
  <c r="Y54" i="18"/>
  <c r="U54" i="18"/>
  <c r="Q54" i="18"/>
  <c r="M54" i="18"/>
  <c r="I54" i="18"/>
  <c r="E54" i="18"/>
  <c r="AA53" i="18"/>
  <c r="W53" i="18"/>
  <c r="S53" i="18"/>
  <c r="O53" i="18"/>
  <c r="K53" i="18"/>
  <c r="G53" i="18"/>
  <c r="AC52" i="18"/>
  <c r="Y52" i="18"/>
  <c r="U52" i="18"/>
  <c r="Q52" i="18"/>
  <c r="M52" i="18"/>
  <c r="I52" i="18"/>
  <c r="E52" i="18"/>
  <c r="AA51" i="18"/>
  <c r="W51" i="18"/>
  <c r="S51" i="18"/>
  <c r="O51" i="18"/>
  <c r="K51" i="18"/>
  <c r="G51" i="18"/>
  <c r="AC50" i="18"/>
  <c r="Y50" i="18"/>
  <c r="U50" i="18"/>
  <c r="Q50" i="18"/>
  <c r="M50" i="18"/>
  <c r="I50" i="18"/>
  <c r="E50" i="18"/>
  <c r="AA49" i="18"/>
  <c r="W49" i="18"/>
  <c r="S49" i="18"/>
  <c r="O49" i="18"/>
  <c r="K49" i="18"/>
  <c r="G49" i="18"/>
  <c r="AC48" i="18"/>
  <c r="Y48" i="18"/>
  <c r="U48" i="18"/>
  <c r="H107" i="18"/>
  <c r="L107" i="18"/>
  <c r="P107" i="18"/>
  <c r="T107" i="18"/>
  <c r="X107" i="18"/>
  <c r="AB107" i="18"/>
  <c r="J107" i="18"/>
  <c r="R107" i="18"/>
  <c r="Z107" i="18"/>
  <c r="H105" i="18"/>
  <c r="L105" i="18"/>
  <c r="P105" i="18"/>
  <c r="T105" i="18"/>
  <c r="X105" i="18"/>
  <c r="AB105" i="18"/>
  <c r="J105" i="18"/>
  <c r="R105" i="18"/>
  <c r="Z105" i="18"/>
  <c r="H103" i="18"/>
  <c r="L103" i="18"/>
  <c r="P103" i="18"/>
  <c r="T103" i="18"/>
  <c r="X103" i="18"/>
  <c r="AB103" i="18"/>
  <c r="J103" i="18"/>
  <c r="R103" i="18"/>
  <c r="Z103" i="18"/>
  <c r="H101" i="18"/>
  <c r="L101" i="18"/>
  <c r="P101" i="18"/>
  <c r="T101" i="18"/>
  <c r="X101" i="18"/>
  <c r="AB101" i="18"/>
  <c r="J101" i="18"/>
  <c r="R101" i="18"/>
  <c r="Z101" i="18"/>
  <c r="H99" i="18"/>
  <c r="L99" i="18"/>
  <c r="P99" i="18"/>
  <c r="T99" i="18"/>
  <c r="X99" i="18"/>
  <c r="AB99" i="18"/>
  <c r="J99" i="18"/>
  <c r="R99" i="18"/>
  <c r="Z99" i="18"/>
  <c r="AC108" i="18"/>
  <c r="AC106" i="18"/>
  <c r="AC104" i="18"/>
  <c r="AC102" i="18"/>
  <c r="AC100" i="18"/>
  <c r="AC98" i="18"/>
  <c r="F108" i="18"/>
  <c r="G108" i="18"/>
  <c r="K108" i="18"/>
  <c r="O108" i="18"/>
  <c r="S108" i="18"/>
  <c r="W108" i="18"/>
  <c r="AA108" i="18"/>
  <c r="I108" i="18"/>
  <c r="Q108" i="18"/>
  <c r="Y108" i="18"/>
  <c r="F106" i="18"/>
  <c r="G106" i="18"/>
  <c r="K106" i="18"/>
  <c r="O106" i="18"/>
  <c r="S106" i="18"/>
  <c r="W106" i="18"/>
  <c r="AA106" i="18"/>
  <c r="I106" i="18"/>
  <c r="Q106" i="18"/>
  <c r="Y106" i="18"/>
  <c r="F104" i="18"/>
  <c r="G104" i="18"/>
  <c r="K104" i="18"/>
  <c r="O104" i="18"/>
  <c r="S104" i="18"/>
  <c r="W104" i="18"/>
  <c r="AA104" i="18"/>
  <c r="I104" i="18"/>
  <c r="Q104" i="18"/>
  <c r="Y104" i="18"/>
  <c r="F102" i="18"/>
  <c r="G102" i="18"/>
  <c r="K102" i="18"/>
  <c r="O102" i="18"/>
  <c r="S102" i="18"/>
  <c r="W102" i="18"/>
  <c r="AA102" i="18"/>
  <c r="I102" i="18"/>
  <c r="Q102" i="18"/>
  <c r="Y102" i="18"/>
  <c r="F100" i="18"/>
  <c r="G100" i="18"/>
  <c r="K100" i="18"/>
  <c r="O100" i="18"/>
  <c r="S100" i="18"/>
  <c r="W100" i="18"/>
  <c r="AA100" i="18"/>
  <c r="I100" i="18"/>
  <c r="Q100" i="18"/>
  <c r="Y100" i="18"/>
  <c r="F98" i="18"/>
  <c r="G98" i="18"/>
  <c r="K98" i="18"/>
  <c r="O98" i="18"/>
  <c r="S98" i="18"/>
  <c r="W98" i="18"/>
  <c r="AA98" i="18"/>
  <c r="I98" i="18"/>
  <c r="Q98" i="18"/>
  <c r="Y98" i="18"/>
  <c r="E107" i="18"/>
  <c r="E105" i="18"/>
  <c r="E103" i="18"/>
  <c r="E101" i="18"/>
  <c r="E99" i="18"/>
  <c r="AD108" i="18"/>
  <c r="AB108" i="18"/>
  <c r="Z108" i="18"/>
  <c r="X108" i="18"/>
  <c r="V108" i="18"/>
  <c r="T108" i="18"/>
  <c r="R108" i="18"/>
  <c r="P108" i="18"/>
  <c r="N108" i="18"/>
  <c r="L108" i="18"/>
  <c r="J108" i="18"/>
  <c r="H108" i="18"/>
  <c r="AC107" i="18"/>
  <c r="AA107" i="18"/>
  <c r="Y107" i="18"/>
  <c r="W107" i="18"/>
  <c r="U107" i="18"/>
  <c r="S107" i="18"/>
  <c r="Q107" i="18"/>
  <c r="O107" i="18"/>
  <c r="M107" i="18"/>
  <c r="K107" i="18"/>
  <c r="I107" i="18"/>
  <c r="G107" i="18"/>
  <c r="AD106" i="18"/>
  <c r="AB106" i="18"/>
  <c r="Z106" i="18"/>
  <c r="X106" i="18"/>
  <c r="V106" i="18"/>
  <c r="T106" i="18"/>
  <c r="R106" i="18"/>
  <c r="P106" i="18"/>
  <c r="N106" i="18"/>
  <c r="L106" i="18"/>
  <c r="J106" i="18"/>
  <c r="H106" i="18"/>
  <c r="AC105" i="18"/>
  <c r="AA105" i="18"/>
  <c r="Y105" i="18"/>
  <c r="W105" i="18"/>
  <c r="U105" i="18"/>
  <c r="S105" i="18"/>
  <c r="Q105" i="18"/>
  <c r="O105" i="18"/>
  <c r="M105" i="18"/>
  <c r="K105" i="18"/>
  <c r="I105" i="18"/>
  <c r="G105" i="18"/>
  <c r="AD104" i="18"/>
  <c r="AB104" i="18"/>
  <c r="Z104" i="18"/>
  <c r="X104" i="18"/>
  <c r="V104" i="18"/>
  <c r="T104" i="18"/>
  <c r="R104" i="18"/>
  <c r="P104" i="18"/>
  <c r="N104" i="18"/>
  <c r="L104" i="18"/>
  <c r="J104" i="18"/>
  <c r="H104" i="18"/>
  <c r="AC103" i="18"/>
  <c r="AA103" i="18"/>
  <c r="Y103" i="18"/>
  <c r="W103" i="18"/>
  <c r="U103" i="18"/>
  <c r="S103" i="18"/>
  <c r="Q103" i="18"/>
  <c r="O103" i="18"/>
  <c r="M103" i="18"/>
  <c r="K103" i="18"/>
  <c r="I103" i="18"/>
  <c r="G103" i="18"/>
  <c r="AD102" i="18"/>
  <c r="AB102" i="18"/>
  <c r="Z102" i="18"/>
  <c r="X102" i="18"/>
  <c r="V102" i="18"/>
  <c r="T102" i="18"/>
  <c r="R102" i="18"/>
  <c r="P102" i="18"/>
  <c r="N102" i="18"/>
  <c r="L102" i="18"/>
  <c r="J102" i="18"/>
  <c r="H102" i="18"/>
  <c r="AC101" i="18"/>
  <c r="AA101" i="18"/>
  <c r="Y101" i="18"/>
  <c r="W101" i="18"/>
  <c r="U101" i="18"/>
  <c r="S101" i="18"/>
  <c r="Q101" i="18"/>
  <c r="O101" i="18"/>
  <c r="M101" i="18"/>
  <c r="K101" i="18"/>
  <c r="I101" i="18"/>
  <c r="G101" i="18"/>
  <c r="AD100" i="18"/>
  <c r="AB100" i="18"/>
  <c r="Z100" i="18"/>
  <c r="X100" i="18"/>
  <c r="V100" i="18"/>
  <c r="T100" i="18"/>
  <c r="R100" i="18"/>
  <c r="P100" i="18"/>
  <c r="N100" i="18"/>
  <c r="L100" i="18"/>
  <c r="J100" i="18"/>
  <c r="H100" i="18"/>
  <c r="AC99" i="18"/>
  <c r="AA99" i="18"/>
  <c r="Y99" i="18"/>
  <c r="W99" i="18"/>
  <c r="U99" i="18"/>
  <c r="S99" i="18"/>
  <c r="Q99" i="18"/>
  <c r="O99" i="18"/>
  <c r="M99" i="18"/>
  <c r="K99" i="18"/>
  <c r="I99" i="18"/>
  <c r="G99" i="18"/>
  <c r="AD98" i="18"/>
  <c r="AB98" i="18"/>
  <c r="Z98" i="18"/>
  <c r="X98" i="18"/>
  <c r="V98" i="18"/>
  <c r="T98" i="18"/>
  <c r="R98" i="18"/>
  <c r="P98" i="18"/>
  <c r="N98" i="18"/>
  <c r="L98" i="18"/>
  <c r="J98" i="18"/>
  <c r="H98" i="18"/>
  <c r="B2" i="26"/>
  <c r="B22" i="4"/>
  <c r="E10" i="21"/>
  <c r="F10" i="21" s="1"/>
  <c r="E9" i="21"/>
  <c r="F9" i="21" s="1"/>
  <c r="H2" i="21"/>
  <c r="E32" i="21"/>
  <c r="F32" i="21" s="1"/>
  <c r="E31" i="21"/>
  <c r="F31" i="21" s="1"/>
  <c r="E28" i="21"/>
  <c r="F28" i="21" s="1"/>
  <c r="E27" i="21"/>
  <c r="F27" i="21" s="1"/>
  <c r="E24" i="21"/>
  <c r="F24" i="21" s="1"/>
  <c r="E23" i="21"/>
  <c r="F23" i="21" s="1"/>
  <c r="E20" i="21"/>
  <c r="F20" i="21" s="1"/>
  <c r="E19" i="21"/>
  <c r="F19" i="21" s="1"/>
  <c r="E34" i="21"/>
  <c r="F34" i="21" s="1"/>
  <c r="E33" i="21"/>
  <c r="F33" i="21" s="1"/>
  <c r="E30" i="21"/>
  <c r="F30" i="21" s="1"/>
  <c r="E29" i="21"/>
  <c r="F29" i="21" s="1"/>
  <c r="E26" i="21"/>
  <c r="F26" i="21" s="1"/>
  <c r="E25" i="21"/>
  <c r="F25" i="21" s="1"/>
  <c r="E22" i="21"/>
  <c r="F22" i="21" s="1"/>
  <c r="E21" i="21"/>
  <c r="F21" i="21" s="1"/>
  <c r="E18" i="21"/>
  <c r="F18" i="21" s="1"/>
  <c r="E17" i="21"/>
  <c r="F17" i="21" s="1"/>
  <c r="E16" i="21"/>
  <c r="F16" i="21" s="1"/>
  <c r="E15" i="21"/>
  <c r="F15" i="21" s="1"/>
  <c r="E14" i="21"/>
  <c r="F14" i="21" s="1"/>
  <c r="E13" i="21"/>
  <c r="F13" i="21" s="1"/>
  <c r="E12" i="21"/>
  <c r="F12" i="21" s="1"/>
  <c r="E11" i="21"/>
  <c r="F11" i="21" s="1"/>
  <c r="C37" i="26"/>
  <c r="B72" i="26"/>
  <c r="B70" i="26"/>
  <c r="B75" i="26"/>
  <c r="B37" i="26"/>
  <c r="AF32" i="21"/>
  <c r="AF30" i="21"/>
  <c r="AF28" i="21"/>
  <c r="AF26" i="21"/>
  <c r="AF24" i="21"/>
  <c r="AF22" i="21"/>
  <c r="N1" i="21"/>
  <c r="C169" i="20"/>
  <c r="U149" i="20"/>
  <c r="U148" i="20"/>
  <c r="U165" i="20"/>
  <c r="U157" i="20"/>
  <c r="AG157" i="20" s="1"/>
  <c r="U168" i="20"/>
  <c r="U164" i="20"/>
  <c r="U156" i="20"/>
  <c r="AG156" i="20" s="1"/>
  <c r="P148" i="20"/>
  <c r="AB148" i="20" s="1"/>
  <c r="P163" i="20"/>
  <c r="AB163" i="20" s="1"/>
  <c r="P164" i="20"/>
  <c r="AB164" i="20" s="1"/>
  <c r="P165" i="20"/>
  <c r="AB165" i="20" s="1"/>
  <c r="P157" i="20"/>
  <c r="AB157" i="20" s="1"/>
  <c r="A11" i="27"/>
  <c r="B11" i="27" s="1"/>
  <c r="B12" i="26" s="1"/>
  <c r="A22" i="27"/>
  <c r="B22" i="27" s="1"/>
  <c r="O88" i="12" l="1"/>
  <c r="D92" i="20" s="1"/>
  <c r="N124" i="20"/>
  <c r="AO124" i="20" s="1"/>
  <c r="N127" i="20"/>
  <c r="AO127" i="20" s="1"/>
  <c r="N119" i="20"/>
  <c r="AO119" i="20" s="1"/>
  <c r="AG130" i="20"/>
  <c r="BH130" i="20" s="1"/>
  <c r="O18" i="12"/>
  <c r="D22" i="20" s="1"/>
  <c r="W130" i="20"/>
  <c r="AX130" i="20" s="1"/>
  <c r="AF120" i="20"/>
  <c r="BG120" i="20" s="1"/>
  <c r="N130" i="20"/>
  <c r="AO130" i="20" s="1"/>
  <c r="N122" i="20"/>
  <c r="AO122" i="20" s="1"/>
  <c r="N125" i="20"/>
  <c r="AO125" i="20" s="1"/>
  <c r="AO118" i="20"/>
  <c r="W131" i="20"/>
  <c r="AX131" i="20" s="1"/>
  <c r="W123" i="20"/>
  <c r="AX123" i="20" s="1"/>
  <c r="W128" i="20"/>
  <c r="AX128" i="20" s="1"/>
  <c r="W120" i="20"/>
  <c r="AX120" i="20" s="1"/>
  <c r="F37" i="29"/>
  <c r="W125" i="20"/>
  <c r="AX125" i="20" s="1"/>
  <c r="AX118" i="20"/>
  <c r="W122" i="20"/>
  <c r="AX122" i="20" s="1"/>
  <c r="AF127" i="20"/>
  <c r="BG127" i="20" s="1"/>
  <c r="N128" i="20"/>
  <c r="AO128" i="20" s="1"/>
  <c r="N120" i="20"/>
  <c r="AO120" i="20" s="1"/>
  <c r="AG123" i="20"/>
  <c r="BH123" i="20" s="1"/>
  <c r="W129" i="20"/>
  <c r="AX129" i="20" s="1"/>
  <c r="W121" i="20"/>
  <c r="AX121" i="20" s="1"/>
  <c r="V124" i="20"/>
  <c r="AW124" i="20" s="1"/>
  <c r="V125" i="20"/>
  <c r="AW125" i="20" s="1"/>
  <c r="AW118" i="20"/>
  <c r="X124" i="20"/>
  <c r="AY124" i="20" s="1"/>
  <c r="X125" i="20"/>
  <c r="AY125" i="20" s="1"/>
  <c r="AY118" i="20"/>
  <c r="G42" i="29"/>
  <c r="X129" i="20"/>
  <c r="AY129" i="20" s="1"/>
  <c r="AF124" i="20"/>
  <c r="BG124" i="20" s="1"/>
  <c r="AF125" i="20"/>
  <c r="BG125" i="20" s="1"/>
  <c r="BG118" i="20"/>
  <c r="V128" i="20"/>
  <c r="AW128" i="20" s="1"/>
  <c r="V120" i="20"/>
  <c r="AW120" i="20" s="1"/>
  <c r="V121" i="20"/>
  <c r="AW121" i="20" s="1"/>
  <c r="X128" i="20"/>
  <c r="AY128" i="20" s="1"/>
  <c r="X120" i="20"/>
  <c r="AY120" i="20" s="1"/>
  <c r="X121" i="20"/>
  <c r="AY121" i="20" s="1"/>
  <c r="ES46" i="26"/>
  <c r="EU46" i="26" s="1"/>
  <c r="AF129" i="20"/>
  <c r="BG129" i="20" s="1"/>
  <c r="V131" i="20"/>
  <c r="AW131" i="20" s="1"/>
  <c r="AF130" i="20"/>
  <c r="BG130" i="20" s="1"/>
  <c r="AF122" i="20"/>
  <c r="BG122" i="20" s="1"/>
  <c r="AF123" i="20"/>
  <c r="BG123" i="20" s="1"/>
  <c r="V126" i="20"/>
  <c r="AW126" i="20" s="1"/>
  <c r="V127" i="20"/>
  <c r="AW127" i="20" s="1"/>
  <c r="V119" i="20"/>
  <c r="AW119" i="20" s="1"/>
  <c r="X126" i="20"/>
  <c r="AY126" i="20" s="1"/>
  <c r="X127" i="20"/>
  <c r="AY127" i="20" s="1"/>
  <c r="X119" i="20"/>
  <c r="AY119" i="20" s="1"/>
  <c r="AG121" i="20"/>
  <c r="BH121" i="20" s="1"/>
  <c r="F26" i="29"/>
  <c r="AG125" i="20"/>
  <c r="BH125" i="20" s="1"/>
  <c r="AG120" i="20"/>
  <c r="BH120" i="20" s="1"/>
  <c r="AG126" i="20"/>
  <c r="BH126" i="20" s="1"/>
  <c r="AS118" i="20"/>
  <c r="AG128" i="20"/>
  <c r="BH128" i="20" s="1"/>
  <c r="AG129" i="20"/>
  <c r="BH129" i="20" s="1"/>
  <c r="AG122" i="20"/>
  <c r="BH122" i="20" s="1"/>
  <c r="R123" i="20"/>
  <c r="AS123" i="20" s="1"/>
  <c r="BH118" i="20"/>
  <c r="R128" i="20"/>
  <c r="AS128" i="20" s="1"/>
  <c r="AG119" i="20"/>
  <c r="BH119" i="20" s="1"/>
  <c r="P31" i="12"/>
  <c r="E35" i="20" s="1"/>
  <c r="F36" i="15" s="1"/>
  <c r="P56" i="12"/>
  <c r="E60" i="20" s="1"/>
  <c r="R42" i="12"/>
  <c r="O31" i="26" s="1"/>
  <c r="P55" i="12"/>
  <c r="E59" i="20" s="1"/>
  <c r="F60" i="15" s="1"/>
  <c r="I15" i="30"/>
  <c r="I23" i="30"/>
  <c r="I31" i="30"/>
  <c r="I14" i="30"/>
  <c r="I22" i="30"/>
  <c r="I30" i="30"/>
  <c r="I13" i="30"/>
  <c r="I21" i="30"/>
  <c r="I29" i="30"/>
  <c r="I10" i="30"/>
  <c r="I18" i="30"/>
  <c r="I26" i="30"/>
  <c r="I12" i="30"/>
  <c r="I20" i="30"/>
  <c r="I28" i="30"/>
  <c r="I9" i="30"/>
  <c r="I17" i="30"/>
  <c r="I25" i="30"/>
  <c r="I7" i="30"/>
  <c r="I11" i="30"/>
  <c r="I19" i="30"/>
  <c r="I27" i="30"/>
  <c r="I8" i="30"/>
  <c r="I16" i="30"/>
  <c r="I24" i="30"/>
  <c r="I32" i="30"/>
  <c r="S18" i="26"/>
  <c r="F28" i="26"/>
  <c r="ES100" i="26"/>
  <c r="R28" i="26"/>
  <c r="J28" i="26"/>
  <c r="G28" i="26"/>
  <c r="U28" i="26"/>
  <c r="H28" i="26"/>
  <c r="P28" i="26"/>
  <c r="D28" i="26"/>
  <c r="X28" i="26"/>
  <c r="I28" i="26"/>
  <c r="L28" i="26"/>
  <c r="K28" i="26"/>
  <c r="Q28" i="26"/>
  <c r="S28" i="26"/>
  <c r="E28" i="26"/>
  <c r="N28" i="26"/>
  <c r="V28" i="26"/>
  <c r="C28" i="26"/>
  <c r="W28" i="26"/>
  <c r="E27" i="26"/>
  <c r="N27" i="26"/>
  <c r="F27" i="26"/>
  <c r="J27" i="26"/>
  <c r="I27" i="26"/>
  <c r="R27" i="26"/>
  <c r="Q27" i="26"/>
  <c r="EM100" i="26"/>
  <c r="V27" i="26"/>
  <c r="H27" i="26"/>
  <c r="C27" i="26"/>
  <c r="W27" i="26"/>
  <c r="X27" i="26"/>
  <c r="D27" i="26"/>
  <c r="L27" i="26"/>
  <c r="M27" i="26"/>
  <c r="U27" i="26"/>
  <c r="G27" i="26"/>
  <c r="O27" i="26"/>
  <c r="K27" i="26"/>
  <c r="P27" i="26"/>
  <c r="S27" i="26"/>
  <c r="I31" i="26"/>
  <c r="FK100" i="26"/>
  <c r="R31" i="26"/>
  <c r="U31" i="26"/>
  <c r="E31" i="26"/>
  <c r="J31" i="26"/>
  <c r="F31" i="26"/>
  <c r="G31" i="26"/>
  <c r="N31" i="26"/>
  <c r="Q31" i="26"/>
  <c r="W31" i="26"/>
  <c r="V31" i="26"/>
  <c r="H31" i="26"/>
  <c r="C31" i="26"/>
  <c r="GO71" i="26" s="1"/>
  <c r="P31" i="26"/>
  <c r="K31" i="26"/>
  <c r="X31" i="26"/>
  <c r="S31" i="26"/>
  <c r="D31" i="26"/>
  <c r="H30" i="26"/>
  <c r="E30" i="26"/>
  <c r="U30" i="26"/>
  <c r="D30" i="26"/>
  <c r="R30" i="26"/>
  <c r="J30" i="26"/>
  <c r="FE100" i="26"/>
  <c r="I30" i="26"/>
  <c r="Q30" i="26"/>
  <c r="M30" i="26"/>
  <c r="V30" i="26"/>
  <c r="O30" i="26"/>
  <c r="S30" i="26"/>
  <c r="P30" i="26"/>
  <c r="G30" i="26"/>
  <c r="W30" i="26"/>
  <c r="C30" i="26"/>
  <c r="FY69" i="26" s="1"/>
  <c r="GA69" i="26" s="1"/>
  <c r="F30" i="26"/>
  <c r="K30" i="26"/>
  <c r="N30" i="26"/>
  <c r="X30" i="26"/>
  <c r="I24" i="26"/>
  <c r="D24" i="26"/>
  <c r="P24" i="26"/>
  <c r="C24" i="26"/>
  <c r="CG76" i="26" s="1"/>
  <c r="CH76" i="26" s="1"/>
  <c r="L24" i="26"/>
  <c r="X24" i="26"/>
  <c r="W24" i="26"/>
  <c r="G24" i="26"/>
  <c r="S24" i="26"/>
  <c r="F24" i="26"/>
  <c r="R24" i="26"/>
  <c r="K24" i="26"/>
  <c r="V24" i="26"/>
  <c r="J24" i="26"/>
  <c r="E24" i="26"/>
  <c r="U24" i="26"/>
  <c r="H24" i="26"/>
  <c r="Q24" i="26"/>
  <c r="DU100" i="26"/>
  <c r="DY125" i="26" s="1"/>
  <c r="B23" i="26"/>
  <c r="DO100" i="26" s="1"/>
  <c r="C29" i="26"/>
  <c r="FI85" i="26" s="1"/>
  <c r="FK85" i="26" s="1"/>
  <c r="K29" i="26"/>
  <c r="S29" i="26"/>
  <c r="P29" i="26"/>
  <c r="J29" i="26"/>
  <c r="R29" i="26"/>
  <c r="H29" i="26"/>
  <c r="I29" i="26"/>
  <c r="Q29" i="26"/>
  <c r="X29" i="26"/>
  <c r="E29" i="26"/>
  <c r="U29" i="26"/>
  <c r="D29" i="26"/>
  <c r="G29" i="26"/>
  <c r="W29" i="26"/>
  <c r="F29" i="26"/>
  <c r="V29" i="26"/>
  <c r="EY100" i="26"/>
  <c r="C26" i="26"/>
  <c r="DM85" i="26" s="1"/>
  <c r="DO85" i="26" s="1"/>
  <c r="I26" i="26"/>
  <c r="H26" i="26"/>
  <c r="R26" i="26"/>
  <c r="P26" i="26"/>
  <c r="F26" i="26"/>
  <c r="Q26" i="26"/>
  <c r="E26" i="26"/>
  <c r="V26" i="26"/>
  <c r="J26" i="26"/>
  <c r="U26" i="26"/>
  <c r="D26" i="26"/>
  <c r="N26" i="26"/>
  <c r="M26" i="26"/>
  <c r="X26" i="26"/>
  <c r="W26" i="26"/>
  <c r="K26" i="26"/>
  <c r="EG100" i="26"/>
  <c r="G26" i="26"/>
  <c r="O26" i="26"/>
  <c r="S26" i="26"/>
  <c r="F25" i="26"/>
  <c r="C25" i="26"/>
  <c r="CW84" i="26" s="1"/>
  <c r="CX84" i="26" s="1"/>
  <c r="L25" i="26"/>
  <c r="U25" i="26"/>
  <c r="R25" i="26"/>
  <c r="K25" i="26"/>
  <c r="J25" i="26"/>
  <c r="S25" i="26"/>
  <c r="E25" i="26"/>
  <c r="O25" i="26"/>
  <c r="X25" i="26"/>
  <c r="D25" i="26"/>
  <c r="M25" i="26"/>
  <c r="W25" i="26"/>
  <c r="I25" i="26"/>
  <c r="H25" i="26"/>
  <c r="Q25" i="26"/>
  <c r="G25" i="26"/>
  <c r="P25" i="26"/>
  <c r="EA100" i="26"/>
  <c r="N25" i="26"/>
  <c r="V25" i="26"/>
  <c r="G18" i="26"/>
  <c r="U20" i="26"/>
  <c r="Q18" i="26"/>
  <c r="D18" i="26"/>
  <c r="C18" i="26"/>
  <c r="HU46" i="26" s="1"/>
  <c r="HV46" i="26" s="1"/>
  <c r="F18" i="26"/>
  <c r="W18" i="26"/>
  <c r="CK100" i="26"/>
  <c r="H18" i="26"/>
  <c r="X18" i="26"/>
  <c r="E18" i="26"/>
  <c r="I18" i="26"/>
  <c r="K18" i="26"/>
  <c r="P18" i="26"/>
  <c r="HY34" i="26" s="1"/>
  <c r="V18" i="26"/>
  <c r="J18" i="26"/>
  <c r="O18" i="26"/>
  <c r="N18" i="26"/>
  <c r="D110" i="20"/>
  <c r="E111" i="15" s="1"/>
  <c r="D108" i="18"/>
  <c r="D102" i="20"/>
  <c r="E103" i="15" s="1"/>
  <c r="D100" i="18"/>
  <c r="D107" i="20"/>
  <c r="E108" i="15" s="1"/>
  <c r="D105" i="18"/>
  <c r="D109" i="20"/>
  <c r="B33" i="34" s="1"/>
  <c r="D107" i="18"/>
  <c r="D106" i="20"/>
  <c r="E107" i="15" s="1"/>
  <c r="D104" i="18"/>
  <c r="D104" i="20"/>
  <c r="E105" i="15" s="1"/>
  <c r="D102" i="18"/>
  <c r="O16" i="12"/>
  <c r="D20" i="20" s="1"/>
  <c r="E21" i="15" s="1"/>
  <c r="R10" i="12"/>
  <c r="O11" i="26" s="1"/>
  <c r="O33" i="12"/>
  <c r="W33" i="12" s="1"/>
  <c r="T22" i="26" s="1"/>
  <c r="O90" i="12"/>
  <c r="D94" i="20" s="1"/>
  <c r="E95" i="15" s="1"/>
  <c r="R43" i="12"/>
  <c r="O11" i="12"/>
  <c r="D15" i="20" s="1"/>
  <c r="O21" i="12"/>
  <c r="W21" i="12" s="1"/>
  <c r="Q51" i="12"/>
  <c r="F55" i="20" s="1"/>
  <c r="O40" i="12"/>
  <c r="D44" i="20" s="1"/>
  <c r="E45" i="15" s="1"/>
  <c r="Q11" i="12"/>
  <c r="F15" i="20" s="1"/>
  <c r="R90" i="12"/>
  <c r="P43" i="12"/>
  <c r="R7" i="12"/>
  <c r="F43" i="29"/>
  <c r="R78" i="12"/>
  <c r="Q26" i="12"/>
  <c r="F30" i="20" s="1"/>
  <c r="Q10" i="12"/>
  <c r="F14" i="20" s="1"/>
  <c r="Q70" i="12"/>
  <c r="P59" i="12"/>
  <c r="E63" i="20" s="1"/>
  <c r="E36" i="34" s="1"/>
  <c r="Q32" i="12"/>
  <c r="F36" i="20" s="1"/>
  <c r="P51" i="12"/>
  <c r="E55" i="20" s="1"/>
  <c r="F56" i="15" s="1"/>
  <c r="G28" i="29"/>
  <c r="I28" i="29" s="1"/>
  <c r="P39" i="12"/>
  <c r="E43" i="20" s="1"/>
  <c r="F44" i="15" s="1"/>
  <c r="R82" i="12"/>
  <c r="R34" i="12"/>
  <c r="O78" i="12"/>
  <c r="D82" i="20" s="1"/>
  <c r="B45" i="34" s="1"/>
  <c r="R95" i="12"/>
  <c r="Q59" i="12"/>
  <c r="F63" i="20" s="1"/>
  <c r="O24" i="12"/>
  <c r="D28" i="20" s="1"/>
  <c r="E29" i="15" s="1"/>
  <c r="Q69" i="12"/>
  <c r="F73" i="20" s="1"/>
  <c r="Q58" i="12"/>
  <c r="F62" i="20" s="1"/>
  <c r="O59" i="12"/>
  <c r="D61" i="18" s="1"/>
  <c r="R27" i="12"/>
  <c r="E23" i="34"/>
  <c r="O61" i="12"/>
  <c r="D65" i="20" s="1"/>
  <c r="O48" i="12"/>
  <c r="D52" i="20" s="1"/>
  <c r="Q50" i="12"/>
  <c r="F54" i="20" s="1"/>
  <c r="R19" i="12"/>
  <c r="R67" i="12"/>
  <c r="U18" i="26"/>
  <c r="M18" i="26"/>
  <c r="F11" i="15"/>
  <c r="F27" i="15"/>
  <c r="F43" i="15"/>
  <c r="F59" i="15"/>
  <c r="F82" i="15"/>
  <c r="F81" i="15"/>
  <c r="E7" i="15"/>
  <c r="E25" i="15"/>
  <c r="F25" i="15"/>
  <c r="F57" i="15"/>
  <c r="F77" i="15"/>
  <c r="F99" i="15"/>
  <c r="F103" i="15"/>
  <c r="E19" i="15"/>
  <c r="F98" i="15"/>
  <c r="F38" i="15"/>
  <c r="F80" i="15"/>
  <c r="E44" i="15"/>
  <c r="E69" i="15"/>
  <c r="E31" i="15"/>
  <c r="F90" i="15"/>
  <c r="F54" i="15"/>
  <c r="F33" i="15"/>
  <c r="F65" i="15"/>
  <c r="E92" i="15"/>
  <c r="F93" i="15"/>
  <c r="E34" i="34"/>
  <c r="F18" i="15"/>
  <c r="F58" i="15"/>
  <c r="F7" i="15"/>
  <c r="E20" i="15"/>
  <c r="F51" i="15"/>
  <c r="E97" i="15"/>
  <c r="E93" i="15"/>
  <c r="F102" i="15"/>
  <c r="F10" i="15"/>
  <c r="F86" i="15"/>
  <c r="F96" i="15"/>
  <c r="E84" i="15"/>
  <c r="E33" i="15"/>
  <c r="E77" i="15"/>
  <c r="F91" i="15"/>
  <c r="E101" i="15"/>
  <c r="F34" i="15"/>
  <c r="E28" i="15"/>
  <c r="E60" i="15"/>
  <c r="F69" i="15"/>
  <c r="F97" i="15"/>
  <c r="E23" i="15"/>
  <c r="E79" i="15"/>
  <c r="F84" i="15"/>
  <c r="E96" i="15"/>
  <c r="F17" i="15"/>
  <c r="E91" i="15"/>
  <c r="E51" i="15"/>
  <c r="F74" i="15"/>
  <c r="F108" i="15"/>
  <c r="F22" i="15"/>
  <c r="F85" i="15"/>
  <c r="G7" i="15"/>
  <c r="K7" i="15"/>
  <c r="B32" i="4"/>
  <c r="I9" i="33"/>
  <c r="E121" i="20"/>
  <c r="E9" i="34" s="1"/>
  <c r="O50" i="12"/>
  <c r="D54" i="20" s="1"/>
  <c r="O34" i="12"/>
  <c r="D38" i="20" s="1"/>
  <c r="O42" i="12"/>
  <c r="D46" i="20" s="1"/>
  <c r="E124" i="20"/>
  <c r="E12" i="34" s="1"/>
  <c r="O10" i="12"/>
  <c r="D14" i="20" s="1"/>
  <c r="O32" i="12"/>
  <c r="D36" i="20" s="1"/>
  <c r="O13" i="12"/>
  <c r="D17" i="20" s="1"/>
  <c r="O56" i="12"/>
  <c r="D169" i="20" s="1"/>
  <c r="O5" i="12"/>
  <c r="D7" i="18" s="1"/>
  <c r="O17" i="12"/>
  <c r="D21" i="20" s="1"/>
  <c r="E148" i="20"/>
  <c r="E44" i="34"/>
  <c r="E163" i="20"/>
  <c r="F89" i="15"/>
  <c r="E46" i="34"/>
  <c r="E157" i="20"/>
  <c r="O29" i="12"/>
  <c r="R39" i="12"/>
  <c r="O28" i="26" s="1"/>
  <c r="Q78" i="12"/>
  <c r="F82" i="20" s="1"/>
  <c r="R8" i="12"/>
  <c r="O9" i="26" s="1"/>
  <c r="P8" i="12"/>
  <c r="E12" i="20" s="1"/>
  <c r="P15" i="12"/>
  <c r="E19" i="20" s="1"/>
  <c r="P66" i="12"/>
  <c r="E70" i="20" s="1"/>
  <c r="P70" i="12"/>
  <c r="O51" i="12"/>
  <c r="D55" i="20" s="1"/>
  <c r="P35" i="12"/>
  <c r="E39" i="20" s="1"/>
  <c r="R63" i="12"/>
  <c r="R75" i="12"/>
  <c r="R11" i="12"/>
  <c r="P23" i="12"/>
  <c r="E27" i="20" s="1"/>
  <c r="R31" i="12"/>
  <c r="R91" i="12"/>
  <c r="P16" i="12"/>
  <c r="E20" i="20" s="1"/>
  <c r="P87" i="12"/>
  <c r="E91" i="20" s="1"/>
  <c r="P48" i="12"/>
  <c r="E52" i="20" s="1"/>
  <c r="Q48" i="12"/>
  <c r="F52" i="20" s="1"/>
  <c r="Q43" i="12"/>
  <c r="P82" i="12"/>
  <c r="E86" i="20" s="1"/>
  <c r="Q89" i="12"/>
  <c r="P14" i="12"/>
  <c r="R58" i="12"/>
  <c r="P83" i="12"/>
  <c r="E87" i="20" s="1"/>
  <c r="Q83" i="12"/>
  <c r="F87" i="20" s="1"/>
  <c r="O8" i="12"/>
  <c r="W8" i="12" s="1"/>
  <c r="E36" i="20"/>
  <c r="E40" i="34"/>
  <c r="F73" i="15"/>
  <c r="E8" i="20"/>
  <c r="E120" i="20"/>
  <c r="E8" i="34" s="1"/>
  <c r="E40" i="20"/>
  <c r="E156" i="20"/>
  <c r="E24" i="34"/>
  <c r="F29" i="15"/>
  <c r="E31" i="34"/>
  <c r="F49" i="15"/>
  <c r="O53" i="12"/>
  <c r="W53" i="12" s="1"/>
  <c r="R32" i="12"/>
  <c r="R35" i="12"/>
  <c r="O24" i="26" s="1"/>
  <c r="E42" i="34"/>
  <c r="F41" i="29"/>
  <c r="O41" i="12"/>
  <c r="D45" i="20" s="1"/>
  <c r="O73" i="12"/>
  <c r="D77" i="20" s="1"/>
  <c r="P65" i="12"/>
  <c r="E69" i="20" s="1"/>
  <c r="Q35" i="12"/>
  <c r="F39" i="20" s="1"/>
  <c r="R69" i="12"/>
  <c r="O10" i="26" s="1"/>
  <c r="P90" i="12"/>
  <c r="E94" i="20" s="1"/>
  <c r="R3" i="12"/>
  <c r="R40" i="12"/>
  <c r="O29" i="26" s="1"/>
  <c r="O9" i="12"/>
  <c r="D13" i="20" s="1"/>
  <c r="Q18" i="12"/>
  <c r="F22" i="20" s="1"/>
  <c r="O49" i="12"/>
  <c r="D53" i="20" s="1"/>
  <c r="Q88" i="12"/>
  <c r="F92" i="20" s="1"/>
  <c r="Q56" i="12"/>
  <c r="F60" i="20" s="1"/>
  <c r="P27" i="12"/>
  <c r="E31" i="20" s="1"/>
  <c r="Q40" i="12"/>
  <c r="F44" i="20" s="1"/>
  <c r="F35" i="29"/>
  <c r="HU89" i="26"/>
  <c r="HW89" i="26" s="1"/>
  <c r="P63" i="12"/>
  <c r="E67" i="20" s="1"/>
  <c r="R15" i="12"/>
  <c r="O37" i="12"/>
  <c r="D41" i="20" s="1"/>
  <c r="R47" i="12"/>
  <c r="Q95" i="12"/>
  <c r="F99" i="20" s="1"/>
  <c r="P78" i="12"/>
  <c r="E82" i="20" s="1"/>
  <c r="Q65" i="12"/>
  <c r="F69" i="20" s="1"/>
  <c r="P95" i="12"/>
  <c r="E99" i="20" s="1"/>
  <c r="R24" i="12"/>
  <c r="O85" i="12"/>
  <c r="D89" i="20" s="1"/>
  <c r="O69" i="12"/>
  <c r="D73" i="20" s="1"/>
  <c r="P19" i="12"/>
  <c r="E23" i="20" s="1"/>
  <c r="Q3" i="12"/>
  <c r="N42" i="4" s="1"/>
  <c r="P67" i="12"/>
  <c r="E71" i="20" s="1"/>
  <c r="R16" i="12"/>
  <c r="O5" i="26" s="1"/>
  <c r="P7" i="12"/>
  <c r="E11" i="20" s="1"/>
  <c r="P47" i="12"/>
  <c r="E51" i="20" s="1"/>
  <c r="O25" i="12"/>
  <c r="D29" i="20" s="1"/>
  <c r="O57" i="12"/>
  <c r="D61" i="20" s="1"/>
  <c r="R79" i="12"/>
  <c r="R87" i="12"/>
  <c r="O77" i="12"/>
  <c r="D81" i="20" s="1"/>
  <c r="Q27" i="12"/>
  <c r="F31" i="20" s="1"/>
  <c r="R48" i="12"/>
  <c r="Q8" i="12"/>
  <c r="F12" i="20" s="1"/>
  <c r="P74" i="12"/>
  <c r="E78" i="20" s="1"/>
  <c r="P58" i="12"/>
  <c r="E62" i="20" s="1"/>
  <c r="P50" i="12"/>
  <c r="E54" i="20" s="1"/>
  <c r="P42" i="12"/>
  <c r="E46" i="20" s="1"/>
  <c r="P34" i="12"/>
  <c r="E125" i="20" s="1"/>
  <c r="P26" i="12"/>
  <c r="E30" i="20" s="1"/>
  <c r="P18" i="12"/>
  <c r="E22" i="20" s="1"/>
  <c r="P10" i="12"/>
  <c r="E14" i="20" s="1"/>
  <c r="R59" i="12"/>
  <c r="O27" i="12"/>
  <c r="W27" i="12" s="1"/>
  <c r="T16" i="26" s="1"/>
  <c r="P11" i="12"/>
  <c r="E15" i="20" s="1"/>
  <c r="F62" i="15"/>
  <c r="R23" i="12"/>
  <c r="O45" i="12"/>
  <c r="D49" i="20" s="1"/>
  <c r="R55" i="12"/>
  <c r="P3" i="12"/>
  <c r="M42" i="4" s="1"/>
  <c r="E2" i="29" s="1"/>
  <c r="Q67" i="12"/>
  <c r="F71" i="20" s="1"/>
  <c r="R83" i="12"/>
  <c r="O65" i="12"/>
  <c r="W65" i="12" s="1"/>
  <c r="O95" i="12"/>
  <c r="D97" i="18" s="1"/>
  <c r="Q24" i="12"/>
  <c r="F28" i="20" s="1"/>
  <c r="P40" i="12"/>
  <c r="E44" i="20" s="1"/>
  <c r="R89" i="12"/>
  <c r="Q90" i="12"/>
  <c r="F94" i="20" s="1"/>
  <c r="R51" i="12"/>
  <c r="O19" i="12"/>
  <c r="D21" i="18" s="1"/>
  <c r="O67" i="12"/>
  <c r="D71" i="20" s="1"/>
  <c r="Q16" i="12"/>
  <c r="F20" i="20" s="1"/>
  <c r="E122" i="20"/>
  <c r="D14" i="18"/>
  <c r="D16" i="20"/>
  <c r="E126" i="20"/>
  <c r="E103" i="20"/>
  <c r="D95" i="18"/>
  <c r="D97" i="20"/>
  <c r="D70" i="20"/>
  <c r="E52" i="15"/>
  <c r="B32" i="34"/>
  <c r="D128" i="20"/>
  <c r="B16" i="34" s="1"/>
  <c r="D105" i="20"/>
  <c r="D8" i="18"/>
  <c r="D10" i="20"/>
  <c r="D5" i="18"/>
  <c r="D7" i="20"/>
  <c r="B40" i="34"/>
  <c r="E73" i="15"/>
  <c r="D24" i="18"/>
  <c r="D26" i="20"/>
  <c r="B35" i="34"/>
  <c r="E63" i="15"/>
  <c r="E75" i="15"/>
  <c r="B41" i="34"/>
  <c r="D38" i="18"/>
  <c r="D40" i="20"/>
  <c r="D82" i="18"/>
  <c r="D84" i="20"/>
  <c r="D86" i="18"/>
  <c r="D88" i="20"/>
  <c r="D77" i="18"/>
  <c r="D79" i="20"/>
  <c r="D96" i="18"/>
  <c r="D98" i="20"/>
  <c r="D32" i="18"/>
  <c r="D34" i="20"/>
  <c r="D91" i="18"/>
  <c r="D93" i="20"/>
  <c r="E67" i="15"/>
  <c r="B37" i="34"/>
  <c r="D54" i="18"/>
  <c r="D56" i="20"/>
  <c r="D126" i="20"/>
  <c r="D103" i="20"/>
  <c r="D33" i="18"/>
  <c r="D35" i="20"/>
  <c r="B38" i="34"/>
  <c r="E68" i="15"/>
  <c r="E29" i="34"/>
  <c r="F35" i="15"/>
  <c r="D123" i="20"/>
  <c r="D101" i="20"/>
  <c r="D45" i="18"/>
  <c r="D47" i="20"/>
  <c r="D131" i="20"/>
  <c r="B19" i="34" s="1"/>
  <c r="D108" i="20"/>
  <c r="E75" i="20"/>
  <c r="D40" i="18"/>
  <c r="D42" i="20"/>
  <c r="E88" i="15"/>
  <c r="D62" i="18"/>
  <c r="D64" i="20"/>
  <c r="D56" i="18"/>
  <c r="D58" i="20"/>
  <c r="B43" i="34"/>
  <c r="E76" i="15"/>
  <c r="D37" i="18"/>
  <c r="D39" i="20"/>
  <c r="B31" i="34"/>
  <c r="E49" i="15"/>
  <c r="D80" i="20"/>
  <c r="D6" i="18"/>
  <c r="D8" i="20"/>
  <c r="D9" i="18"/>
  <c r="D11" i="20"/>
  <c r="D83" i="18"/>
  <c r="D85" i="20"/>
  <c r="D84" i="18"/>
  <c r="D86" i="20"/>
  <c r="L110" i="20"/>
  <c r="K110" i="20"/>
  <c r="I110" i="20"/>
  <c r="J110" i="20" s="1"/>
  <c r="O119" i="20"/>
  <c r="AP119" i="20" s="1"/>
  <c r="R122" i="20"/>
  <c r="AS122" i="20" s="1"/>
  <c r="T127" i="20"/>
  <c r="AU127" i="20" s="1"/>
  <c r="H107" i="20"/>
  <c r="H82" i="20"/>
  <c r="H90" i="20"/>
  <c r="H14" i="20"/>
  <c r="H50" i="20"/>
  <c r="H58" i="20"/>
  <c r="H80" i="20"/>
  <c r="H88" i="20"/>
  <c r="H26" i="20"/>
  <c r="H34" i="20"/>
  <c r="H42" i="20"/>
  <c r="H70" i="20"/>
  <c r="H98" i="20"/>
  <c r="H102" i="20"/>
  <c r="H109" i="20"/>
  <c r="H24" i="20"/>
  <c r="H32" i="20"/>
  <c r="H40" i="20"/>
  <c r="H68" i="20"/>
  <c r="H96" i="20"/>
  <c r="H8" i="20"/>
  <c r="H16" i="20"/>
  <c r="H52" i="20"/>
  <c r="H60" i="20"/>
  <c r="H15" i="20"/>
  <c r="H62" i="20"/>
  <c r="H10" i="20"/>
  <c r="H53" i="20"/>
  <c r="H48" i="20"/>
  <c r="H63" i="20"/>
  <c r="H17" i="20"/>
  <c r="H13" i="20"/>
  <c r="H77" i="20"/>
  <c r="H11" i="20"/>
  <c r="H23" i="20"/>
  <c r="H103" i="20"/>
  <c r="H78" i="20"/>
  <c r="H89" i="20"/>
  <c r="H92" i="20"/>
  <c r="H83" i="20"/>
  <c r="H64" i="20"/>
  <c r="H72" i="20"/>
  <c r="H36" i="20"/>
  <c r="H71" i="20"/>
  <c r="H27" i="20"/>
  <c r="H75" i="20"/>
  <c r="H57" i="20"/>
  <c r="H106" i="20"/>
  <c r="H91" i="20"/>
  <c r="H41" i="20"/>
  <c r="H21" i="20"/>
  <c r="H12" i="20"/>
  <c r="H101" i="20"/>
  <c r="H51" i="20"/>
  <c r="H95" i="20"/>
  <c r="H67" i="20"/>
  <c r="H39" i="20"/>
  <c r="H69" i="20"/>
  <c r="H105" i="20"/>
  <c r="H97" i="20"/>
  <c r="H25" i="20"/>
  <c r="H87" i="20"/>
  <c r="H22" i="20"/>
  <c r="H44" i="20"/>
  <c r="H35" i="20"/>
  <c r="H30" i="20"/>
  <c r="H59" i="20"/>
  <c r="H65" i="20"/>
  <c r="H38" i="20"/>
  <c r="H29" i="20"/>
  <c r="H104" i="20"/>
  <c r="H76" i="20"/>
  <c r="H73" i="20"/>
  <c r="H85" i="20"/>
  <c r="H20" i="20"/>
  <c r="H61" i="20"/>
  <c r="H43" i="20"/>
  <c r="H56" i="20"/>
  <c r="H46" i="20"/>
  <c r="H37" i="20"/>
  <c r="H7" i="20"/>
  <c r="H54" i="20"/>
  <c r="H9" i="20"/>
  <c r="H33" i="20"/>
  <c r="H55" i="20"/>
  <c r="H99" i="20"/>
  <c r="H86" i="20"/>
  <c r="H94" i="20"/>
  <c r="H49" i="20"/>
  <c r="H45" i="20"/>
  <c r="H81" i="20"/>
  <c r="H84" i="20"/>
  <c r="H31" i="20"/>
  <c r="H28" i="20"/>
  <c r="H108" i="20"/>
  <c r="H19" i="20"/>
  <c r="H79" i="20"/>
  <c r="O126" i="20"/>
  <c r="AP126" i="20" s="1"/>
  <c r="O128" i="20"/>
  <c r="AP128" i="20" s="1"/>
  <c r="O158" i="20"/>
  <c r="AA158" i="20" s="1"/>
  <c r="O121" i="20"/>
  <c r="AP121" i="20" s="1"/>
  <c r="O129" i="20"/>
  <c r="AP129" i="20" s="1"/>
  <c r="Y119" i="20"/>
  <c r="AZ119" i="20" s="1"/>
  <c r="AG127" i="20"/>
  <c r="BH127" i="20" s="1"/>
  <c r="O131" i="20"/>
  <c r="AP131" i="20" s="1"/>
  <c r="Y123" i="20"/>
  <c r="AZ123" i="20" s="1"/>
  <c r="E19" i="34"/>
  <c r="T122" i="20"/>
  <c r="AU122" i="20" s="1"/>
  <c r="E15" i="34"/>
  <c r="Q156" i="20"/>
  <c r="AC156" i="20" s="1"/>
  <c r="T124" i="20"/>
  <c r="AU124" i="20" s="1"/>
  <c r="Y125" i="20"/>
  <c r="AZ125" i="20" s="1"/>
  <c r="AA119" i="20"/>
  <c r="BB119" i="20" s="1"/>
  <c r="E17" i="34"/>
  <c r="Q128" i="20"/>
  <c r="AR128" i="20" s="1"/>
  <c r="Y120" i="20"/>
  <c r="AZ120" i="20" s="1"/>
  <c r="E16" i="34"/>
  <c r="T129" i="20"/>
  <c r="AU129" i="20" s="1"/>
  <c r="S169" i="20"/>
  <c r="AE169" i="20" s="1"/>
  <c r="AU118" i="20"/>
  <c r="Y122" i="20"/>
  <c r="AZ122" i="20" s="1"/>
  <c r="T125" i="20"/>
  <c r="AU125" i="20" s="1"/>
  <c r="AZ118" i="20"/>
  <c r="F149" i="20"/>
  <c r="G149" i="20" s="1"/>
  <c r="F148" i="20"/>
  <c r="G148" i="20" s="1"/>
  <c r="F130" i="20"/>
  <c r="G130" i="20" s="1"/>
  <c r="F156" i="20"/>
  <c r="G156" i="20" s="1"/>
  <c r="H156" i="20" s="1"/>
  <c r="F119" i="20"/>
  <c r="G119" i="20" s="1"/>
  <c r="F158" i="20"/>
  <c r="G158" i="20" s="1"/>
  <c r="H158" i="20" s="1"/>
  <c r="F168" i="20"/>
  <c r="G168" i="20" s="1"/>
  <c r="I168" i="20" s="1"/>
  <c r="F165" i="20"/>
  <c r="G165" i="20" s="1"/>
  <c r="H165" i="20" s="1"/>
  <c r="F164" i="20"/>
  <c r="G164" i="20" s="1"/>
  <c r="H164" i="20" s="1"/>
  <c r="F162" i="20"/>
  <c r="G162" i="20" s="1"/>
  <c r="F127" i="20"/>
  <c r="G127" i="20" s="1"/>
  <c r="F157" i="20"/>
  <c r="G157" i="20" s="1"/>
  <c r="H157" i="20" s="1"/>
  <c r="F125" i="20"/>
  <c r="G125" i="20" s="1"/>
  <c r="F129" i="20"/>
  <c r="G129" i="20" s="1"/>
  <c r="F131" i="20"/>
  <c r="G131" i="20" s="1"/>
  <c r="F120" i="20"/>
  <c r="G120" i="20" s="1"/>
  <c r="F163" i="20"/>
  <c r="G163" i="20" s="1"/>
  <c r="F169" i="20"/>
  <c r="G169" i="20" s="1"/>
  <c r="I169" i="20" s="1"/>
  <c r="F121" i="20"/>
  <c r="G121" i="20" s="1"/>
  <c r="F122" i="20"/>
  <c r="G122" i="20" s="1"/>
  <c r="F124" i="20"/>
  <c r="G124" i="20" s="1"/>
  <c r="F128" i="20"/>
  <c r="G128" i="20" s="1"/>
  <c r="F123" i="20"/>
  <c r="G123" i="20" s="1"/>
  <c r="F126" i="20"/>
  <c r="G126" i="20" s="1"/>
  <c r="W6" i="12"/>
  <c r="D122" i="20"/>
  <c r="E123" i="20"/>
  <c r="W12" i="12"/>
  <c r="W23" i="12"/>
  <c r="D25" i="18"/>
  <c r="W55" i="12"/>
  <c r="D57" i="18"/>
  <c r="W87" i="12"/>
  <c r="D89" i="18"/>
  <c r="W28" i="12"/>
  <c r="T17" i="26" s="1"/>
  <c r="D30" i="18"/>
  <c r="W72" i="12"/>
  <c r="D74" i="18"/>
  <c r="W68" i="12"/>
  <c r="D70" i="18"/>
  <c r="W79" i="12"/>
  <c r="D81" i="18"/>
  <c r="D60" i="18"/>
  <c r="W26" i="12"/>
  <c r="T15" i="26" s="1"/>
  <c r="D28" i="18"/>
  <c r="W18" i="12"/>
  <c r="D20" i="18"/>
  <c r="D72" i="18"/>
  <c r="W44" i="12"/>
  <c r="D46" i="18"/>
  <c r="W92" i="12"/>
  <c r="D94" i="18"/>
  <c r="W104" i="12"/>
  <c r="W91" i="12"/>
  <c r="D93" i="18"/>
  <c r="W86" i="12"/>
  <c r="D88" i="18"/>
  <c r="W102" i="12"/>
  <c r="W88" i="12"/>
  <c r="D90" i="18"/>
  <c r="W83" i="12"/>
  <c r="D85" i="18"/>
  <c r="W100" i="12"/>
  <c r="W99" i="12"/>
  <c r="W63" i="12"/>
  <c r="D65" i="18"/>
  <c r="W46" i="12"/>
  <c r="D48" i="18"/>
  <c r="W74" i="12"/>
  <c r="D76" i="18"/>
  <c r="D99" i="18"/>
  <c r="W97" i="12"/>
  <c r="W106" i="12"/>
  <c r="W71" i="12"/>
  <c r="D73" i="18"/>
  <c r="W103" i="12"/>
  <c r="W76" i="12"/>
  <c r="D78" i="18"/>
  <c r="W39" i="12"/>
  <c r="T28" i="26" s="1"/>
  <c r="D41" i="18"/>
  <c r="W98" i="12"/>
  <c r="W64" i="12"/>
  <c r="D66" i="18"/>
  <c r="W20" i="12"/>
  <c r="D22" i="18"/>
  <c r="W66" i="12"/>
  <c r="D68" i="18"/>
  <c r="W15" i="12"/>
  <c r="D17" i="18"/>
  <c r="W47" i="12"/>
  <c r="D49" i="18"/>
  <c r="W101" i="12"/>
  <c r="D164" i="20"/>
  <c r="W105" i="12"/>
  <c r="E158" i="20"/>
  <c r="D119" i="20"/>
  <c r="W31" i="12"/>
  <c r="T20" i="26" s="1"/>
  <c r="W35" i="12"/>
  <c r="T24" i="26" s="1"/>
  <c r="D168" i="20"/>
  <c r="W36" i="12"/>
  <c r="T25" i="26" s="1"/>
  <c r="W80" i="12"/>
  <c r="W30" i="12"/>
  <c r="T19" i="26" s="1"/>
  <c r="W38" i="12"/>
  <c r="T27" i="26" s="1"/>
  <c r="W52" i="12"/>
  <c r="W60" i="12"/>
  <c r="W94" i="12"/>
  <c r="W54" i="12"/>
  <c r="W81" i="12"/>
  <c r="W82" i="12"/>
  <c r="W84" i="12"/>
  <c r="W75" i="12"/>
  <c r="W93" i="12"/>
  <c r="W22" i="12"/>
  <c r="W58" i="12"/>
  <c r="X92" i="12"/>
  <c r="Y92" i="12" s="1"/>
  <c r="W89" i="12"/>
  <c r="X90" i="12"/>
  <c r="Y90" i="12" s="1"/>
  <c r="X93" i="12"/>
  <c r="Y93" i="12" s="1"/>
  <c r="X94" i="12"/>
  <c r="Y94" i="12" s="1"/>
  <c r="X91" i="12"/>
  <c r="Y91" i="12" s="1"/>
  <c r="X95" i="12"/>
  <c r="Y95" i="12" s="1"/>
  <c r="X85" i="12"/>
  <c r="Y85" i="12" s="1"/>
  <c r="X81" i="12"/>
  <c r="Y81" i="12" s="1"/>
  <c r="X77" i="12"/>
  <c r="Y77" i="12" s="1"/>
  <c r="X73" i="12"/>
  <c r="Y73" i="12" s="1"/>
  <c r="W70" i="12"/>
  <c r="X86" i="12"/>
  <c r="Y86" i="12" s="1"/>
  <c r="X82" i="12"/>
  <c r="Y82" i="12" s="1"/>
  <c r="X78" i="12"/>
  <c r="Y78" i="12" s="1"/>
  <c r="X74" i="12"/>
  <c r="Y74" i="12" s="1"/>
  <c r="X87" i="12"/>
  <c r="Y87" i="12" s="1"/>
  <c r="X83" i="12"/>
  <c r="Y83" i="12" s="1"/>
  <c r="X79" i="12"/>
  <c r="Y79" i="12" s="1"/>
  <c r="X75" i="12"/>
  <c r="Y75" i="12" s="1"/>
  <c r="X71" i="12"/>
  <c r="Y71" i="12" s="1"/>
  <c r="X88" i="12"/>
  <c r="Y88" i="12" s="1"/>
  <c r="X84" i="12"/>
  <c r="Y84" i="12" s="1"/>
  <c r="X80" i="12"/>
  <c r="Y80" i="12" s="1"/>
  <c r="X76" i="12"/>
  <c r="Y76" i="12" s="1"/>
  <c r="X72" i="12"/>
  <c r="Y72" i="12" s="1"/>
  <c r="X58" i="12"/>
  <c r="Y58" i="12" s="1"/>
  <c r="X55" i="12"/>
  <c r="Y55" i="12" s="1"/>
  <c r="X52" i="12"/>
  <c r="Y52" i="12" s="1"/>
  <c r="X49" i="12"/>
  <c r="Y49" i="12" s="1"/>
  <c r="X46" i="12"/>
  <c r="Y46" i="12" s="1"/>
  <c r="W43" i="12"/>
  <c r="X59" i="12"/>
  <c r="Y59" i="12" s="1"/>
  <c r="X56" i="12"/>
  <c r="Y56" i="12" s="1"/>
  <c r="X50" i="12"/>
  <c r="Y50" i="12" s="1"/>
  <c r="X47" i="12"/>
  <c r="Y47" i="12" s="1"/>
  <c r="X44" i="12"/>
  <c r="Y44" i="12" s="1"/>
  <c r="X53" i="12"/>
  <c r="Y53" i="12" s="1"/>
  <c r="X60" i="12"/>
  <c r="Y60" i="12" s="1"/>
  <c r="X57" i="12"/>
  <c r="Y57" i="12" s="1"/>
  <c r="X54" i="12"/>
  <c r="Y54" i="12" s="1"/>
  <c r="X45" i="12"/>
  <c r="Y45" i="12" s="1"/>
  <c r="X51" i="12"/>
  <c r="Y51" i="12" s="1"/>
  <c r="X48" i="12"/>
  <c r="Y48" i="12" s="1"/>
  <c r="X61" i="12"/>
  <c r="Y61" i="12" s="1"/>
  <c r="D130" i="20"/>
  <c r="D120" i="20"/>
  <c r="W7" i="12"/>
  <c r="D127" i="20"/>
  <c r="D129" i="20"/>
  <c r="E130" i="20"/>
  <c r="W4" i="12"/>
  <c r="W3" i="12"/>
  <c r="V43" i="4"/>
  <c r="U42" i="4"/>
  <c r="Q10" i="26"/>
  <c r="D40" i="26"/>
  <c r="D71" i="26" s="1"/>
  <c r="V42" i="4"/>
  <c r="E19" i="26"/>
  <c r="X9" i="26"/>
  <c r="ES42" i="26"/>
  <c r="EU42" i="26" s="1"/>
  <c r="P19" i="26"/>
  <c r="I65" i="26" s="1"/>
  <c r="H11" i="26"/>
  <c r="ES49" i="26"/>
  <c r="EU49" i="26" s="1"/>
  <c r="C19" i="26"/>
  <c r="E83" i="26" s="1"/>
  <c r="F83" i="26" s="1"/>
  <c r="HU80" i="26"/>
  <c r="HV80" i="26" s="1"/>
  <c r="HU70" i="26"/>
  <c r="HW70" i="26" s="1"/>
  <c r="HU76" i="26"/>
  <c r="HV76" i="26" s="1"/>
  <c r="C71" i="26"/>
  <c r="HE81" i="26"/>
  <c r="HE73" i="26"/>
  <c r="HE87" i="26"/>
  <c r="HE89" i="26"/>
  <c r="HE79" i="26"/>
  <c r="HE71" i="26"/>
  <c r="HE80" i="26"/>
  <c r="HG80" i="26" s="1"/>
  <c r="HE74" i="26"/>
  <c r="HG74" i="26" s="1"/>
  <c r="HE75" i="26"/>
  <c r="HG75" i="26" s="1"/>
  <c r="HE69" i="26"/>
  <c r="HF69" i="26" s="1"/>
  <c r="HU93" i="26"/>
  <c r="HV93" i="26" s="1"/>
  <c r="HU90" i="26"/>
  <c r="HW90" i="26" s="1"/>
  <c r="HE86" i="26"/>
  <c r="HE77" i="26"/>
  <c r="HG77" i="26" s="1"/>
  <c r="HU75" i="26"/>
  <c r="HV75" i="26" s="1"/>
  <c r="HU69" i="26"/>
  <c r="HW69" i="26" s="1"/>
  <c r="HU81" i="26"/>
  <c r="HW81" i="26" s="1"/>
  <c r="HU86" i="26"/>
  <c r="C69" i="26"/>
  <c r="HE90" i="26"/>
  <c r="HG90" i="26" s="1"/>
  <c r="HU74" i="26"/>
  <c r="HV74" i="26" s="1"/>
  <c r="HU92" i="26"/>
  <c r="HW92" i="26" s="1"/>
  <c r="HE83" i="26"/>
  <c r="HF83" i="26" s="1"/>
  <c r="HE85" i="26"/>
  <c r="HF85" i="26" s="1"/>
  <c r="HE76" i="26"/>
  <c r="HF76" i="26" s="1"/>
  <c r="HU83" i="26"/>
  <c r="HV83" i="26" s="1"/>
  <c r="HU77" i="26"/>
  <c r="HV77" i="26" s="1"/>
  <c r="C70" i="26"/>
  <c r="HE70" i="26"/>
  <c r="HG70" i="26" s="1"/>
  <c r="HE78" i="26"/>
  <c r="HF78" i="26" s="1"/>
  <c r="HE88" i="26"/>
  <c r="HG88" i="26" s="1"/>
  <c r="HE82" i="26"/>
  <c r="HG82" i="26" s="1"/>
  <c r="HU78" i="26"/>
  <c r="HW78" i="26" s="1"/>
  <c r="HU88" i="26"/>
  <c r="HV88" i="26" s="1"/>
  <c r="HU84" i="26"/>
  <c r="HV84" i="26" s="1"/>
  <c r="HE93" i="26"/>
  <c r="HF93" i="26" s="1"/>
  <c r="HE84" i="26"/>
  <c r="HG84" i="26" s="1"/>
  <c r="HU91" i="26"/>
  <c r="HW91" i="26" s="1"/>
  <c r="HU85" i="26"/>
  <c r="HW85" i="26" s="1"/>
  <c r="C72" i="26"/>
  <c r="HU79" i="26"/>
  <c r="HU87" i="26"/>
  <c r="HU71" i="26"/>
  <c r="HU73" i="26"/>
  <c r="HW73" i="26" s="1"/>
  <c r="FI75" i="26"/>
  <c r="FK75" i="26" s="1"/>
  <c r="HE91" i="26"/>
  <c r="HF91" i="26" s="1"/>
  <c r="HE72" i="26"/>
  <c r="HG72" i="26" s="1"/>
  <c r="HE92" i="26"/>
  <c r="HF92" i="26" s="1"/>
  <c r="HU82" i="26"/>
  <c r="HV82" i="26" s="1"/>
  <c r="HU72" i="26"/>
  <c r="HV72" i="26" s="1"/>
  <c r="ES48" i="26"/>
  <c r="ES40" i="26"/>
  <c r="ES56" i="26"/>
  <c r="ES47" i="26"/>
  <c r="EU47" i="26" s="1"/>
  <c r="ES62" i="26"/>
  <c r="ET62" i="26" s="1"/>
  <c r="ES59" i="26"/>
  <c r="ET59" i="26" s="1"/>
  <c r="ES43" i="26"/>
  <c r="EU43" i="26" s="1"/>
  <c r="ES41" i="26"/>
  <c r="EU41" i="26" s="1"/>
  <c r="ES38" i="26"/>
  <c r="EU38" i="26" s="1"/>
  <c r="ES57" i="26"/>
  <c r="EU57" i="26" s="1"/>
  <c r="ES54" i="26"/>
  <c r="EU54" i="26" s="1"/>
  <c r="ES44" i="26"/>
  <c r="EU44" i="26" s="1"/>
  <c r="ES37" i="26"/>
  <c r="EU37" i="26" s="1"/>
  <c r="ES50" i="26"/>
  <c r="ET50" i="26" s="1"/>
  <c r="ES55" i="26"/>
  <c r="ES52" i="26"/>
  <c r="EU52" i="26" s="1"/>
  <c r="ES45" i="26"/>
  <c r="ET45" i="26" s="1"/>
  <c r="ES60" i="26"/>
  <c r="EU60" i="26" s="1"/>
  <c r="ES53" i="26"/>
  <c r="ET53" i="26" s="1"/>
  <c r="ES58" i="26"/>
  <c r="EU58" i="26" s="1"/>
  <c r="ES39" i="26"/>
  <c r="EU39" i="26" s="1"/>
  <c r="ES61" i="26"/>
  <c r="ET61" i="26" s="1"/>
  <c r="ES51" i="26"/>
  <c r="EU51" i="26" s="1"/>
  <c r="ET46" i="26"/>
  <c r="H9" i="26"/>
  <c r="W17" i="26"/>
  <c r="V21" i="26"/>
  <c r="S9" i="26"/>
  <c r="M21" i="26"/>
  <c r="J9" i="26"/>
  <c r="DC100" i="26"/>
  <c r="DG114" i="26" s="1"/>
  <c r="K21" i="26"/>
  <c r="K9" i="26"/>
  <c r="E21" i="26"/>
  <c r="C9" i="26"/>
  <c r="D14" i="26"/>
  <c r="P21" i="26"/>
  <c r="AO65" i="26" s="1"/>
  <c r="E9" i="26"/>
  <c r="C21" i="26"/>
  <c r="Q9" i="26"/>
  <c r="S21" i="26"/>
  <c r="P9" i="26"/>
  <c r="CK34" i="26" s="1"/>
  <c r="D21" i="26"/>
  <c r="AI100" i="26"/>
  <c r="R21" i="26"/>
  <c r="BM100" i="26"/>
  <c r="C7" i="26"/>
  <c r="V7" i="26"/>
  <c r="E7" i="26"/>
  <c r="G21" i="26"/>
  <c r="I21" i="26"/>
  <c r="W9" i="26"/>
  <c r="F9" i="26"/>
  <c r="W21" i="26"/>
  <c r="O14" i="26"/>
  <c r="J14" i="26"/>
  <c r="K7" i="26"/>
  <c r="R9" i="26"/>
  <c r="I14" i="26"/>
  <c r="P7" i="26"/>
  <c r="BE34" i="26" s="1"/>
  <c r="P14" i="26"/>
  <c r="FM34" i="26" s="1"/>
  <c r="W100" i="26"/>
  <c r="N21" i="26"/>
  <c r="J21" i="26"/>
  <c r="D9" i="26"/>
  <c r="Q21" i="26"/>
  <c r="Q7" i="26"/>
  <c r="U21" i="26"/>
  <c r="H7" i="26"/>
  <c r="X21" i="26"/>
  <c r="H21" i="26"/>
  <c r="G9" i="26"/>
  <c r="D19" i="21"/>
  <c r="D31" i="29"/>
  <c r="H31" i="29" s="1"/>
  <c r="AI131" i="20"/>
  <c r="BJ131" i="20" s="1"/>
  <c r="Q130" i="20"/>
  <c r="AR130" i="20" s="1"/>
  <c r="Q131" i="20"/>
  <c r="AR131" i="20" s="1"/>
  <c r="Q126" i="20"/>
  <c r="AR126" i="20" s="1"/>
  <c r="BB118" i="20"/>
  <c r="F33" i="29"/>
  <c r="Q163" i="20"/>
  <c r="AC163" i="20" s="1"/>
  <c r="AR118" i="20"/>
  <c r="AA127" i="20"/>
  <c r="BB127" i="20" s="1"/>
  <c r="Q119" i="20"/>
  <c r="AR119" i="20" s="1"/>
  <c r="Q148" i="20"/>
  <c r="AC148" i="20" s="1"/>
  <c r="Q123" i="20"/>
  <c r="AR123" i="20" s="1"/>
  <c r="S123" i="20"/>
  <c r="AT123" i="20" s="1"/>
  <c r="Q165" i="20"/>
  <c r="AC165" i="20" s="1"/>
  <c r="AA129" i="20"/>
  <c r="BB129" i="20" s="1"/>
  <c r="AJ125" i="20"/>
  <c r="BK125" i="20" s="1"/>
  <c r="Q125" i="20"/>
  <c r="AR125" i="20" s="1"/>
  <c r="Q120" i="20"/>
  <c r="AR120" i="20" s="1"/>
  <c r="Q168" i="20"/>
  <c r="AC168" i="20" s="1"/>
  <c r="AJ128" i="20"/>
  <c r="BK128" i="20" s="1"/>
  <c r="Q127" i="20"/>
  <c r="AR127" i="20" s="1"/>
  <c r="Q122" i="20"/>
  <c r="AR122" i="20" s="1"/>
  <c r="Q129" i="20"/>
  <c r="AR129" i="20" s="1"/>
  <c r="AA128" i="20"/>
  <c r="BB128" i="20" s="1"/>
  <c r="S125" i="20"/>
  <c r="AT125" i="20" s="1"/>
  <c r="AI128" i="20"/>
  <c r="BJ128" i="20" s="1"/>
  <c r="S127" i="20"/>
  <c r="AT127" i="20" s="1"/>
  <c r="S162" i="20"/>
  <c r="AE162" i="20" s="1"/>
  <c r="AB129" i="20"/>
  <c r="BC129" i="20" s="1"/>
  <c r="AI119" i="20"/>
  <c r="BJ119" i="20" s="1"/>
  <c r="S120" i="20"/>
  <c r="AT120" i="20" s="1"/>
  <c r="G24" i="29"/>
  <c r="S122" i="20"/>
  <c r="AT122" i="20" s="1"/>
  <c r="AA124" i="20"/>
  <c r="BB124" i="20" s="1"/>
  <c r="AJ130" i="20"/>
  <c r="BK130" i="20" s="1"/>
  <c r="G21" i="29"/>
  <c r="BJ118" i="20"/>
  <c r="S157" i="20"/>
  <c r="AE157" i="20" s="1"/>
  <c r="AJ121" i="20"/>
  <c r="BK121" i="20" s="1"/>
  <c r="S124" i="20"/>
  <c r="AT124" i="20" s="1"/>
  <c r="AA126" i="20"/>
  <c r="BB126" i="20" s="1"/>
  <c r="S149" i="20"/>
  <c r="AE149" i="20" s="1"/>
  <c r="AJ129" i="20"/>
  <c r="BK129" i="20" s="1"/>
  <c r="S148" i="20"/>
  <c r="AE148" i="20" s="1"/>
  <c r="F38" i="29"/>
  <c r="AI130" i="20"/>
  <c r="BJ130" i="20" s="1"/>
  <c r="AJ123" i="20"/>
  <c r="BK123" i="20" s="1"/>
  <c r="S121" i="20"/>
  <c r="AT121" i="20" s="1"/>
  <c r="R131" i="20"/>
  <c r="AS131" i="20" s="1"/>
  <c r="R124" i="20"/>
  <c r="AS124" i="20" s="1"/>
  <c r="R119" i="20"/>
  <c r="AS119" i="20" s="1"/>
  <c r="F34" i="29"/>
  <c r="R126" i="20"/>
  <c r="AS126" i="20" s="1"/>
  <c r="R121" i="20"/>
  <c r="AS121" i="20" s="1"/>
  <c r="T120" i="20"/>
  <c r="AU120" i="20" s="1"/>
  <c r="AP118" i="20"/>
  <c r="Y121" i="20"/>
  <c r="AZ121" i="20" s="1"/>
  <c r="AA131" i="20"/>
  <c r="BB131" i="20" s="1"/>
  <c r="R130" i="20"/>
  <c r="AS130" i="20" s="1"/>
  <c r="R125" i="20"/>
  <c r="AS125" i="20" s="1"/>
  <c r="R127" i="20"/>
  <c r="AS127" i="20" s="1"/>
  <c r="T126" i="20"/>
  <c r="AU126" i="20" s="1"/>
  <c r="T119" i="20"/>
  <c r="AU119" i="20" s="1"/>
  <c r="AB127" i="20"/>
  <c r="BC127" i="20" s="1"/>
  <c r="Y130" i="20"/>
  <c r="AZ130" i="20" s="1"/>
  <c r="O123" i="20"/>
  <c r="AP123" i="20" s="1"/>
  <c r="O120" i="20"/>
  <c r="AP120" i="20" s="1"/>
  <c r="Y127" i="20"/>
  <c r="AZ127" i="20" s="1"/>
  <c r="Y124" i="20"/>
  <c r="AZ124" i="20" s="1"/>
  <c r="O130" i="20"/>
  <c r="AP130" i="20" s="1"/>
  <c r="O164" i="20"/>
  <c r="AA164" i="20" s="1"/>
  <c r="R129" i="20"/>
  <c r="AS129" i="20" s="1"/>
  <c r="T128" i="20"/>
  <c r="AU128" i="20" s="1"/>
  <c r="T121" i="20"/>
  <c r="AU121" i="20" s="1"/>
  <c r="AB120" i="20"/>
  <c r="BC120" i="20" s="1"/>
  <c r="O125" i="20"/>
  <c r="AP125" i="20" s="1"/>
  <c r="O122" i="20"/>
  <c r="AP122" i="20" s="1"/>
  <c r="Y129" i="20"/>
  <c r="AZ129" i="20" s="1"/>
  <c r="Y126" i="20"/>
  <c r="AZ126" i="20" s="1"/>
  <c r="O148" i="20"/>
  <c r="AA148" i="20" s="1"/>
  <c r="T130" i="20"/>
  <c r="AU130" i="20" s="1"/>
  <c r="AB122" i="20"/>
  <c r="BC122" i="20" s="1"/>
  <c r="O127" i="20"/>
  <c r="AP127" i="20" s="1"/>
  <c r="Y131" i="20"/>
  <c r="AZ131" i="20" s="1"/>
  <c r="U43" i="4"/>
  <c r="D27" i="29"/>
  <c r="H27" i="29" s="1"/>
  <c r="D26" i="29"/>
  <c r="D43" i="26"/>
  <c r="D74" i="26" s="1"/>
  <c r="I15" i="21"/>
  <c r="L15" i="21"/>
  <c r="K25" i="21"/>
  <c r="L25" i="21"/>
  <c r="I26" i="21"/>
  <c r="L26" i="21"/>
  <c r="I22" i="21"/>
  <c r="L22" i="21"/>
  <c r="J27" i="21"/>
  <c r="L27" i="21"/>
  <c r="I14" i="21"/>
  <c r="L14" i="21"/>
  <c r="I10" i="21"/>
  <c r="L10" i="21"/>
  <c r="I11" i="21"/>
  <c r="L11" i="21"/>
  <c r="K21" i="21"/>
  <c r="L21" i="21"/>
  <c r="I19" i="21"/>
  <c r="L19" i="21"/>
  <c r="I18" i="21"/>
  <c r="L18" i="21"/>
  <c r="K23" i="21"/>
  <c r="L23" i="21"/>
  <c r="I12" i="21"/>
  <c r="L12" i="21"/>
  <c r="H9" i="21"/>
  <c r="L9" i="21"/>
  <c r="G34" i="21"/>
  <c r="L34" i="21"/>
  <c r="K33" i="21"/>
  <c r="L33" i="21"/>
  <c r="K29" i="21"/>
  <c r="L29" i="21"/>
  <c r="G24" i="21"/>
  <c r="L24" i="21"/>
  <c r="G13" i="21"/>
  <c r="L13" i="21"/>
  <c r="I20" i="21"/>
  <c r="L20" i="21"/>
  <c r="G32" i="21"/>
  <c r="L32" i="21"/>
  <c r="G17" i="21"/>
  <c r="L17" i="21"/>
  <c r="K31" i="21"/>
  <c r="L31" i="21"/>
  <c r="I16" i="21"/>
  <c r="L16" i="21"/>
  <c r="I30" i="21"/>
  <c r="L30" i="21"/>
  <c r="G28" i="21"/>
  <c r="L28" i="21"/>
  <c r="U7" i="26"/>
  <c r="D42" i="26"/>
  <c r="D73" i="26" s="1"/>
  <c r="D44" i="26"/>
  <c r="D75" i="26" s="1"/>
  <c r="D24" i="29"/>
  <c r="H24" i="29" s="1"/>
  <c r="C16" i="26"/>
  <c r="P11" i="26"/>
  <c r="DQ34" i="26" s="1"/>
  <c r="K19" i="26"/>
  <c r="J8" i="26"/>
  <c r="C22" i="26"/>
  <c r="I16" i="26"/>
  <c r="Q22" i="26"/>
  <c r="D22" i="26"/>
  <c r="X6" i="26"/>
  <c r="H6" i="26"/>
  <c r="V16" i="26"/>
  <c r="P8" i="26"/>
  <c r="BU34" i="26" s="1"/>
  <c r="L15" i="26"/>
  <c r="P13" i="26"/>
  <c r="EW34" i="26" s="1"/>
  <c r="L17" i="26"/>
  <c r="Q5" i="26"/>
  <c r="S17" i="26"/>
  <c r="K6" i="26"/>
  <c r="J22" i="26"/>
  <c r="N22" i="26"/>
  <c r="O15" i="26"/>
  <c r="D17" i="26"/>
  <c r="F15" i="26"/>
  <c r="K17" i="26"/>
  <c r="G6" i="26"/>
  <c r="C6" i="26"/>
  <c r="V22" i="26"/>
  <c r="G15" i="26"/>
  <c r="S5" i="26"/>
  <c r="D6" i="26"/>
  <c r="E6" i="26"/>
  <c r="M22" i="26"/>
  <c r="E15" i="26"/>
  <c r="S16" i="26"/>
  <c r="N17" i="26"/>
  <c r="V20" i="26"/>
  <c r="P6" i="26"/>
  <c r="AO34" i="26" s="1"/>
  <c r="P22" i="26"/>
  <c r="BE65" i="26" s="1"/>
  <c r="W15" i="26"/>
  <c r="H13" i="26"/>
  <c r="D5" i="26"/>
  <c r="H20" i="26"/>
  <c r="Q100" i="26"/>
  <c r="I6" i="26"/>
  <c r="U22" i="26"/>
  <c r="X22" i="26"/>
  <c r="Q13" i="26"/>
  <c r="F10" i="26"/>
  <c r="Q6" i="26"/>
  <c r="H22" i="26"/>
  <c r="K22" i="26"/>
  <c r="D13" i="26"/>
  <c r="J5" i="26"/>
  <c r="X17" i="26"/>
  <c r="V15" i="26"/>
  <c r="J15" i="26"/>
  <c r="E5" i="26"/>
  <c r="G17" i="26"/>
  <c r="J17" i="26"/>
  <c r="D15" i="26"/>
  <c r="C15" i="26"/>
  <c r="J13" i="26"/>
  <c r="G16" i="26"/>
  <c r="W5" i="26"/>
  <c r="M17" i="26"/>
  <c r="G5" i="26"/>
  <c r="H15" i="26"/>
  <c r="Q15" i="26"/>
  <c r="P17" i="26"/>
  <c r="HI34" i="26" s="1"/>
  <c r="F5" i="26"/>
  <c r="Q17" i="26"/>
  <c r="H8" i="26"/>
  <c r="F6" i="26"/>
  <c r="S22" i="26"/>
  <c r="W22" i="26"/>
  <c r="F22" i="26"/>
  <c r="K15" i="26"/>
  <c r="X15" i="26"/>
  <c r="D16" i="26"/>
  <c r="I5" i="26"/>
  <c r="R5" i="26"/>
  <c r="O17" i="26"/>
  <c r="C5" i="26"/>
  <c r="U45" i="26" s="1"/>
  <c r="V45" i="26" s="1"/>
  <c r="N15" i="26"/>
  <c r="K100" i="26"/>
  <c r="V5" i="26"/>
  <c r="F17" i="26"/>
  <c r="C17" i="26"/>
  <c r="O22" i="26"/>
  <c r="I22" i="26"/>
  <c r="E22" i="26"/>
  <c r="S15" i="26"/>
  <c r="U15" i="26"/>
  <c r="E13" i="26"/>
  <c r="W16" i="26"/>
  <c r="K5" i="26"/>
  <c r="I17" i="26"/>
  <c r="R6" i="26"/>
  <c r="E17" i="26"/>
  <c r="CE100" i="26"/>
  <c r="R17" i="26"/>
  <c r="I15" i="26"/>
  <c r="BS100" i="26"/>
  <c r="O16" i="26"/>
  <c r="P5" i="26"/>
  <c r="Y34" i="26" s="1"/>
  <c r="X5" i="26"/>
  <c r="P15" i="26"/>
  <c r="GC34" i="26" s="1"/>
  <c r="C4" i="26"/>
  <c r="E57" i="26" s="1"/>
  <c r="F57" i="26" s="1"/>
  <c r="L6" i="20"/>
  <c r="F8" i="26"/>
  <c r="X4" i="26"/>
  <c r="W4" i="26"/>
  <c r="W14" i="26"/>
  <c r="O7" i="26"/>
  <c r="R7" i="26"/>
  <c r="O13" i="26"/>
  <c r="I13" i="26"/>
  <c r="R16" i="26"/>
  <c r="W7" i="26"/>
  <c r="Q14" i="26"/>
  <c r="J7" i="26"/>
  <c r="Q4" i="26"/>
  <c r="K16" i="26"/>
  <c r="J16" i="26"/>
  <c r="S6" i="26"/>
  <c r="Q16" i="26"/>
  <c r="W6" i="26"/>
  <c r="K8" i="26"/>
  <c r="V13" i="26"/>
  <c r="K14" i="26"/>
  <c r="F7" i="26"/>
  <c r="H4" i="26"/>
  <c r="BG100" i="26"/>
  <c r="U16" i="26"/>
  <c r="F16" i="26"/>
  <c r="V8" i="26"/>
  <c r="F4" i="26"/>
  <c r="L20" i="26"/>
  <c r="W10" i="26"/>
  <c r="N10" i="26"/>
  <c r="K20" i="26"/>
  <c r="J10" i="26"/>
  <c r="C10" i="26"/>
  <c r="S20" i="26"/>
  <c r="O20" i="26"/>
  <c r="M14" i="26"/>
  <c r="C14" i="26"/>
  <c r="E10" i="26"/>
  <c r="V4" i="26"/>
  <c r="V9" i="26"/>
  <c r="V17" i="26"/>
  <c r="V14" i="26"/>
  <c r="D7" i="26"/>
  <c r="F14" i="26"/>
  <c r="I20" i="26"/>
  <c r="F19" i="26"/>
  <c r="M10" i="26"/>
  <c r="E14" i="26"/>
  <c r="G14" i="26"/>
  <c r="AU100" i="26"/>
  <c r="S7" i="26"/>
  <c r="X20" i="26"/>
  <c r="K13" i="26"/>
  <c r="H10" i="26"/>
  <c r="D20" i="26"/>
  <c r="U10" i="26"/>
  <c r="F20" i="26"/>
  <c r="J20" i="26"/>
  <c r="G10" i="26"/>
  <c r="X10" i="26"/>
  <c r="S10" i="26"/>
  <c r="X14" i="26"/>
  <c r="S14" i="26"/>
  <c r="L7" i="26"/>
  <c r="G7" i="26"/>
  <c r="R20" i="26"/>
  <c r="G20" i="26"/>
  <c r="V10" i="26"/>
  <c r="N20" i="26"/>
  <c r="D11" i="26"/>
  <c r="CW100" i="26"/>
  <c r="DA111" i="26" s="1"/>
  <c r="P10" i="26"/>
  <c r="DA34" i="26" s="1"/>
  <c r="AO100" i="26"/>
  <c r="R14" i="26"/>
  <c r="N14" i="26"/>
  <c r="X7" i="26"/>
  <c r="C20" i="26"/>
  <c r="U90" i="26" s="1"/>
  <c r="W90" i="26" s="1"/>
  <c r="P20" i="26"/>
  <c r="Y65" i="26" s="1"/>
  <c r="K10" i="26"/>
  <c r="Q20" i="26"/>
  <c r="V6" i="26"/>
  <c r="U6" i="26"/>
  <c r="U9" i="26"/>
  <c r="U14" i="26"/>
  <c r="U11" i="26"/>
  <c r="U17" i="26"/>
  <c r="O165" i="20"/>
  <c r="AA165" i="20" s="1"/>
  <c r="O162" i="20"/>
  <c r="AA162" i="20" s="1"/>
  <c r="O157" i="20"/>
  <c r="AA157" i="20" s="1"/>
  <c r="O156" i="20"/>
  <c r="AA156" i="20" s="1"/>
  <c r="O163" i="20"/>
  <c r="AA163" i="20" s="1"/>
  <c r="O149" i="20"/>
  <c r="AA149" i="20" s="1"/>
  <c r="O169" i="20"/>
  <c r="AA169" i="20" s="1"/>
  <c r="O168" i="20"/>
  <c r="AA168" i="20" s="1"/>
  <c r="T157" i="20"/>
  <c r="AF157" i="20" s="1"/>
  <c r="T162" i="20"/>
  <c r="AF162" i="20" s="1"/>
  <c r="T168" i="20"/>
  <c r="AF168" i="20" s="1"/>
  <c r="T158" i="20"/>
  <c r="AF158" i="20" s="1"/>
  <c r="T163" i="20"/>
  <c r="AF163" i="20" s="1"/>
  <c r="T148" i="20"/>
  <c r="AF148" i="20" s="1"/>
  <c r="T131" i="20"/>
  <c r="AU131" i="20" s="1"/>
  <c r="T149" i="20"/>
  <c r="AF149" i="20" s="1"/>
  <c r="T165" i="20"/>
  <c r="AF165" i="20" s="1"/>
  <c r="T164" i="20"/>
  <c r="AF164" i="20" s="1"/>
  <c r="T156" i="20"/>
  <c r="AF156" i="20" s="1"/>
  <c r="T169" i="20"/>
  <c r="AF169" i="20" s="1"/>
  <c r="C11" i="26"/>
  <c r="I10" i="26"/>
  <c r="R13" i="26"/>
  <c r="R22" i="26"/>
  <c r="S8" i="26"/>
  <c r="V19" i="26"/>
  <c r="S163" i="20"/>
  <c r="AE163" i="20" s="1"/>
  <c r="AJ122" i="20"/>
  <c r="BK122" i="20" s="1"/>
  <c r="AB128" i="20"/>
  <c r="BC128" i="20" s="1"/>
  <c r="AB121" i="20"/>
  <c r="BC121" i="20" s="1"/>
  <c r="AI125" i="20"/>
  <c r="BJ125" i="20" s="1"/>
  <c r="AI122" i="20"/>
  <c r="BJ122" i="20" s="1"/>
  <c r="AT118" i="20"/>
  <c r="AA125" i="20"/>
  <c r="BB125" i="20" s="1"/>
  <c r="AA122" i="20"/>
  <c r="BB122" i="20" s="1"/>
  <c r="Q158" i="20"/>
  <c r="AC158" i="20" s="1"/>
  <c r="Q169" i="20"/>
  <c r="AC169" i="20" s="1"/>
  <c r="Q157" i="20"/>
  <c r="AC157" i="20" s="1"/>
  <c r="Q149" i="20"/>
  <c r="AC149" i="20" s="1"/>
  <c r="Q162" i="20"/>
  <c r="AC162" i="20" s="1"/>
  <c r="Q164" i="20"/>
  <c r="AC164" i="20" s="1"/>
  <c r="R19" i="26"/>
  <c r="G8" i="26"/>
  <c r="I11" i="26"/>
  <c r="I4" i="26"/>
  <c r="S4" i="26"/>
  <c r="U13" i="26"/>
  <c r="I8" i="26"/>
  <c r="W8" i="26"/>
  <c r="S13" i="26"/>
  <c r="D10" i="26"/>
  <c r="K4" i="26"/>
  <c r="W19" i="26"/>
  <c r="W20" i="26"/>
  <c r="S130" i="20"/>
  <c r="AT130" i="20" s="1"/>
  <c r="AJ124" i="20"/>
  <c r="BK124" i="20" s="1"/>
  <c r="BK118" i="20"/>
  <c r="AB130" i="20"/>
  <c r="BC130" i="20" s="1"/>
  <c r="AB123" i="20"/>
  <c r="BC123" i="20" s="1"/>
  <c r="AI127" i="20"/>
  <c r="BJ127" i="20" s="1"/>
  <c r="AI124" i="20"/>
  <c r="BJ124" i="20" s="1"/>
  <c r="S165" i="20"/>
  <c r="AE165" i="20" s="1"/>
  <c r="S168" i="20"/>
  <c r="AE168" i="20" s="1"/>
  <c r="S158" i="20"/>
  <c r="AE158" i="20" s="1"/>
  <c r="S164" i="20"/>
  <c r="AE164" i="20" s="1"/>
  <c r="S156" i="20"/>
  <c r="AE156" i="20" s="1"/>
  <c r="N19" i="26"/>
  <c r="J19" i="26"/>
  <c r="F11" i="26"/>
  <c r="CQ100" i="26"/>
  <c r="S19" i="26"/>
  <c r="E11" i="26"/>
  <c r="K11" i="26"/>
  <c r="U4" i="26"/>
  <c r="E100" i="26"/>
  <c r="G19" i="26"/>
  <c r="X8" i="26"/>
  <c r="C8" i="26"/>
  <c r="J11" i="26"/>
  <c r="W11" i="26"/>
  <c r="G11" i="26"/>
  <c r="E4" i="26"/>
  <c r="L4" i="26"/>
  <c r="U5" i="26"/>
  <c r="D19" i="26"/>
  <c r="M19" i="26"/>
  <c r="R11" i="26"/>
  <c r="L11" i="26"/>
  <c r="R8" i="26"/>
  <c r="J4" i="26"/>
  <c r="G13" i="26"/>
  <c r="X13" i="26"/>
  <c r="BY100" i="26"/>
  <c r="S21" i="29"/>
  <c r="I19" i="26"/>
  <c r="D4" i="26"/>
  <c r="L19" i="26"/>
  <c r="AJ126" i="20"/>
  <c r="BK126" i="20" s="1"/>
  <c r="AJ119" i="20"/>
  <c r="BK119" i="20" s="1"/>
  <c r="AB125" i="20"/>
  <c r="BC125" i="20" s="1"/>
  <c r="AI129" i="20"/>
  <c r="BJ129" i="20" s="1"/>
  <c r="AI126" i="20"/>
  <c r="BJ126" i="20" s="1"/>
  <c r="O19" i="26"/>
  <c r="P4" i="26"/>
  <c r="I34" i="26" s="1"/>
  <c r="M13" i="26"/>
  <c r="X19" i="26"/>
  <c r="DI100" i="26"/>
  <c r="AJ127" i="20"/>
  <c r="BK127" i="20" s="1"/>
  <c r="AB124" i="20"/>
  <c r="BC124" i="20" s="1"/>
  <c r="BC118" i="20"/>
  <c r="AI121" i="20"/>
  <c r="BJ121" i="20" s="1"/>
  <c r="S129" i="20"/>
  <c r="AT129" i="20" s="1"/>
  <c r="S126" i="20"/>
  <c r="AT126" i="20" s="1"/>
  <c r="AA121" i="20"/>
  <c r="BB121" i="20" s="1"/>
  <c r="R158" i="20"/>
  <c r="AD158" i="20" s="1"/>
  <c r="R162" i="20"/>
  <c r="AD162" i="20" s="1"/>
  <c r="R168" i="20"/>
  <c r="AD168" i="20" s="1"/>
  <c r="R163" i="20"/>
  <c r="AD163" i="20" s="1"/>
  <c r="R156" i="20"/>
  <c r="AD156" i="20" s="1"/>
  <c r="R165" i="20"/>
  <c r="AD165" i="20" s="1"/>
  <c r="R169" i="20"/>
  <c r="AD169" i="20" s="1"/>
  <c r="R157" i="20"/>
  <c r="AD157" i="20" s="1"/>
  <c r="R149" i="20"/>
  <c r="AD149" i="20" s="1"/>
  <c r="R148" i="20"/>
  <c r="AD148" i="20" s="1"/>
  <c r="R164" i="20"/>
  <c r="AD164" i="20" s="1"/>
  <c r="H19" i="26"/>
  <c r="S11" i="26"/>
  <c r="V11" i="26"/>
  <c r="X11" i="26"/>
  <c r="D8" i="26"/>
  <c r="AC100" i="26"/>
  <c r="R4" i="26"/>
  <c r="W13" i="26"/>
  <c r="F13" i="26"/>
  <c r="P16" i="26"/>
  <c r="GS34" i="26" s="1"/>
  <c r="X16" i="26"/>
  <c r="H16" i="26"/>
  <c r="E8" i="26"/>
  <c r="U19" i="26"/>
  <c r="E20" i="26"/>
  <c r="O6" i="26"/>
  <c r="AA130" i="20"/>
  <c r="BB130" i="20" s="1"/>
  <c r="AJ120" i="20"/>
  <c r="BK120" i="20" s="1"/>
  <c r="AB126" i="20"/>
  <c r="BC126" i="20" s="1"/>
  <c r="AB119" i="20"/>
  <c r="BC119" i="20" s="1"/>
  <c r="AI123" i="20"/>
  <c r="BJ123" i="20" s="1"/>
  <c r="Q121" i="20"/>
  <c r="AR121" i="20" s="1"/>
  <c r="S131" i="20"/>
  <c r="AT131" i="20" s="1"/>
  <c r="S128" i="20"/>
  <c r="AT128" i="20" s="1"/>
  <c r="AA123" i="20"/>
  <c r="BB123" i="20" s="1"/>
  <c r="U8" i="26"/>
  <c r="I9" i="21"/>
  <c r="J9" i="21"/>
  <c r="D23" i="21"/>
  <c r="D35" i="29"/>
  <c r="I35" i="29" s="1"/>
  <c r="D27" i="21"/>
  <c r="D39" i="29"/>
  <c r="H39" i="29" s="1"/>
  <c r="D31" i="21"/>
  <c r="D43" i="29"/>
  <c r="H43" i="29" s="1"/>
  <c r="D20" i="21"/>
  <c r="D32" i="29"/>
  <c r="H32" i="29" s="1"/>
  <c r="D24" i="21"/>
  <c r="D36" i="29"/>
  <c r="H36" i="29" s="1"/>
  <c r="D28" i="21"/>
  <c r="D40" i="29"/>
  <c r="H40" i="29" s="1"/>
  <c r="D32" i="21"/>
  <c r="D44" i="29"/>
  <c r="H44" i="29" s="1"/>
  <c r="D18" i="21"/>
  <c r="D30" i="29"/>
  <c r="I30" i="29" s="1"/>
  <c r="H23" i="29"/>
  <c r="H28" i="29"/>
  <c r="I22" i="29"/>
  <c r="I25" i="29"/>
  <c r="I29" i="29"/>
  <c r="D21" i="21"/>
  <c r="D33" i="29"/>
  <c r="I33" i="29" s="1"/>
  <c r="D25" i="21"/>
  <c r="D37" i="29"/>
  <c r="I37" i="29" s="1"/>
  <c r="D29" i="21"/>
  <c r="D41" i="29"/>
  <c r="I41" i="29" s="1"/>
  <c r="D33" i="21"/>
  <c r="D45" i="29"/>
  <c r="I45" i="29" s="1"/>
  <c r="D22" i="21"/>
  <c r="D34" i="29"/>
  <c r="I34" i="29" s="1"/>
  <c r="D26" i="21"/>
  <c r="D38" i="29"/>
  <c r="I38" i="29" s="1"/>
  <c r="D30" i="21"/>
  <c r="D42" i="29"/>
  <c r="D34" i="21"/>
  <c r="D46" i="29"/>
  <c r="I46" i="29" s="1"/>
  <c r="D45" i="26"/>
  <c r="D76" i="26" s="1"/>
  <c r="H22" i="29"/>
  <c r="H25" i="29"/>
  <c r="H29" i="29"/>
  <c r="I23" i="29"/>
  <c r="D16" i="21"/>
  <c r="E30" i="4"/>
  <c r="E2" i="20" s="1"/>
  <c r="D2" i="20"/>
  <c r="B4" i="34" s="1"/>
  <c r="F6" i="34"/>
  <c r="B21" i="34"/>
  <c r="J31" i="21"/>
  <c r="J11" i="21"/>
  <c r="H17" i="21"/>
  <c r="N17" i="21" s="1"/>
  <c r="I13" i="21"/>
  <c r="G19" i="21"/>
  <c r="G11" i="21"/>
  <c r="K15" i="21"/>
  <c r="J19" i="21"/>
  <c r="J25" i="21"/>
  <c r="K11" i="21"/>
  <c r="H13" i="21"/>
  <c r="N13" i="21" s="1"/>
  <c r="J15" i="21"/>
  <c r="G15" i="21"/>
  <c r="I17" i="21"/>
  <c r="K19" i="21"/>
  <c r="J23" i="21"/>
  <c r="H27" i="21"/>
  <c r="J33" i="21"/>
  <c r="K27" i="21"/>
  <c r="H11" i="21"/>
  <c r="N11" i="21" s="1"/>
  <c r="J13" i="21"/>
  <c r="K13" i="21"/>
  <c r="H15" i="21"/>
  <c r="J17" i="21"/>
  <c r="K17" i="21"/>
  <c r="H19" i="21"/>
  <c r="N19" i="21" s="1"/>
  <c r="J21" i="21"/>
  <c r="H23" i="21"/>
  <c r="J29" i="21"/>
  <c r="H31" i="21"/>
  <c r="K10" i="21"/>
  <c r="H28" i="21"/>
  <c r="N28" i="21" s="1"/>
  <c r="J10" i="21"/>
  <c r="G10" i="21"/>
  <c r="G12" i="21"/>
  <c r="J14" i="21"/>
  <c r="G16" i="21"/>
  <c r="J18" i="21"/>
  <c r="G20" i="21"/>
  <c r="K28" i="21"/>
  <c r="H10" i="21"/>
  <c r="G14" i="21"/>
  <c r="J16" i="21"/>
  <c r="G18" i="21"/>
  <c r="J20" i="21"/>
  <c r="H24" i="21"/>
  <c r="H32" i="21"/>
  <c r="H34" i="21"/>
  <c r="N34" i="21" s="1"/>
  <c r="G26" i="21"/>
  <c r="I28" i="21"/>
  <c r="D9" i="21"/>
  <c r="D39" i="26"/>
  <c r="D70" i="26" s="1"/>
  <c r="D11" i="21"/>
  <c r="D21" i="29"/>
  <c r="D10" i="21"/>
  <c r="J12" i="21"/>
  <c r="K14" i="21"/>
  <c r="K16" i="21"/>
  <c r="K18" i="21"/>
  <c r="K20" i="21"/>
  <c r="H22" i="21"/>
  <c r="H26" i="21"/>
  <c r="N26" i="21" s="1"/>
  <c r="H30" i="21"/>
  <c r="K24" i="21"/>
  <c r="K32" i="21"/>
  <c r="I34" i="21"/>
  <c r="G22" i="21"/>
  <c r="G30" i="21"/>
  <c r="I24" i="21"/>
  <c r="I32" i="21"/>
  <c r="K9" i="21"/>
  <c r="G9" i="21"/>
  <c r="K12" i="21"/>
  <c r="H14" i="21"/>
  <c r="N14" i="21" s="1"/>
  <c r="H16" i="21"/>
  <c r="N16" i="21" s="1"/>
  <c r="H18" i="21"/>
  <c r="H20" i="21"/>
  <c r="N20" i="21" s="1"/>
  <c r="J22" i="21"/>
  <c r="J24" i="21"/>
  <c r="J26" i="21"/>
  <c r="J28" i="21"/>
  <c r="J30" i="21"/>
  <c r="J32" i="21"/>
  <c r="K22" i="21"/>
  <c r="K26" i="21"/>
  <c r="K30" i="21"/>
  <c r="J34" i="21"/>
  <c r="K34" i="21"/>
  <c r="D13" i="21"/>
  <c r="D41" i="26"/>
  <c r="D72" i="26" s="1"/>
  <c r="D38" i="26"/>
  <c r="D69" i="26" s="1"/>
  <c r="D17" i="21"/>
  <c r="H21" i="21"/>
  <c r="H25" i="21"/>
  <c r="N25" i="21" s="1"/>
  <c r="H29" i="21"/>
  <c r="H33" i="21"/>
  <c r="N33" i="21" s="1"/>
  <c r="H12" i="21"/>
  <c r="N12" i="21" s="1"/>
  <c r="G21" i="21"/>
  <c r="I21" i="21"/>
  <c r="G25" i="21"/>
  <c r="I25" i="21"/>
  <c r="G29" i="21"/>
  <c r="I29" i="21"/>
  <c r="G33" i="21"/>
  <c r="I33" i="21"/>
  <c r="G23" i="21"/>
  <c r="I23" i="21"/>
  <c r="G27" i="21"/>
  <c r="I27" i="21"/>
  <c r="G31" i="21"/>
  <c r="I31" i="21"/>
  <c r="C68" i="26"/>
  <c r="B68" i="26"/>
  <c r="N169" i="20"/>
  <c r="Z169" i="20" s="1"/>
  <c r="N168" i="20"/>
  <c r="Z168" i="20" s="1"/>
  <c r="N149" i="20"/>
  <c r="Z149" i="20" s="1"/>
  <c r="N156" i="20"/>
  <c r="Z156" i="20" s="1"/>
  <c r="N148" i="20"/>
  <c r="Z148" i="20" s="1"/>
  <c r="N157" i="20"/>
  <c r="Z157" i="20" s="1"/>
  <c r="N163" i="20"/>
  <c r="Z163" i="20" s="1"/>
  <c r="N164" i="20"/>
  <c r="Z164" i="20" s="1"/>
  <c r="N162" i="20"/>
  <c r="Z162" i="20" s="1"/>
  <c r="N165" i="20"/>
  <c r="Z165" i="20" s="1"/>
  <c r="N158" i="20"/>
  <c r="Z158" i="20" s="1"/>
  <c r="L164" i="20"/>
  <c r="X164" i="20" s="1"/>
  <c r="L157" i="20"/>
  <c r="X157" i="20" s="1"/>
  <c r="L126" i="20"/>
  <c r="L127" i="20"/>
  <c r="L128" i="20"/>
  <c r="L130" i="20"/>
  <c r="L121" i="20"/>
  <c r="L124" i="20"/>
  <c r="L119" i="20"/>
  <c r="L122" i="20"/>
  <c r="L163" i="20"/>
  <c r="X163" i="20" s="1"/>
  <c r="L168" i="20"/>
  <c r="X168" i="20" s="1"/>
  <c r="L162" i="20"/>
  <c r="X162" i="20" s="1"/>
  <c r="L169" i="20"/>
  <c r="X169" i="20" s="1"/>
  <c r="L165" i="20"/>
  <c r="X165" i="20" s="1"/>
  <c r="L129" i="20"/>
  <c r="L131" i="20"/>
  <c r="L125" i="20"/>
  <c r="L120" i="20"/>
  <c r="L123" i="20"/>
  <c r="L148" i="20"/>
  <c r="X148" i="20" s="1"/>
  <c r="L156" i="20"/>
  <c r="X156" i="20" s="1"/>
  <c r="L149" i="20"/>
  <c r="X149" i="20" s="1"/>
  <c r="L158" i="20"/>
  <c r="X158" i="20" s="1"/>
  <c r="FI77" i="26"/>
  <c r="FJ77" i="26" s="1"/>
  <c r="K12" i="26"/>
  <c r="BA100" i="26"/>
  <c r="W12" i="26"/>
  <c r="F12" i="26"/>
  <c r="P12" i="26"/>
  <c r="EG34" i="26" s="1"/>
  <c r="U12" i="26"/>
  <c r="N12" i="26"/>
  <c r="J12" i="26"/>
  <c r="C12" i="26"/>
  <c r="L12" i="26"/>
  <c r="V12" i="26"/>
  <c r="S12" i="26"/>
  <c r="R12" i="26"/>
  <c r="Q12" i="26"/>
  <c r="D12" i="26"/>
  <c r="G12" i="26"/>
  <c r="E12" i="26"/>
  <c r="X12" i="26"/>
  <c r="I12" i="26"/>
  <c r="H12" i="26"/>
  <c r="H26" i="29" l="1"/>
  <c r="I42" i="29"/>
  <c r="FY84" i="26"/>
  <c r="GA84" i="26" s="1"/>
  <c r="GB84" i="26" s="1"/>
  <c r="CG85" i="26"/>
  <c r="CI85" i="26" s="1"/>
  <c r="CJ85" i="26" s="1"/>
  <c r="DM82" i="26"/>
  <c r="DO82" i="26" s="1"/>
  <c r="DP82" i="26" s="1"/>
  <c r="L13" i="26"/>
  <c r="BH103" i="26" s="1"/>
  <c r="I67" i="28" s="1"/>
  <c r="M15" i="26"/>
  <c r="BT104" i="26" s="1"/>
  <c r="U68" i="28" s="1"/>
  <c r="E110" i="15"/>
  <c r="N13" i="26"/>
  <c r="O43" i="4"/>
  <c r="M28" i="26"/>
  <c r="ET104" i="26" s="1"/>
  <c r="C192" i="28" s="1"/>
  <c r="D25" i="20"/>
  <c r="E26" i="15" s="1"/>
  <c r="M43" i="4"/>
  <c r="E3" i="29" s="1"/>
  <c r="L31" i="26"/>
  <c r="FL103" i="26" s="1"/>
  <c r="U191" i="28" s="1"/>
  <c r="M31" i="26"/>
  <c r="FL104" i="26" s="1"/>
  <c r="U192" i="28" s="1"/>
  <c r="N43" i="4"/>
  <c r="L21" i="4"/>
  <c r="L2" i="21" s="1"/>
  <c r="N16" i="26"/>
  <c r="L5" i="26"/>
  <c r="L103" i="26" s="1"/>
  <c r="I5" i="28" s="1"/>
  <c r="E169" i="20"/>
  <c r="M24" i="26"/>
  <c r="DV104" i="26" s="1"/>
  <c r="C161" i="28" s="1"/>
  <c r="M20" i="26"/>
  <c r="CX104" i="26" s="1"/>
  <c r="C130" i="28" s="1"/>
  <c r="N5" i="26"/>
  <c r="M29" i="26"/>
  <c r="EZ104" i="26" s="1"/>
  <c r="I192" i="28" s="1"/>
  <c r="L26" i="26"/>
  <c r="O4" i="26"/>
  <c r="N29" i="26"/>
  <c r="L30" i="26"/>
  <c r="FF103" i="26" s="1"/>
  <c r="O191" i="28" s="1"/>
  <c r="M5" i="26"/>
  <c r="L104" i="26" s="1"/>
  <c r="I6" i="28" s="1"/>
  <c r="L22" i="26"/>
  <c r="DJ103" i="26" s="1"/>
  <c r="O129" i="28" s="1"/>
  <c r="L29" i="26"/>
  <c r="EZ103" i="26" s="1"/>
  <c r="I191" i="28" s="1"/>
  <c r="N24" i="26"/>
  <c r="DY121" i="26"/>
  <c r="FY79" i="26"/>
  <c r="GA79" i="26" s="1"/>
  <c r="GB79" i="26" s="1"/>
  <c r="GO83" i="26"/>
  <c r="GP83" i="26" s="1"/>
  <c r="CG72" i="26"/>
  <c r="CH72" i="26" s="1"/>
  <c r="GO85" i="26"/>
  <c r="GP85" i="26" s="1"/>
  <c r="GO86" i="26"/>
  <c r="GQ86" i="26" s="1"/>
  <c r="GR86" i="26" s="1"/>
  <c r="FY71" i="26"/>
  <c r="GA71" i="26" s="1"/>
  <c r="GB71" i="26" s="1"/>
  <c r="GO81" i="26"/>
  <c r="GP81" i="26" s="1"/>
  <c r="FY93" i="26"/>
  <c r="FZ93" i="26" s="1"/>
  <c r="CG92" i="26"/>
  <c r="CH92" i="26" s="1"/>
  <c r="CG83" i="26"/>
  <c r="CI83" i="26" s="1"/>
  <c r="CJ83" i="26" s="1"/>
  <c r="FY73" i="26"/>
  <c r="GA73" i="26" s="1"/>
  <c r="GB73" i="26" s="1"/>
  <c r="GO70" i="26"/>
  <c r="GQ70" i="26" s="1"/>
  <c r="GR70" i="26" s="1"/>
  <c r="GO88" i="26"/>
  <c r="GP88" i="26" s="1"/>
  <c r="FY89" i="26"/>
  <c r="GA89" i="26" s="1"/>
  <c r="GB89" i="26" s="1"/>
  <c r="GO92" i="26"/>
  <c r="GP92" i="26" s="1"/>
  <c r="FY90" i="26"/>
  <c r="GA90" i="26" s="1"/>
  <c r="GB90" i="26" s="1"/>
  <c r="GO89" i="26"/>
  <c r="GP89" i="26" s="1"/>
  <c r="CG73" i="26"/>
  <c r="CI73" i="26" s="1"/>
  <c r="CJ73" i="26" s="1"/>
  <c r="DY124" i="26"/>
  <c r="CW90" i="26"/>
  <c r="CX90" i="26" s="1"/>
  <c r="DY127" i="26"/>
  <c r="DY126" i="26"/>
  <c r="EW123" i="26"/>
  <c r="EW107" i="26"/>
  <c r="EW127" i="26"/>
  <c r="EW124" i="26"/>
  <c r="EW108" i="26"/>
  <c r="EW126" i="26"/>
  <c r="EW110" i="26"/>
  <c r="EW111" i="26"/>
  <c r="EW118" i="26"/>
  <c r="ET102" i="26"/>
  <c r="C190" i="28" s="1"/>
  <c r="EW119" i="26"/>
  <c r="ET103" i="26"/>
  <c r="C191" i="28" s="1"/>
  <c r="EW131" i="26"/>
  <c r="EW115" i="26"/>
  <c r="EW116" i="26"/>
  <c r="EW109" i="26"/>
  <c r="EW122" i="26"/>
  <c r="EW130" i="26"/>
  <c r="EW114" i="26"/>
  <c r="EW128" i="26"/>
  <c r="EW106" i="26"/>
  <c r="EW120" i="26"/>
  <c r="EW129" i="26"/>
  <c r="EW112" i="26"/>
  <c r="EW121" i="26"/>
  <c r="EW125" i="26"/>
  <c r="EW113" i="26"/>
  <c r="EW117" i="26"/>
  <c r="CW72" i="26"/>
  <c r="CX72" i="26" s="1"/>
  <c r="DY131" i="26"/>
  <c r="DY117" i="26"/>
  <c r="DY114" i="26"/>
  <c r="DV102" i="26"/>
  <c r="C159" i="28" s="1"/>
  <c r="DY118" i="26"/>
  <c r="DY113" i="26"/>
  <c r="DY116" i="26"/>
  <c r="DY111" i="26"/>
  <c r="FI118" i="26"/>
  <c r="FF102" i="26"/>
  <c r="O190" i="28" s="1"/>
  <c r="FI108" i="26"/>
  <c r="FI119" i="26"/>
  <c r="FI124" i="26"/>
  <c r="FI127" i="26"/>
  <c r="FI123" i="26"/>
  <c r="FI107" i="26"/>
  <c r="FI131" i="26"/>
  <c r="FI115" i="26"/>
  <c r="FI116" i="26"/>
  <c r="FI126" i="26"/>
  <c r="FI110" i="26"/>
  <c r="FI111" i="26"/>
  <c r="FI125" i="26"/>
  <c r="FI117" i="26"/>
  <c r="FI121" i="26"/>
  <c r="FI120" i="26"/>
  <c r="FI113" i="26"/>
  <c r="FF104" i="26"/>
  <c r="O192" i="28" s="1"/>
  <c r="FI109" i="26"/>
  <c r="FI130" i="26"/>
  <c r="FI122" i="26"/>
  <c r="FI114" i="26"/>
  <c r="FI128" i="26"/>
  <c r="FI106" i="26"/>
  <c r="FI129" i="26"/>
  <c r="FI112" i="26"/>
  <c r="DY107" i="26"/>
  <c r="DY120" i="26"/>
  <c r="DY128" i="26"/>
  <c r="CW75" i="26"/>
  <c r="CY75" i="26" s="1"/>
  <c r="CZ75" i="26" s="1"/>
  <c r="DY106" i="26"/>
  <c r="DY123" i="26"/>
  <c r="DY130" i="26"/>
  <c r="CW92" i="26"/>
  <c r="CX92" i="26" s="1"/>
  <c r="FC127" i="26"/>
  <c r="FC106" i="26"/>
  <c r="FC114" i="26"/>
  <c r="FC122" i="26"/>
  <c r="FC108" i="26"/>
  <c r="FC112" i="26"/>
  <c r="FC130" i="26"/>
  <c r="FC126" i="26"/>
  <c r="FC116" i="26"/>
  <c r="FC120" i="26"/>
  <c r="FC111" i="26"/>
  <c r="FC124" i="26"/>
  <c r="FC128" i="26"/>
  <c r="FC109" i="26"/>
  <c r="FC113" i="26"/>
  <c r="FC107" i="26"/>
  <c r="FC117" i="26"/>
  <c r="FC121" i="26"/>
  <c r="FC115" i="26"/>
  <c r="FC125" i="26"/>
  <c r="FC129" i="26"/>
  <c r="FC123" i="26"/>
  <c r="EZ102" i="26"/>
  <c r="I190" i="28" s="1"/>
  <c r="FC131" i="26"/>
  <c r="FC119" i="26"/>
  <c r="FC110" i="26"/>
  <c r="FC118" i="26"/>
  <c r="EE115" i="26"/>
  <c r="EE123" i="26"/>
  <c r="EB102" i="26"/>
  <c r="I159" i="28" s="1"/>
  <c r="EE113" i="26"/>
  <c r="EE121" i="26"/>
  <c r="EE129" i="26"/>
  <c r="EE125" i="26"/>
  <c r="EE106" i="26"/>
  <c r="EE131" i="26"/>
  <c r="EB103" i="26"/>
  <c r="I160" i="28" s="1"/>
  <c r="EE127" i="26"/>
  <c r="EE114" i="26"/>
  <c r="EE110" i="26"/>
  <c r="EE108" i="26"/>
  <c r="EE112" i="26"/>
  <c r="EE122" i="26"/>
  <c r="EE118" i="26"/>
  <c r="EE116" i="26"/>
  <c r="EE120" i="26"/>
  <c r="EE130" i="26"/>
  <c r="EE126" i="26"/>
  <c r="EE124" i="26"/>
  <c r="EE128" i="26"/>
  <c r="EE111" i="26"/>
  <c r="EB104" i="26"/>
  <c r="I161" i="28" s="1"/>
  <c r="EE119" i="26"/>
  <c r="EE107" i="26"/>
  <c r="EE109" i="26"/>
  <c r="EE117" i="26"/>
  <c r="EK118" i="26"/>
  <c r="EK112" i="26"/>
  <c r="EK116" i="26"/>
  <c r="EK108" i="26"/>
  <c r="EH103" i="26"/>
  <c r="O160" i="28" s="1"/>
  <c r="EK119" i="26"/>
  <c r="EK126" i="26"/>
  <c r="EK120" i="26"/>
  <c r="EK114" i="26"/>
  <c r="EH104" i="26"/>
  <c r="O161" i="28" s="1"/>
  <c r="EK124" i="26"/>
  <c r="EK128" i="26"/>
  <c r="EK122" i="26"/>
  <c r="EK113" i="26"/>
  <c r="EK107" i="26"/>
  <c r="EK130" i="26"/>
  <c r="EK121" i="26"/>
  <c r="EK115" i="26"/>
  <c r="EK127" i="26"/>
  <c r="EK129" i="26"/>
  <c r="EK123" i="26"/>
  <c r="EK109" i="26"/>
  <c r="EH102" i="26"/>
  <c r="O159" i="28" s="1"/>
  <c r="EK131" i="26"/>
  <c r="EK117" i="26"/>
  <c r="EK111" i="26"/>
  <c r="EK110" i="26"/>
  <c r="EK125" i="26"/>
  <c r="EK106" i="26"/>
  <c r="EQ124" i="26"/>
  <c r="EQ108" i="26"/>
  <c r="EQ115" i="26"/>
  <c r="EQ126" i="26"/>
  <c r="EQ110" i="26"/>
  <c r="EQ131" i="26"/>
  <c r="EQ127" i="26"/>
  <c r="EQ111" i="26"/>
  <c r="EQ119" i="26"/>
  <c r="EN103" i="26"/>
  <c r="U160" i="28" s="1"/>
  <c r="EQ123" i="26"/>
  <c r="EQ107" i="26"/>
  <c r="EQ116" i="26"/>
  <c r="EQ118" i="26"/>
  <c r="EN102" i="26"/>
  <c r="U159" i="28" s="1"/>
  <c r="EQ117" i="26"/>
  <c r="EQ113" i="26"/>
  <c r="EQ129" i="26"/>
  <c r="EQ109" i="26"/>
  <c r="EQ130" i="26"/>
  <c r="EQ122" i="26"/>
  <c r="EQ114" i="26"/>
  <c r="EQ128" i="26"/>
  <c r="EQ106" i="26"/>
  <c r="EQ120" i="26"/>
  <c r="EQ112" i="26"/>
  <c r="EQ121" i="26"/>
  <c r="EQ125" i="26"/>
  <c r="EN104" i="26"/>
  <c r="U161" i="28" s="1"/>
  <c r="DV103" i="26"/>
  <c r="C160" i="28" s="1"/>
  <c r="CW91" i="26"/>
  <c r="CY91" i="26" s="1"/>
  <c r="CZ91" i="26" s="1"/>
  <c r="DY109" i="26"/>
  <c r="DY110" i="26"/>
  <c r="DY115" i="26"/>
  <c r="CW76" i="26"/>
  <c r="CX76" i="26" s="1"/>
  <c r="I23" i="26"/>
  <c r="U23" i="26"/>
  <c r="J23" i="26"/>
  <c r="E23" i="26"/>
  <c r="R23" i="26"/>
  <c r="M23" i="26"/>
  <c r="DP104" i="26" s="1"/>
  <c r="U130" i="28" s="1"/>
  <c r="X23" i="26"/>
  <c r="V23" i="26"/>
  <c r="DP102" i="26" s="1"/>
  <c r="U128" i="28" s="1"/>
  <c r="Q23" i="26"/>
  <c r="C23" i="26"/>
  <c r="BQ89" i="26" s="1"/>
  <c r="F23" i="26"/>
  <c r="G23" i="26"/>
  <c r="K23" i="26"/>
  <c r="O23" i="26"/>
  <c r="H23" i="26"/>
  <c r="S23" i="26"/>
  <c r="D23" i="26"/>
  <c r="W23" i="26"/>
  <c r="P23" i="26"/>
  <c r="BU65" i="26" s="1"/>
  <c r="L23" i="26"/>
  <c r="DP103" i="26" s="1"/>
  <c r="U129" i="28" s="1"/>
  <c r="N23" i="26"/>
  <c r="FO116" i="26"/>
  <c r="FO123" i="26"/>
  <c r="FO118" i="26"/>
  <c r="FL102" i="26"/>
  <c r="U190" i="28" s="1"/>
  <c r="FO119" i="26"/>
  <c r="FO107" i="26"/>
  <c r="FO110" i="26"/>
  <c r="FO127" i="26"/>
  <c r="FO111" i="26"/>
  <c r="FO131" i="26"/>
  <c r="FO115" i="26"/>
  <c r="FO124" i="26"/>
  <c r="FO108" i="26"/>
  <c r="FO126" i="26"/>
  <c r="FO121" i="26"/>
  <c r="FO109" i="26"/>
  <c r="FO122" i="26"/>
  <c r="FO114" i="26"/>
  <c r="FO128" i="26"/>
  <c r="FO106" i="26"/>
  <c r="FO120" i="26"/>
  <c r="FO129" i="26"/>
  <c r="FO112" i="26"/>
  <c r="FO125" i="26"/>
  <c r="FO113" i="26"/>
  <c r="FO117" i="26"/>
  <c r="FO130" i="26"/>
  <c r="DY112" i="26"/>
  <c r="DY129" i="26"/>
  <c r="DY119" i="26"/>
  <c r="CI76" i="26"/>
  <c r="CJ76" i="26" s="1"/>
  <c r="DY108" i="26"/>
  <c r="DY122" i="26"/>
  <c r="GO77" i="26"/>
  <c r="GP77" i="26" s="1"/>
  <c r="GO76" i="26"/>
  <c r="GP76" i="26" s="1"/>
  <c r="GO82" i="26"/>
  <c r="GQ82" i="26" s="1"/>
  <c r="GR82" i="26" s="1"/>
  <c r="GO74" i="26"/>
  <c r="GQ74" i="26" s="1"/>
  <c r="GR74" i="26" s="1"/>
  <c r="GO69" i="26"/>
  <c r="GP69" i="26" s="1"/>
  <c r="GO73" i="26"/>
  <c r="GP73" i="26" s="1"/>
  <c r="GO93" i="26"/>
  <c r="GP93" i="26" s="1"/>
  <c r="GO87" i="26"/>
  <c r="GP87" i="26" s="1"/>
  <c r="GO75" i="26"/>
  <c r="GP75" i="26" s="1"/>
  <c r="GO79" i="26"/>
  <c r="GP79" i="26" s="1"/>
  <c r="GO91" i="26"/>
  <c r="GQ91" i="26" s="1"/>
  <c r="GR91" i="26" s="1"/>
  <c r="GO72" i="26"/>
  <c r="GQ72" i="26" s="1"/>
  <c r="GR72" i="26" s="1"/>
  <c r="GO78" i="26"/>
  <c r="GQ78" i="26" s="1"/>
  <c r="GR78" i="26" s="1"/>
  <c r="GO84" i="26"/>
  <c r="GP84" i="26" s="1"/>
  <c r="GO80" i="26"/>
  <c r="GQ80" i="26" s="1"/>
  <c r="GR80" i="26" s="1"/>
  <c r="GO90" i="26"/>
  <c r="GP90" i="26" s="1"/>
  <c r="FY87" i="26"/>
  <c r="GA87" i="26" s="1"/>
  <c r="GB87" i="26" s="1"/>
  <c r="FY88" i="26"/>
  <c r="GA88" i="26" s="1"/>
  <c r="GB88" i="26" s="1"/>
  <c r="FY83" i="26"/>
  <c r="GA83" i="26" s="1"/>
  <c r="GB83" i="26" s="1"/>
  <c r="FY82" i="26"/>
  <c r="FZ82" i="26" s="1"/>
  <c r="FY70" i="26"/>
  <c r="GA70" i="26" s="1"/>
  <c r="GB70" i="26" s="1"/>
  <c r="FY77" i="26"/>
  <c r="FZ77" i="26" s="1"/>
  <c r="FY91" i="26"/>
  <c r="GA91" i="26" s="1"/>
  <c r="GB91" i="26" s="1"/>
  <c r="FY72" i="26"/>
  <c r="GA72" i="26" s="1"/>
  <c r="GB72" i="26" s="1"/>
  <c r="FY85" i="26"/>
  <c r="FZ85" i="26" s="1"/>
  <c r="FY76" i="26"/>
  <c r="GA76" i="26" s="1"/>
  <c r="GB76" i="26" s="1"/>
  <c r="FY68" i="26"/>
  <c r="FZ68" i="26" s="1"/>
  <c r="FY86" i="26"/>
  <c r="FZ86" i="26" s="1"/>
  <c r="FY80" i="26"/>
  <c r="GA80" i="26" s="1"/>
  <c r="GB80" i="26" s="1"/>
  <c r="FY81" i="26"/>
  <c r="FZ81" i="26" s="1"/>
  <c r="FY75" i="26"/>
  <c r="FZ75" i="26" s="1"/>
  <c r="FY92" i="26"/>
  <c r="FZ92" i="26" s="1"/>
  <c r="FY74" i="26"/>
  <c r="GA74" i="26" s="1"/>
  <c r="GB74" i="26" s="1"/>
  <c r="FY78" i="26"/>
  <c r="GA78" i="26" s="1"/>
  <c r="GB78" i="26" s="1"/>
  <c r="FI92" i="26"/>
  <c r="FK92" i="26" s="1"/>
  <c r="FL92" i="26" s="1"/>
  <c r="FI71" i="26"/>
  <c r="FK71" i="26" s="1"/>
  <c r="FL71" i="26" s="1"/>
  <c r="FI90" i="26"/>
  <c r="FK90" i="26" s="1"/>
  <c r="FL90" i="26" s="1"/>
  <c r="FI73" i="26"/>
  <c r="FK73" i="26" s="1"/>
  <c r="FL73" i="26" s="1"/>
  <c r="FI79" i="26"/>
  <c r="FJ79" i="26" s="1"/>
  <c r="FI82" i="26"/>
  <c r="FK82" i="26" s="1"/>
  <c r="FL82" i="26" s="1"/>
  <c r="FI91" i="26"/>
  <c r="FK91" i="26" s="1"/>
  <c r="FL91" i="26" s="1"/>
  <c r="FI70" i="26"/>
  <c r="FJ70" i="26" s="1"/>
  <c r="FI87" i="26"/>
  <c r="FJ87" i="26" s="1"/>
  <c r="FI80" i="26"/>
  <c r="FJ80" i="26" s="1"/>
  <c r="FI69" i="26"/>
  <c r="FK69" i="26" s="1"/>
  <c r="FL69" i="26" s="1"/>
  <c r="FI89" i="26"/>
  <c r="FK89" i="26" s="1"/>
  <c r="FL89" i="26" s="1"/>
  <c r="FI78" i="26"/>
  <c r="FK78" i="26" s="1"/>
  <c r="FL78" i="26" s="1"/>
  <c r="FI76" i="26"/>
  <c r="FJ76" i="26" s="1"/>
  <c r="FI93" i="26"/>
  <c r="FJ93" i="26" s="1"/>
  <c r="FI88" i="26"/>
  <c r="FJ88" i="26" s="1"/>
  <c r="FI86" i="26"/>
  <c r="FJ86" i="26" s="1"/>
  <c r="FI72" i="26"/>
  <c r="FJ72" i="26" s="1"/>
  <c r="FI74" i="26"/>
  <c r="FK74" i="26" s="1"/>
  <c r="FL74" i="26" s="1"/>
  <c r="FI83" i="26"/>
  <c r="FK83" i="26" s="1"/>
  <c r="FL83" i="26" s="1"/>
  <c r="FI84" i="26"/>
  <c r="FJ84" i="26" s="1"/>
  <c r="FI81" i="26"/>
  <c r="FK81" i="26" s="1"/>
  <c r="FL81" i="26" s="1"/>
  <c r="EG65" i="26"/>
  <c r="EW65" i="26"/>
  <c r="EC90" i="26"/>
  <c r="EE90" i="26" s="1"/>
  <c r="EF90" i="26" s="1"/>
  <c r="ES79" i="26"/>
  <c r="ES77" i="26"/>
  <c r="ES87" i="26"/>
  <c r="ES69" i="26"/>
  <c r="ES86" i="26"/>
  <c r="ES74" i="26"/>
  <c r="ES78" i="26"/>
  <c r="ES88" i="26"/>
  <c r="ES81" i="26"/>
  <c r="ES80" i="26"/>
  <c r="ES93" i="26"/>
  <c r="ES92" i="26"/>
  <c r="EU92" i="26" s="1"/>
  <c r="ES76" i="26"/>
  <c r="ET76" i="26" s="1"/>
  <c r="ES70" i="26"/>
  <c r="ET70" i="26" s="1"/>
  <c r="ES82" i="26"/>
  <c r="ES75" i="26"/>
  <c r="EU75" i="26" s="1"/>
  <c r="EV75" i="26" s="1"/>
  <c r="ES71" i="26"/>
  <c r="EU71" i="26" s="1"/>
  <c r="ES89" i="26"/>
  <c r="EU89" i="26" s="1"/>
  <c r="ES85" i="26"/>
  <c r="EU85" i="26" s="1"/>
  <c r="EV85" i="26" s="1"/>
  <c r="ES84" i="26"/>
  <c r="ET84" i="26" s="1"/>
  <c r="ES91" i="26"/>
  <c r="EU91" i="26" s="1"/>
  <c r="EV91" i="26" s="1"/>
  <c r="ES90" i="26"/>
  <c r="EU90" i="26" s="1"/>
  <c r="EV90" i="26" s="1"/>
  <c r="ES72" i="26"/>
  <c r="EU72" i="26" s="1"/>
  <c r="EW72" i="26" s="1"/>
  <c r="ES83" i="26"/>
  <c r="EU83" i="26" s="1"/>
  <c r="ES73" i="26"/>
  <c r="ET73" i="26" s="1"/>
  <c r="EC73" i="26"/>
  <c r="EE73" i="26" s="1"/>
  <c r="EF73" i="26" s="1"/>
  <c r="EC84" i="26"/>
  <c r="EE84" i="26" s="1"/>
  <c r="EC83" i="26"/>
  <c r="EC75" i="26"/>
  <c r="ED75" i="26" s="1"/>
  <c r="EC89" i="26"/>
  <c r="ED89" i="26" s="1"/>
  <c r="EC82" i="26"/>
  <c r="EE82" i="26" s="1"/>
  <c r="EC76" i="26"/>
  <c r="ED76" i="26" s="1"/>
  <c r="EC70" i="26"/>
  <c r="EE70" i="26" s="1"/>
  <c r="EF70" i="26" s="1"/>
  <c r="EC85" i="26"/>
  <c r="EE85" i="26" s="1"/>
  <c r="EC91" i="26"/>
  <c r="EC71" i="26"/>
  <c r="ED71" i="26" s="1"/>
  <c r="EC72" i="26"/>
  <c r="EE72" i="26" s="1"/>
  <c r="EF72" i="26" s="1"/>
  <c r="DM89" i="26"/>
  <c r="DO89" i="26" s="1"/>
  <c r="DP89" i="26" s="1"/>
  <c r="EC86" i="26"/>
  <c r="EC88" i="26"/>
  <c r="EC80" i="26"/>
  <c r="EC93" i="26"/>
  <c r="EC77" i="26"/>
  <c r="EC69" i="26"/>
  <c r="EC87" i="26"/>
  <c r="EC81" i="26"/>
  <c r="EC78" i="26"/>
  <c r="EC79" i="26"/>
  <c r="EC74" i="26"/>
  <c r="EC92" i="26"/>
  <c r="ED92" i="26" s="1"/>
  <c r="DA65" i="26"/>
  <c r="DQ65" i="26"/>
  <c r="DQ85" i="26" s="1"/>
  <c r="DM76" i="26"/>
  <c r="DM83" i="26"/>
  <c r="DN83" i="26" s="1"/>
  <c r="DM72" i="26"/>
  <c r="DN72" i="26" s="1"/>
  <c r="DM84" i="26"/>
  <c r="DN84" i="26" s="1"/>
  <c r="CW83" i="26"/>
  <c r="CY83" i="26" s="1"/>
  <c r="CZ83" i="26" s="1"/>
  <c r="DM78" i="26"/>
  <c r="DM79" i="26"/>
  <c r="DM93" i="26"/>
  <c r="DM87" i="26"/>
  <c r="DM74" i="26"/>
  <c r="DM88" i="26"/>
  <c r="DM86" i="26"/>
  <c r="DM80" i="26"/>
  <c r="DM77" i="26"/>
  <c r="DM81" i="26"/>
  <c r="DM69" i="26"/>
  <c r="DM92" i="26"/>
  <c r="DN92" i="26" s="1"/>
  <c r="DM91" i="26"/>
  <c r="DO91" i="26" s="1"/>
  <c r="DP91" i="26" s="1"/>
  <c r="DM90" i="26"/>
  <c r="DM73" i="26"/>
  <c r="DN73" i="26" s="1"/>
  <c r="DM71" i="26"/>
  <c r="DN71" i="26" s="1"/>
  <c r="DM70" i="26"/>
  <c r="DO70" i="26" s="1"/>
  <c r="DP70" i="26" s="1"/>
  <c r="DM75" i="26"/>
  <c r="DO75" i="26" s="1"/>
  <c r="CG90" i="26"/>
  <c r="CI90" i="26" s="1"/>
  <c r="CJ90" i="26" s="1"/>
  <c r="CW69" i="26"/>
  <c r="CW86" i="26"/>
  <c r="CW74" i="26"/>
  <c r="CW78" i="26"/>
  <c r="CW87" i="26"/>
  <c r="CW88" i="26"/>
  <c r="CW79" i="26"/>
  <c r="CW80" i="26"/>
  <c r="CW93" i="26"/>
  <c r="CW81" i="26"/>
  <c r="CW77" i="26"/>
  <c r="CW73" i="26"/>
  <c r="CX73" i="26" s="1"/>
  <c r="CW85" i="26"/>
  <c r="CY85" i="26" s="1"/>
  <c r="CZ85" i="26" s="1"/>
  <c r="CW82" i="26"/>
  <c r="CY82" i="26" s="1"/>
  <c r="CZ82" i="26" s="1"/>
  <c r="CW70" i="26"/>
  <c r="CX70" i="26" s="1"/>
  <c r="CW89" i="26"/>
  <c r="CX89" i="26" s="1"/>
  <c r="CW71" i="26"/>
  <c r="CY71" i="26" s="1"/>
  <c r="CL104" i="26"/>
  <c r="O99" i="28" s="1"/>
  <c r="CG75" i="26"/>
  <c r="CI75" i="26" s="1"/>
  <c r="CJ75" i="26" s="1"/>
  <c r="CG70" i="26"/>
  <c r="CG69" i="26"/>
  <c r="CG86" i="26"/>
  <c r="CG81" i="26"/>
  <c r="CG78" i="26"/>
  <c r="CG79" i="26"/>
  <c r="CG93" i="26"/>
  <c r="CG88" i="26"/>
  <c r="CG87" i="26"/>
  <c r="CG74" i="26"/>
  <c r="CG80" i="26"/>
  <c r="CG77" i="26"/>
  <c r="CK65" i="26"/>
  <c r="CG91" i="26"/>
  <c r="CH91" i="26" s="1"/>
  <c r="CG84" i="26"/>
  <c r="CI84" i="26" s="1"/>
  <c r="CJ84" i="26" s="1"/>
  <c r="CG82" i="26"/>
  <c r="CI82" i="26" s="1"/>
  <c r="CG89" i="26"/>
  <c r="CI89" i="26" s="1"/>
  <c r="CJ89" i="26" s="1"/>
  <c r="CG71" i="26"/>
  <c r="CI71" i="26" s="1"/>
  <c r="CL102" i="26"/>
  <c r="O97" i="28" s="1"/>
  <c r="HU37" i="26"/>
  <c r="HV37" i="26" s="1"/>
  <c r="HU49" i="26"/>
  <c r="HW49" i="26" s="1"/>
  <c r="HY49" i="26" s="1"/>
  <c r="HU54" i="26"/>
  <c r="HV54" i="26" s="1"/>
  <c r="HU38" i="26"/>
  <c r="HV38" i="26" s="1"/>
  <c r="HU57" i="26"/>
  <c r="HV57" i="26" s="1"/>
  <c r="HU59" i="26"/>
  <c r="HV59" i="26" s="1"/>
  <c r="HU40" i="26"/>
  <c r="HW40" i="26" s="1"/>
  <c r="HU42" i="26"/>
  <c r="HW42" i="26" s="1"/>
  <c r="HU60" i="26"/>
  <c r="HW60" i="26" s="1"/>
  <c r="HY60" i="26" s="1"/>
  <c r="HU48" i="26"/>
  <c r="HV48" i="26" s="1"/>
  <c r="HW46" i="26"/>
  <c r="HY46" i="26" s="1"/>
  <c r="HU41" i="26"/>
  <c r="HW41" i="26" s="1"/>
  <c r="HY41" i="26" s="1"/>
  <c r="HU50" i="26"/>
  <c r="HW50" i="26" s="1"/>
  <c r="HU43" i="26"/>
  <c r="HW43" i="26" s="1"/>
  <c r="HX43" i="26" s="1"/>
  <c r="HU53" i="26"/>
  <c r="HV53" i="26" s="1"/>
  <c r="HU62" i="26"/>
  <c r="HV62" i="26" s="1"/>
  <c r="HU56" i="26"/>
  <c r="HV56" i="26" s="1"/>
  <c r="HU55" i="26"/>
  <c r="HW55" i="26" s="1"/>
  <c r="HX55" i="26" s="1"/>
  <c r="HU52" i="26"/>
  <c r="HW52" i="26" s="1"/>
  <c r="HX52" i="26" s="1"/>
  <c r="HU39" i="26"/>
  <c r="HW39" i="26" s="1"/>
  <c r="HX39" i="26" s="1"/>
  <c r="HU44" i="26"/>
  <c r="HV44" i="26" s="1"/>
  <c r="HU45" i="26"/>
  <c r="HV45" i="26" s="1"/>
  <c r="HU47" i="26"/>
  <c r="HW47" i="26" s="1"/>
  <c r="HX47" i="26" s="1"/>
  <c r="HU58" i="26"/>
  <c r="HW58" i="26" s="1"/>
  <c r="HU51" i="26"/>
  <c r="HV51" i="26" s="1"/>
  <c r="HU61" i="26"/>
  <c r="HW61" i="26" s="1"/>
  <c r="HY61" i="26" s="1"/>
  <c r="D23" i="18"/>
  <c r="D13" i="18"/>
  <c r="W11" i="12"/>
  <c r="T12" i="26" s="1"/>
  <c r="E83" i="15"/>
  <c r="D35" i="18"/>
  <c r="D124" i="20"/>
  <c r="B12" i="34" s="1"/>
  <c r="D37" i="20"/>
  <c r="E38" i="15" s="1"/>
  <c r="W78" i="12"/>
  <c r="D80" i="18"/>
  <c r="W48" i="12"/>
  <c r="M7" i="26"/>
  <c r="X104" i="26" s="1"/>
  <c r="U6" i="28" s="1"/>
  <c r="D50" i="18"/>
  <c r="N8" i="26"/>
  <c r="O8" i="26"/>
  <c r="D18" i="18"/>
  <c r="M6" i="26"/>
  <c r="R104" i="26" s="1"/>
  <c r="O6" i="28" s="1"/>
  <c r="W40" i="12"/>
  <c r="T29" i="26" s="1"/>
  <c r="W90" i="12"/>
  <c r="F64" i="15"/>
  <c r="W61" i="12"/>
  <c r="D92" i="18"/>
  <c r="D63" i="18"/>
  <c r="D162" i="20"/>
  <c r="D42" i="18"/>
  <c r="D63" i="20"/>
  <c r="E64" i="15" s="1"/>
  <c r="N6" i="26"/>
  <c r="W16" i="12"/>
  <c r="T5" i="26" s="1"/>
  <c r="W24" i="12"/>
  <c r="T13" i="26" s="1"/>
  <c r="D26" i="18"/>
  <c r="N11" i="26"/>
  <c r="B24" i="34"/>
  <c r="GO68" i="26"/>
  <c r="GQ68" i="26" s="1"/>
  <c r="GR68" i="26" s="1"/>
  <c r="HE68" i="26"/>
  <c r="HG68" i="26" s="1"/>
  <c r="HH68" i="26" s="1"/>
  <c r="W59" i="12"/>
  <c r="L42" i="4"/>
  <c r="D2" i="29" s="1"/>
  <c r="B10" i="29" s="1"/>
  <c r="E10" i="29" s="1"/>
  <c r="I163" i="20"/>
  <c r="H163" i="20"/>
  <c r="I149" i="20"/>
  <c r="H149" i="20"/>
  <c r="H152" i="20" s="1"/>
  <c r="I162" i="20"/>
  <c r="H162" i="20"/>
  <c r="I148" i="20"/>
  <c r="H148" i="20"/>
  <c r="H151" i="20" s="1"/>
  <c r="M16" i="26"/>
  <c r="BZ104" i="26" s="1"/>
  <c r="C99" i="28" s="1"/>
  <c r="L16" i="26"/>
  <c r="BZ103" i="26" s="1"/>
  <c r="C98" i="28" s="1"/>
  <c r="L21" i="26"/>
  <c r="DD103" i="26" s="1"/>
  <c r="I129" i="28" s="1"/>
  <c r="O12" i="26"/>
  <c r="O21" i="26"/>
  <c r="L8" i="26"/>
  <c r="AD103" i="26" s="1"/>
  <c r="C36" i="28" s="1"/>
  <c r="D33" i="20"/>
  <c r="E34" i="15" s="1"/>
  <c r="L18" i="26"/>
  <c r="CL103" i="26" s="1"/>
  <c r="O98" i="28" s="1"/>
  <c r="N7" i="26"/>
  <c r="E4" i="15"/>
  <c r="E18" i="15"/>
  <c r="E87" i="15"/>
  <c r="E81" i="15"/>
  <c r="E66" i="15"/>
  <c r="F104" i="15"/>
  <c r="F63" i="15"/>
  <c r="B34" i="34"/>
  <c r="F32" i="15"/>
  <c r="E14" i="15"/>
  <c r="F37" i="15"/>
  <c r="F13" i="15"/>
  <c r="E94" i="15"/>
  <c r="E80" i="15"/>
  <c r="E11" i="15"/>
  <c r="F16" i="15"/>
  <c r="F55" i="15"/>
  <c r="F95" i="15"/>
  <c r="F87" i="15"/>
  <c r="F28" i="15"/>
  <c r="F20" i="15"/>
  <c r="E55" i="15"/>
  <c r="E9" i="15"/>
  <c r="E98" i="15"/>
  <c r="B39" i="34"/>
  <c r="E28" i="34"/>
  <c r="F100" i="15"/>
  <c r="F71" i="15"/>
  <c r="E39" i="15"/>
  <c r="E40" i="15"/>
  <c r="E109" i="15"/>
  <c r="E104" i="15"/>
  <c r="E27" i="15"/>
  <c r="E71" i="15"/>
  <c r="E82" i="15"/>
  <c r="E22" i="15"/>
  <c r="E47" i="15"/>
  <c r="E12" i="15"/>
  <c r="F31" i="15"/>
  <c r="E90" i="15"/>
  <c r="B27" i="34"/>
  <c r="F9" i="15"/>
  <c r="F21" i="15"/>
  <c r="E56" i="15"/>
  <c r="E59" i="15"/>
  <c r="E102" i="15"/>
  <c r="E57" i="15"/>
  <c r="E8" i="15"/>
  <c r="E106" i="15"/>
  <c r="F79" i="15"/>
  <c r="E30" i="15"/>
  <c r="E65" i="15"/>
  <c r="E53" i="15"/>
  <c r="E36" i="15"/>
  <c r="E99" i="15"/>
  <c r="E16" i="15"/>
  <c r="F45" i="15"/>
  <c r="E50" i="15"/>
  <c r="F23" i="15"/>
  <c r="F12" i="15"/>
  <c r="E74" i="15"/>
  <c r="E42" i="15"/>
  <c r="E54" i="15"/>
  <c r="E78" i="15"/>
  <c r="F88" i="15"/>
  <c r="F92" i="15"/>
  <c r="F40" i="15"/>
  <c r="E15" i="15"/>
  <c r="E86" i="15"/>
  <c r="E43" i="15"/>
  <c r="E17" i="15"/>
  <c r="F15" i="15"/>
  <c r="F24" i="15"/>
  <c r="F53" i="15"/>
  <c r="E37" i="15"/>
  <c r="K111" i="15"/>
  <c r="D5" i="33"/>
  <c r="D60" i="20"/>
  <c r="E61" i="15" s="1"/>
  <c r="B6" i="21"/>
  <c r="C6" i="21" s="1"/>
  <c r="D6" i="21" s="1"/>
  <c r="M11" i="26"/>
  <c r="AV104" i="26" s="1"/>
  <c r="U37" i="28" s="1"/>
  <c r="N9" i="26"/>
  <c r="E165" i="20"/>
  <c r="M8" i="26"/>
  <c r="AD104" i="26" s="1"/>
  <c r="C37" i="28" s="1"/>
  <c r="AM129" i="20"/>
  <c r="J129" i="20" s="1"/>
  <c r="AM125" i="20"/>
  <c r="J125" i="20" s="1"/>
  <c r="AM122" i="20"/>
  <c r="J122" i="20" s="1"/>
  <c r="AM120" i="20"/>
  <c r="J120" i="20" s="1"/>
  <c r="AM121" i="20"/>
  <c r="J121" i="20" s="1"/>
  <c r="AM131" i="20"/>
  <c r="J131" i="20" s="1"/>
  <c r="AM119" i="20"/>
  <c r="J119" i="20" s="1"/>
  <c r="AM126" i="20"/>
  <c r="J126" i="20" s="1"/>
  <c r="AM123" i="20"/>
  <c r="J123" i="20" s="1"/>
  <c r="AM130" i="20"/>
  <c r="J130" i="20" s="1"/>
  <c r="AM124" i="20"/>
  <c r="J124" i="20" s="1"/>
  <c r="AM127" i="20"/>
  <c r="J127" i="20" s="1"/>
  <c r="AM128" i="20"/>
  <c r="J128" i="20" s="1"/>
  <c r="T7" i="26"/>
  <c r="L43" i="4"/>
  <c r="D3" i="29" s="1"/>
  <c r="B11" i="29" s="1"/>
  <c r="E11" i="29" s="1"/>
  <c r="W56" i="12"/>
  <c r="D31" i="20"/>
  <c r="D58" i="18"/>
  <c r="T9" i="26"/>
  <c r="W32" i="12"/>
  <c r="B23" i="34"/>
  <c r="D34" i="18"/>
  <c r="D59" i="18"/>
  <c r="D12" i="18"/>
  <c r="D75" i="18"/>
  <c r="CY84" i="26"/>
  <c r="E164" i="20"/>
  <c r="E168" i="20"/>
  <c r="W10" i="12"/>
  <c r="T11" i="26" s="1"/>
  <c r="D52" i="18"/>
  <c r="W50" i="12"/>
  <c r="B28" i="34"/>
  <c r="D163" i="20"/>
  <c r="D19" i="18"/>
  <c r="D125" i="20"/>
  <c r="B13" i="34" s="1"/>
  <c r="W42" i="12"/>
  <c r="T31" i="26" s="1"/>
  <c r="D9" i="20"/>
  <c r="D44" i="18"/>
  <c r="W67" i="12"/>
  <c r="W34" i="12"/>
  <c r="T23" i="26" s="1"/>
  <c r="W5" i="12"/>
  <c r="W17" i="12"/>
  <c r="D36" i="18"/>
  <c r="W37" i="12"/>
  <c r="T26" i="26" s="1"/>
  <c r="D15" i="18"/>
  <c r="D51" i="18"/>
  <c r="D71" i="18"/>
  <c r="O21" i="4"/>
  <c r="O2" i="21" s="1"/>
  <c r="W49" i="12"/>
  <c r="E162" i="20"/>
  <c r="F47" i="15"/>
  <c r="DN85" i="26"/>
  <c r="HW93" i="26"/>
  <c r="HX93" i="26" s="1"/>
  <c r="V21" i="4"/>
  <c r="V2" i="21" s="1"/>
  <c r="L14" i="26"/>
  <c r="BN103" i="26" s="1"/>
  <c r="O67" i="28" s="1"/>
  <c r="HV89" i="26"/>
  <c r="M9" i="26"/>
  <c r="AJ104" i="26" s="1"/>
  <c r="I37" i="28" s="1"/>
  <c r="M4" i="26"/>
  <c r="F104" i="26" s="1"/>
  <c r="C6" i="28" s="1"/>
  <c r="L6" i="26"/>
  <c r="R103" i="26" s="1"/>
  <c r="O5" i="28" s="1"/>
  <c r="D121" i="20"/>
  <c r="B9" i="34" s="1"/>
  <c r="W13" i="12"/>
  <c r="W29" i="12"/>
  <c r="T18" i="26" s="1"/>
  <c r="W41" i="12"/>
  <c r="T30" i="26" s="1"/>
  <c r="D10" i="18"/>
  <c r="D69" i="18"/>
  <c r="D39" i="18"/>
  <c r="D31" i="18"/>
  <c r="W73" i="12"/>
  <c r="D12" i="20"/>
  <c r="W51" i="12"/>
  <c r="D53" i="18"/>
  <c r="D55" i="18"/>
  <c r="L9" i="26"/>
  <c r="AJ103" i="26" s="1"/>
  <c r="I36" i="28" s="1"/>
  <c r="W45" i="12"/>
  <c r="W85" i="12"/>
  <c r="D57" i="20"/>
  <c r="D47" i="18"/>
  <c r="D87" i="18"/>
  <c r="W69" i="12"/>
  <c r="E46" i="15"/>
  <c r="O42" i="4"/>
  <c r="D67" i="18"/>
  <c r="D69" i="20"/>
  <c r="M12" i="26"/>
  <c r="BB104" i="26" s="1"/>
  <c r="C68" i="28" s="1"/>
  <c r="B44" i="34"/>
  <c r="D23" i="20"/>
  <c r="E149" i="20"/>
  <c r="W19" i="12"/>
  <c r="E72" i="15"/>
  <c r="W95" i="12"/>
  <c r="D165" i="20"/>
  <c r="E119" i="20"/>
  <c r="E7" i="34" s="1"/>
  <c r="FI68" i="26"/>
  <c r="L10" i="26"/>
  <c r="AP103" i="26" s="1"/>
  <c r="O36" i="28" s="1"/>
  <c r="HU68" i="26"/>
  <c r="HV68" i="26" s="1"/>
  <c r="D27" i="18"/>
  <c r="D43" i="18"/>
  <c r="E38" i="20"/>
  <c r="F7" i="20"/>
  <c r="D99" i="20"/>
  <c r="ES68" i="26"/>
  <c r="EC68" i="26"/>
  <c r="CG68" i="26"/>
  <c r="DM68" i="26"/>
  <c r="CW68" i="26"/>
  <c r="W25" i="12"/>
  <c r="N21" i="4"/>
  <c r="N2" i="21" s="1"/>
  <c r="W57" i="12"/>
  <c r="D29" i="18"/>
  <c r="B25" i="34"/>
  <c r="N4" i="26"/>
  <c r="M21" i="4"/>
  <c r="M2" i="21" s="1"/>
  <c r="W77" i="12"/>
  <c r="E35" i="34"/>
  <c r="E22" i="34"/>
  <c r="F41" i="15"/>
  <c r="D79" i="18"/>
  <c r="E62" i="15"/>
  <c r="D11" i="18"/>
  <c r="E7" i="20"/>
  <c r="W9" i="12"/>
  <c r="I111" i="15"/>
  <c r="G111" i="15"/>
  <c r="I7" i="15"/>
  <c r="L139" i="28"/>
  <c r="F136" i="28"/>
  <c r="T4" i="26"/>
  <c r="E13" i="34"/>
  <c r="E14" i="34"/>
  <c r="B11" i="34"/>
  <c r="E10" i="34"/>
  <c r="E43" i="34"/>
  <c r="F76" i="15"/>
  <c r="B42" i="34"/>
  <c r="E85" i="15"/>
  <c r="F52" i="15"/>
  <c r="E32" i="34"/>
  <c r="B30" i="34"/>
  <c r="E48" i="15"/>
  <c r="E35" i="15"/>
  <c r="B29" i="34"/>
  <c r="B46" i="34"/>
  <c r="E89" i="15"/>
  <c r="F61" i="15"/>
  <c r="E39" i="34"/>
  <c r="F72" i="15"/>
  <c r="E45" i="34"/>
  <c r="F83" i="15"/>
  <c r="E38" i="34"/>
  <c r="F68" i="15"/>
  <c r="B14" i="34"/>
  <c r="F70" i="15"/>
  <c r="B22" i="34"/>
  <c r="E41" i="15"/>
  <c r="L108" i="20"/>
  <c r="K108" i="20"/>
  <c r="K37" i="20"/>
  <c r="L37" i="20"/>
  <c r="L91" i="20"/>
  <c r="K91" i="20"/>
  <c r="K32" i="20"/>
  <c r="L32" i="20"/>
  <c r="L19" i="20"/>
  <c r="K19" i="20"/>
  <c r="L49" i="20"/>
  <c r="K49" i="20"/>
  <c r="L7" i="20"/>
  <c r="K7" i="20"/>
  <c r="L73" i="20"/>
  <c r="K73" i="20"/>
  <c r="K35" i="20"/>
  <c r="L35" i="20"/>
  <c r="K39" i="20"/>
  <c r="L39" i="20"/>
  <c r="L41" i="20"/>
  <c r="K41" i="20"/>
  <c r="L72" i="20"/>
  <c r="K72" i="20"/>
  <c r="L11" i="20"/>
  <c r="K11" i="20"/>
  <c r="K62" i="20"/>
  <c r="L62" i="20"/>
  <c r="K40" i="20"/>
  <c r="L40" i="20"/>
  <c r="K34" i="20"/>
  <c r="L34" i="20"/>
  <c r="L82" i="20"/>
  <c r="K82" i="20"/>
  <c r="K79" i="20"/>
  <c r="L79" i="20"/>
  <c r="L45" i="20"/>
  <c r="K45" i="20"/>
  <c r="K54" i="20"/>
  <c r="L54" i="20"/>
  <c r="L85" i="20"/>
  <c r="K85" i="20"/>
  <c r="K30" i="20"/>
  <c r="L30" i="20"/>
  <c r="L69" i="20"/>
  <c r="K69" i="20"/>
  <c r="L21" i="20"/>
  <c r="K21" i="20"/>
  <c r="L36" i="20"/>
  <c r="K36" i="20"/>
  <c r="K23" i="20"/>
  <c r="L23" i="20"/>
  <c r="L10" i="20"/>
  <c r="K10" i="20"/>
  <c r="L68" i="20"/>
  <c r="K68" i="20"/>
  <c r="L42" i="20"/>
  <c r="K42" i="20"/>
  <c r="L90" i="20"/>
  <c r="K90" i="20"/>
  <c r="L76" i="20"/>
  <c r="K76" i="20"/>
  <c r="L67" i="20"/>
  <c r="K67" i="20"/>
  <c r="L77" i="20"/>
  <c r="K77" i="20"/>
  <c r="K15" i="20"/>
  <c r="L15" i="20"/>
  <c r="L81" i="20"/>
  <c r="K81" i="20"/>
  <c r="L9" i="20"/>
  <c r="K9" i="20"/>
  <c r="L20" i="20"/>
  <c r="K20" i="20"/>
  <c r="L59" i="20"/>
  <c r="K59" i="20"/>
  <c r="L105" i="20"/>
  <c r="K105" i="20"/>
  <c r="L12" i="20"/>
  <c r="K12" i="20"/>
  <c r="K71" i="20"/>
  <c r="L71" i="20"/>
  <c r="K103" i="20"/>
  <c r="L103" i="20"/>
  <c r="L53" i="20"/>
  <c r="K53" i="20"/>
  <c r="K96" i="20"/>
  <c r="L96" i="20"/>
  <c r="K70" i="20"/>
  <c r="L70" i="20"/>
  <c r="K14" i="20"/>
  <c r="L14" i="20"/>
  <c r="L84" i="20"/>
  <c r="K84" i="20"/>
  <c r="K33" i="20"/>
  <c r="L33" i="20"/>
  <c r="L61" i="20"/>
  <c r="K61" i="20"/>
  <c r="L65" i="20"/>
  <c r="K65" i="20"/>
  <c r="L97" i="20"/>
  <c r="K97" i="20"/>
  <c r="K27" i="20"/>
  <c r="L27" i="20"/>
  <c r="K78" i="20"/>
  <c r="L78" i="20"/>
  <c r="K48" i="20"/>
  <c r="L48" i="20"/>
  <c r="K8" i="20"/>
  <c r="L8" i="20"/>
  <c r="L98" i="20"/>
  <c r="K98" i="20"/>
  <c r="L50" i="20"/>
  <c r="K50" i="20"/>
  <c r="L107" i="20"/>
  <c r="K107" i="20"/>
  <c r="K31" i="20"/>
  <c r="L31" i="20"/>
  <c r="K55" i="20"/>
  <c r="L55" i="20"/>
  <c r="L43" i="20"/>
  <c r="K43" i="20"/>
  <c r="K38" i="20"/>
  <c r="L38" i="20"/>
  <c r="K25" i="20"/>
  <c r="L25" i="20"/>
  <c r="L101" i="20"/>
  <c r="K101" i="20"/>
  <c r="L75" i="20"/>
  <c r="K75" i="20"/>
  <c r="L89" i="20"/>
  <c r="K89" i="20"/>
  <c r="K63" i="20"/>
  <c r="L63" i="20"/>
  <c r="K16" i="20"/>
  <c r="L16" i="20"/>
  <c r="K102" i="20"/>
  <c r="L102" i="20"/>
  <c r="L58" i="20"/>
  <c r="K58" i="20"/>
  <c r="K94" i="20"/>
  <c r="L94" i="20"/>
  <c r="K44" i="20"/>
  <c r="L44" i="20"/>
  <c r="K64" i="20"/>
  <c r="L64" i="20"/>
  <c r="K26" i="20"/>
  <c r="L26" i="20"/>
  <c r="L99" i="20"/>
  <c r="K99" i="20"/>
  <c r="K56" i="20"/>
  <c r="L56" i="20"/>
  <c r="L29" i="20"/>
  <c r="K29" i="20"/>
  <c r="K87" i="20"/>
  <c r="L87" i="20"/>
  <c r="L51" i="20"/>
  <c r="K51" i="20"/>
  <c r="L57" i="20"/>
  <c r="K57" i="20"/>
  <c r="L92" i="20"/>
  <c r="K92" i="20"/>
  <c r="K17" i="20"/>
  <c r="L17" i="20"/>
  <c r="L52" i="20"/>
  <c r="K52" i="20"/>
  <c r="L109" i="20"/>
  <c r="K109" i="20"/>
  <c r="L80" i="20"/>
  <c r="K80" i="20"/>
  <c r="L28" i="20"/>
  <c r="K28" i="20"/>
  <c r="K86" i="20"/>
  <c r="L86" i="20"/>
  <c r="K46" i="20"/>
  <c r="L46" i="20"/>
  <c r="K104" i="20"/>
  <c r="L104" i="20"/>
  <c r="K22" i="20"/>
  <c r="L22" i="20"/>
  <c r="K95" i="20"/>
  <c r="L95" i="20"/>
  <c r="L106" i="20"/>
  <c r="K106" i="20"/>
  <c r="L83" i="20"/>
  <c r="K83" i="20"/>
  <c r="L13" i="20"/>
  <c r="K13" i="20"/>
  <c r="L60" i="20"/>
  <c r="K60" i="20"/>
  <c r="K24" i="20"/>
  <c r="L24" i="20"/>
  <c r="K88" i="20"/>
  <c r="L88" i="20"/>
  <c r="I76" i="20"/>
  <c r="J76" i="20" s="1"/>
  <c r="I67" i="20"/>
  <c r="J67" i="20" s="1"/>
  <c r="I107" i="20"/>
  <c r="J107" i="20" s="1"/>
  <c r="I19" i="20"/>
  <c r="J19" i="20" s="1"/>
  <c r="I49" i="20"/>
  <c r="J49" i="20" s="1"/>
  <c r="I7" i="20"/>
  <c r="J7" i="20" s="1"/>
  <c r="I73" i="20"/>
  <c r="J73" i="20" s="1"/>
  <c r="I35" i="20"/>
  <c r="J35" i="20" s="1"/>
  <c r="I39" i="20"/>
  <c r="J39" i="20" s="1"/>
  <c r="I41" i="20"/>
  <c r="J41" i="20" s="1"/>
  <c r="I72" i="20"/>
  <c r="J72" i="20" s="1"/>
  <c r="I11" i="20"/>
  <c r="J11" i="20" s="1"/>
  <c r="I62" i="20"/>
  <c r="J62" i="20" s="1"/>
  <c r="I40" i="20"/>
  <c r="J40" i="20" s="1"/>
  <c r="I34" i="20"/>
  <c r="J34" i="20" s="1"/>
  <c r="I82" i="20"/>
  <c r="J82" i="20" s="1"/>
  <c r="I79" i="20"/>
  <c r="J79" i="20" s="1"/>
  <c r="I45" i="20"/>
  <c r="J45" i="20" s="1"/>
  <c r="I54" i="20"/>
  <c r="J54" i="20" s="1"/>
  <c r="I85" i="20"/>
  <c r="J85" i="20" s="1"/>
  <c r="I30" i="20"/>
  <c r="J30" i="20" s="1"/>
  <c r="I69" i="20"/>
  <c r="J69" i="20" s="1"/>
  <c r="I21" i="20"/>
  <c r="J21" i="20" s="1"/>
  <c r="I36" i="20"/>
  <c r="J36" i="20" s="1"/>
  <c r="I23" i="20"/>
  <c r="J23" i="20" s="1"/>
  <c r="I10" i="20"/>
  <c r="J10" i="20" s="1"/>
  <c r="I68" i="20"/>
  <c r="J68" i="20" s="1"/>
  <c r="I42" i="20"/>
  <c r="J42" i="20" s="1"/>
  <c r="I90" i="20"/>
  <c r="J90" i="20" s="1"/>
  <c r="I108" i="20"/>
  <c r="J108" i="20" s="1"/>
  <c r="I32" i="20"/>
  <c r="J32" i="20" s="1"/>
  <c r="I59" i="20"/>
  <c r="J59" i="20" s="1"/>
  <c r="I96" i="20"/>
  <c r="J96" i="20" s="1"/>
  <c r="I84" i="20"/>
  <c r="J84" i="20" s="1"/>
  <c r="I33" i="20"/>
  <c r="J33" i="20" s="1"/>
  <c r="I61" i="20"/>
  <c r="J61" i="20" s="1"/>
  <c r="I65" i="20"/>
  <c r="J65" i="20" s="1"/>
  <c r="I97" i="20"/>
  <c r="J97" i="20" s="1"/>
  <c r="I27" i="20"/>
  <c r="J27" i="20" s="1"/>
  <c r="I78" i="20"/>
  <c r="J78" i="20" s="1"/>
  <c r="I48" i="20"/>
  <c r="J48" i="20" s="1"/>
  <c r="I8" i="20"/>
  <c r="J8" i="20" s="1"/>
  <c r="I98" i="20"/>
  <c r="J98" i="20" s="1"/>
  <c r="I50" i="20"/>
  <c r="J50" i="20" s="1"/>
  <c r="I37" i="20"/>
  <c r="J37" i="20" s="1"/>
  <c r="I91" i="20"/>
  <c r="J91" i="20" s="1"/>
  <c r="I77" i="20"/>
  <c r="J77" i="20" s="1"/>
  <c r="I15" i="20"/>
  <c r="J15" i="20" s="1"/>
  <c r="I105" i="20"/>
  <c r="J105" i="20" s="1"/>
  <c r="I12" i="20"/>
  <c r="J12" i="20" s="1"/>
  <c r="I71" i="20"/>
  <c r="J71" i="20" s="1"/>
  <c r="I53" i="20"/>
  <c r="J53" i="20" s="1"/>
  <c r="I14" i="20"/>
  <c r="J14" i="20" s="1"/>
  <c r="I31" i="20"/>
  <c r="J31" i="20" s="1"/>
  <c r="I55" i="20"/>
  <c r="J55" i="20" s="1"/>
  <c r="I43" i="20"/>
  <c r="J43" i="20" s="1"/>
  <c r="I38" i="20"/>
  <c r="J38" i="20" s="1"/>
  <c r="I25" i="20"/>
  <c r="J25" i="20" s="1"/>
  <c r="I101" i="20"/>
  <c r="J101" i="20" s="1"/>
  <c r="I75" i="20"/>
  <c r="J75" i="20" s="1"/>
  <c r="I89" i="20"/>
  <c r="J89" i="20" s="1"/>
  <c r="I63" i="20"/>
  <c r="J63" i="20" s="1"/>
  <c r="I16" i="20"/>
  <c r="J16" i="20" s="1"/>
  <c r="I102" i="20"/>
  <c r="J102" i="20" s="1"/>
  <c r="I58" i="20"/>
  <c r="J58" i="20" s="1"/>
  <c r="I94" i="20"/>
  <c r="J94" i="20" s="1"/>
  <c r="I44" i="20"/>
  <c r="J44" i="20" s="1"/>
  <c r="I64" i="20"/>
  <c r="J64" i="20" s="1"/>
  <c r="I26" i="20"/>
  <c r="J26" i="20" s="1"/>
  <c r="I81" i="20"/>
  <c r="J81" i="20" s="1"/>
  <c r="I9" i="20"/>
  <c r="J9" i="20" s="1"/>
  <c r="I20" i="20"/>
  <c r="J20" i="20" s="1"/>
  <c r="I103" i="20"/>
  <c r="J103" i="20" s="1"/>
  <c r="I70" i="20"/>
  <c r="J70" i="20" s="1"/>
  <c r="I99" i="20"/>
  <c r="J99" i="20" s="1"/>
  <c r="I56" i="20"/>
  <c r="J56" i="20" s="1"/>
  <c r="I29" i="20"/>
  <c r="J29" i="20" s="1"/>
  <c r="I87" i="20"/>
  <c r="J87" i="20" s="1"/>
  <c r="I51" i="20"/>
  <c r="J51" i="20" s="1"/>
  <c r="I57" i="20"/>
  <c r="J57" i="20" s="1"/>
  <c r="I92" i="20"/>
  <c r="J92" i="20" s="1"/>
  <c r="I17" i="20"/>
  <c r="J17" i="20" s="1"/>
  <c r="I52" i="20"/>
  <c r="J52" i="20" s="1"/>
  <c r="I109" i="20"/>
  <c r="J109" i="20" s="1"/>
  <c r="I80" i="20"/>
  <c r="J80" i="20" s="1"/>
  <c r="I28" i="20"/>
  <c r="J28" i="20" s="1"/>
  <c r="I86" i="20"/>
  <c r="J86" i="20" s="1"/>
  <c r="I46" i="20"/>
  <c r="J46" i="20" s="1"/>
  <c r="I104" i="20"/>
  <c r="J104" i="20" s="1"/>
  <c r="I22" i="20"/>
  <c r="J22" i="20" s="1"/>
  <c r="I95" i="20"/>
  <c r="J95" i="20" s="1"/>
  <c r="I106" i="20"/>
  <c r="J106" i="20" s="1"/>
  <c r="I83" i="20"/>
  <c r="J83" i="20" s="1"/>
  <c r="I13" i="20"/>
  <c r="J13" i="20" s="1"/>
  <c r="I60" i="20"/>
  <c r="J60" i="20" s="1"/>
  <c r="I24" i="20"/>
  <c r="J24" i="20" s="1"/>
  <c r="I88" i="20"/>
  <c r="J88" i="20" s="1"/>
  <c r="E18" i="34"/>
  <c r="B17" i="34"/>
  <c r="B7" i="34"/>
  <c r="B18" i="34"/>
  <c r="E11" i="34"/>
  <c r="B8" i="34"/>
  <c r="B10" i="34"/>
  <c r="B15" i="34"/>
  <c r="H128" i="20"/>
  <c r="K128" i="20"/>
  <c r="I122" i="20"/>
  <c r="K122" i="20"/>
  <c r="I120" i="20"/>
  <c r="K120" i="20"/>
  <c r="H123" i="20"/>
  <c r="K123" i="20"/>
  <c r="I124" i="20"/>
  <c r="K124" i="20"/>
  <c r="I127" i="20"/>
  <c r="K127" i="20"/>
  <c r="H119" i="20"/>
  <c r="K119" i="20"/>
  <c r="I126" i="20"/>
  <c r="K126" i="20"/>
  <c r="H125" i="20"/>
  <c r="K125" i="20"/>
  <c r="H130" i="20"/>
  <c r="K130" i="20"/>
  <c r="H121" i="20"/>
  <c r="K121" i="20"/>
  <c r="H129" i="20"/>
  <c r="K129" i="20"/>
  <c r="H131" i="20"/>
  <c r="K131" i="20"/>
  <c r="I119" i="20"/>
  <c r="I123" i="20"/>
  <c r="I158" i="20"/>
  <c r="H126" i="20"/>
  <c r="I157" i="20"/>
  <c r="H169" i="20"/>
  <c r="H124" i="20"/>
  <c r="H127" i="20"/>
  <c r="I125" i="20"/>
  <c r="I130" i="20"/>
  <c r="H168" i="20"/>
  <c r="I121" i="20"/>
  <c r="I165" i="20"/>
  <c r="I129" i="20"/>
  <c r="H120" i="20"/>
  <c r="H122" i="20"/>
  <c r="I128" i="20"/>
  <c r="I164" i="20"/>
  <c r="I156" i="20"/>
  <c r="I131" i="20"/>
  <c r="FK77" i="26"/>
  <c r="FL77" i="26" s="1"/>
  <c r="U21" i="4"/>
  <c r="U2" i="21" s="1"/>
  <c r="E80" i="26"/>
  <c r="F80" i="26" s="1"/>
  <c r="E73" i="26"/>
  <c r="G73" i="26" s="1"/>
  <c r="I73" i="26" s="1"/>
  <c r="E68" i="26"/>
  <c r="G68" i="26" s="1"/>
  <c r="I68" i="26" s="1"/>
  <c r="E72" i="26"/>
  <c r="F72" i="26" s="1"/>
  <c r="E69" i="26"/>
  <c r="G69" i="26" s="1"/>
  <c r="I69" i="26" s="1"/>
  <c r="E85" i="26"/>
  <c r="G85" i="26" s="1"/>
  <c r="I85" i="26" s="1"/>
  <c r="E84" i="26"/>
  <c r="G84" i="26" s="1"/>
  <c r="I84" i="26" s="1"/>
  <c r="E92" i="26"/>
  <c r="G92" i="26" s="1"/>
  <c r="I92" i="26" s="1"/>
  <c r="HF80" i="26"/>
  <c r="FJ85" i="26"/>
  <c r="HW84" i="26"/>
  <c r="HX84" i="26" s="1"/>
  <c r="AP102" i="26"/>
  <c r="O35" i="28" s="1"/>
  <c r="GQ89" i="26"/>
  <c r="GR89" i="26" s="1"/>
  <c r="E77" i="26"/>
  <c r="G77" i="26" s="1"/>
  <c r="I77" i="26" s="1"/>
  <c r="E82" i="26"/>
  <c r="F82" i="26" s="1"/>
  <c r="E91" i="26"/>
  <c r="F91" i="26" s="1"/>
  <c r="E70" i="26"/>
  <c r="F70" i="26" s="1"/>
  <c r="E93" i="26"/>
  <c r="G93" i="26" s="1"/>
  <c r="I93" i="26" s="1"/>
  <c r="E75" i="26"/>
  <c r="F75" i="26" s="1"/>
  <c r="E79" i="26"/>
  <c r="F79" i="26" s="1"/>
  <c r="E78" i="26"/>
  <c r="G78" i="26" s="1"/>
  <c r="I78" i="26" s="1"/>
  <c r="E89" i="26"/>
  <c r="F89" i="26" s="1"/>
  <c r="ET42" i="26"/>
  <c r="DG130" i="26"/>
  <c r="DG106" i="26"/>
  <c r="ET37" i="26"/>
  <c r="HF70" i="26"/>
  <c r="ET41" i="26"/>
  <c r="E74" i="26"/>
  <c r="F74" i="26" s="1"/>
  <c r="E81" i="26"/>
  <c r="F81" i="26" s="1"/>
  <c r="E87" i="26"/>
  <c r="G87" i="26" s="1"/>
  <c r="I87" i="26" s="1"/>
  <c r="DG128" i="26"/>
  <c r="HG76" i="26"/>
  <c r="HH76" i="26" s="1"/>
  <c r="DD102" i="26"/>
  <c r="I128" i="28" s="1"/>
  <c r="E71" i="26"/>
  <c r="F71" i="26" s="1"/>
  <c r="E90" i="26"/>
  <c r="G90" i="26" s="1"/>
  <c r="I90" i="26" s="1"/>
  <c r="E86" i="26"/>
  <c r="G86" i="26" s="1"/>
  <c r="I86" i="26" s="1"/>
  <c r="DG129" i="26"/>
  <c r="DG127" i="26"/>
  <c r="E76" i="26"/>
  <c r="F76" i="26" s="1"/>
  <c r="E88" i="26"/>
  <c r="F88" i="26" s="1"/>
  <c r="AJ102" i="26"/>
  <c r="I35" i="28" s="1"/>
  <c r="HG85" i="26"/>
  <c r="HH85" i="26" s="1"/>
  <c r="ET43" i="26"/>
  <c r="HV90" i="26"/>
  <c r="EU62" i="26"/>
  <c r="EW62" i="26" s="1"/>
  <c r="FJ75" i="26"/>
  <c r="ET49" i="26"/>
  <c r="ET39" i="26"/>
  <c r="HF82" i="26"/>
  <c r="HW77" i="26"/>
  <c r="HX77" i="26" s="1"/>
  <c r="HV92" i="26"/>
  <c r="EU59" i="26"/>
  <c r="EV59" i="26" s="1"/>
  <c r="HF75" i="26"/>
  <c r="HV81" i="26"/>
  <c r="HW83" i="26"/>
  <c r="HX83" i="26" s="1"/>
  <c r="HW88" i="26"/>
  <c r="HX88" i="26" s="1"/>
  <c r="HW80" i="26"/>
  <c r="HX80" i="26" s="1"/>
  <c r="FZ69" i="26"/>
  <c r="HG91" i="26"/>
  <c r="HH91" i="26" s="1"/>
  <c r="HF88" i="26"/>
  <c r="HW74" i="26"/>
  <c r="HX74" i="26" s="1"/>
  <c r="HG83" i="26"/>
  <c r="HH83" i="26" s="1"/>
  <c r="ET54" i="26"/>
  <c r="EU61" i="26"/>
  <c r="EW61" i="26" s="1"/>
  <c r="HW76" i="26"/>
  <c r="HX76" i="26" s="1"/>
  <c r="HW72" i="26"/>
  <c r="HX72" i="26" s="1"/>
  <c r="HV70" i="26"/>
  <c r="ET60" i="26"/>
  <c r="HF74" i="26"/>
  <c r="HF72" i="26"/>
  <c r="HV91" i="26"/>
  <c r="HW75" i="26"/>
  <c r="HX75" i="26" s="1"/>
  <c r="ET44" i="26"/>
  <c r="HV69" i="26"/>
  <c r="HV78" i="26"/>
  <c r="HG92" i="26"/>
  <c r="HH92" i="26" s="1"/>
  <c r="HW82" i="26"/>
  <c r="HX82" i="26" s="1"/>
  <c r="HV86" i="26"/>
  <c r="HW86" i="26"/>
  <c r="HX86" i="26" s="1"/>
  <c r="GQ92" i="26"/>
  <c r="GR92" i="26" s="1"/>
  <c r="HF86" i="26"/>
  <c r="HG86" i="26"/>
  <c r="HH86" i="26" s="1"/>
  <c r="HV79" i="26"/>
  <c r="HW79" i="26"/>
  <c r="HX79" i="26" s="1"/>
  <c r="HG93" i="26"/>
  <c r="HH93" i="26" s="1"/>
  <c r="HF77" i="26"/>
  <c r="HF90" i="26"/>
  <c r="ET51" i="26"/>
  <c r="HF84" i="26"/>
  <c r="HG78" i="26"/>
  <c r="HH78" i="26" s="1"/>
  <c r="HV85" i="26"/>
  <c r="HV73" i="26"/>
  <c r="HF79" i="26"/>
  <c r="HG79" i="26"/>
  <c r="HH79" i="26" s="1"/>
  <c r="HV87" i="26"/>
  <c r="HW87" i="26"/>
  <c r="HX87" i="26" s="1"/>
  <c r="HF81" i="26"/>
  <c r="HG81" i="26"/>
  <c r="HH81" i="26" s="1"/>
  <c r="HF87" i="26"/>
  <c r="HG87" i="26"/>
  <c r="HH87" i="26" s="1"/>
  <c r="HF89" i="26"/>
  <c r="HG89" i="26"/>
  <c r="HH89" i="26" s="1"/>
  <c r="EU53" i="26"/>
  <c r="EW53" i="26" s="1"/>
  <c r="HG69" i="26"/>
  <c r="HH69" i="26" s="1"/>
  <c r="HV71" i="26"/>
  <c r="HW71" i="26"/>
  <c r="HX71" i="26" s="1"/>
  <c r="HF73" i="26"/>
  <c r="HG73" i="26"/>
  <c r="HH73" i="26" s="1"/>
  <c r="HF71" i="26"/>
  <c r="HG71" i="26"/>
  <c r="HH71" i="26" s="1"/>
  <c r="GQ71" i="26"/>
  <c r="GR71" i="26" s="1"/>
  <c r="GP71" i="26"/>
  <c r="FZ79" i="26"/>
  <c r="ET52" i="26"/>
  <c r="ET57" i="26"/>
  <c r="EU45" i="26"/>
  <c r="EW45" i="26" s="1"/>
  <c r="ET47" i="26"/>
  <c r="Y90" i="26"/>
  <c r="AK50" i="26"/>
  <c r="AK56" i="26"/>
  <c r="AK58" i="26"/>
  <c r="AK40" i="26"/>
  <c r="AK42" i="26"/>
  <c r="AK48" i="26"/>
  <c r="AK59" i="26"/>
  <c r="AK62" i="26"/>
  <c r="AK51" i="26"/>
  <c r="AK60" i="26"/>
  <c r="AK43" i="26"/>
  <c r="AK57" i="26"/>
  <c r="AK55" i="26"/>
  <c r="AK61" i="26"/>
  <c r="AK49" i="26"/>
  <c r="AK53" i="26"/>
  <c r="AK41" i="26"/>
  <c r="AK52" i="26"/>
  <c r="AK45" i="26"/>
  <c r="AK54" i="26"/>
  <c r="AK37" i="26"/>
  <c r="AK46" i="26"/>
  <c r="AK47" i="26"/>
  <c r="AK38" i="26"/>
  <c r="AK44" i="26"/>
  <c r="AK39" i="26"/>
  <c r="GO40" i="26"/>
  <c r="GO48" i="26"/>
  <c r="GO56" i="26"/>
  <c r="GO54" i="26"/>
  <c r="GO44" i="26"/>
  <c r="GO50" i="26"/>
  <c r="GO46" i="26"/>
  <c r="GO59" i="26"/>
  <c r="GO38" i="26"/>
  <c r="GO51" i="26"/>
  <c r="GO45" i="26"/>
  <c r="GO49" i="26"/>
  <c r="GO39" i="26"/>
  <c r="GO42" i="26"/>
  <c r="GO61" i="26"/>
  <c r="GO43" i="26"/>
  <c r="GO53" i="26"/>
  <c r="GO57" i="26"/>
  <c r="GO47" i="26"/>
  <c r="GO55" i="26"/>
  <c r="GO37" i="26"/>
  <c r="GO41" i="26"/>
  <c r="GO60" i="26"/>
  <c r="GO58" i="26"/>
  <c r="GO62" i="26"/>
  <c r="GO52" i="26"/>
  <c r="ET48" i="26"/>
  <c r="EU48" i="26"/>
  <c r="EU55" i="26"/>
  <c r="ET55" i="26"/>
  <c r="ET56" i="26"/>
  <c r="EU56" i="26"/>
  <c r="AK87" i="26"/>
  <c r="AK76" i="26"/>
  <c r="AK81" i="26"/>
  <c r="AK79" i="26"/>
  <c r="AK68" i="26"/>
  <c r="AK92" i="26"/>
  <c r="AK71" i="26"/>
  <c r="AK84" i="26"/>
  <c r="AK89" i="26"/>
  <c r="AK73" i="26"/>
  <c r="AK82" i="26"/>
  <c r="AK88" i="26"/>
  <c r="AK74" i="26"/>
  <c r="AK80" i="26"/>
  <c r="AK72" i="26"/>
  <c r="AK83" i="26"/>
  <c r="AK86" i="26"/>
  <c r="AK77" i="26"/>
  <c r="AK75" i="26"/>
  <c r="AK78" i="26"/>
  <c r="AK93" i="26"/>
  <c r="AK85" i="26"/>
  <c r="AK69" i="26"/>
  <c r="AK70" i="26"/>
  <c r="AK90" i="26"/>
  <c r="AK91" i="26"/>
  <c r="DG131" i="26"/>
  <c r="DG115" i="26"/>
  <c r="DG116" i="26"/>
  <c r="DD104" i="26"/>
  <c r="I130" i="28" s="1"/>
  <c r="DG117" i="26"/>
  <c r="DG118" i="26"/>
  <c r="DG112" i="26"/>
  <c r="DG108" i="26"/>
  <c r="EU50" i="26"/>
  <c r="EV50" i="26" s="1"/>
  <c r="ET38" i="26"/>
  <c r="BA79" i="26"/>
  <c r="BA87" i="26"/>
  <c r="BA71" i="26"/>
  <c r="BA88" i="26"/>
  <c r="BA69" i="26"/>
  <c r="BA81" i="26"/>
  <c r="BA80" i="26"/>
  <c r="BA91" i="26"/>
  <c r="BA72" i="26"/>
  <c r="BA83" i="26"/>
  <c r="BA76" i="26"/>
  <c r="BA90" i="26"/>
  <c r="BA70" i="26"/>
  <c r="BA73" i="26"/>
  <c r="BA92" i="26"/>
  <c r="BA75" i="26"/>
  <c r="BA86" i="26"/>
  <c r="BA84" i="26"/>
  <c r="BA93" i="26"/>
  <c r="BA78" i="26"/>
  <c r="BA68" i="26"/>
  <c r="BA82" i="26"/>
  <c r="BA85" i="26"/>
  <c r="BA89" i="26"/>
  <c r="BA74" i="26"/>
  <c r="BA77" i="26"/>
  <c r="BA56" i="26"/>
  <c r="BA40" i="26"/>
  <c r="BA48" i="26"/>
  <c r="BA53" i="26"/>
  <c r="BA44" i="26"/>
  <c r="BA51" i="26"/>
  <c r="BA45" i="26"/>
  <c r="BA59" i="26"/>
  <c r="BA47" i="26"/>
  <c r="BA37" i="26"/>
  <c r="BA43" i="26"/>
  <c r="BA39" i="26"/>
  <c r="BA58" i="26"/>
  <c r="BA57" i="26"/>
  <c r="BA54" i="26"/>
  <c r="BA55" i="26"/>
  <c r="BA49" i="26"/>
  <c r="BA46" i="26"/>
  <c r="BA50" i="26"/>
  <c r="BA41" i="26"/>
  <c r="BA38" i="26"/>
  <c r="BA62" i="26"/>
  <c r="BA60" i="26"/>
  <c r="BA42" i="26"/>
  <c r="BA61" i="26"/>
  <c r="BA52" i="26"/>
  <c r="DG111" i="26"/>
  <c r="DG109" i="26"/>
  <c r="CW58" i="26"/>
  <c r="CW40" i="26"/>
  <c r="CW50" i="26"/>
  <c r="CW42" i="26"/>
  <c r="CW56" i="26"/>
  <c r="CW48" i="26"/>
  <c r="CW53" i="26"/>
  <c r="CW49" i="26"/>
  <c r="CW52" i="26"/>
  <c r="CW45" i="26"/>
  <c r="CW41" i="26"/>
  <c r="CW37" i="26"/>
  <c r="CW54" i="26"/>
  <c r="CW47" i="26"/>
  <c r="CW46" i="26"/>
  <c r="CW44" i="26"/>
  <c r="CW39" i="26"/>
  <c r="CW38" i="26"/>
  <c r="CW62" i="26"/>
  <c r="CW51" i="26"/>
  <c r="CW60" i="26"/>
  <c r="CW43" i="26"/>
  <c r="CW59" i="26"/>
  <c r="CW55" i="26"/>
  <c r="CW61" i="26"/>
  <c r="CW57" i="26"/>
  <c r="HE48" i="26"/>
  <c r="HE56" i="26"/>
  <c r="HE40" i="26"/>
  <c r="HE45" i="26"/>
  <c r="HE49" i="26"/>
  <c r="HE39" i="26"/>
  <c r="HE55" i="26"/>
  <c r="HE37" i="26"/>
  <c r="HE41" i="26"/>
  <c r="HE62" i="26"/>
  <c r="HE58" i="26"/>
  <c r="HE54" i="26"/>
  <c r="HE60" i="26"/>
  <c r="HE59" i="26"/>
  <c r="HE51" i="26"/>
  <c r="HE46" i="26"/>
  <c r="HE52" i="26"/>
  <c r="HE50" i="26"/>
  <c r="HE38" i="26"/>
  <c r="HE44" i="26"/>
  <c r="HE42" i="26"/>
  <c r="HE61" i="26"/>
  <c r="HE43" i="26"/>
  <c r="HE53" i="26"/>
  <c r="HE57" i="26"/>
  <c r="HE47" i="26"/>
  <c r="FI48" i="26"/>
  <c r="FI56" i="26"/>
  <c r="FI40" i="26"/>
  <c r="FI51" i="26"/>
  <c r="FI60" i="26"/>
  <c r="FI42" i="26"/>
  <c r="FI61" i="26"/>
  <c r="FI52" i="26"/>
  <c r="FI53" i="26"/>
  <c r="FI44" i="26"/>
  <c r="FI47" i="26"/>
  <c r="FI55" i="26"/>
  <c r="FI58" i="26"/>
  <c r="FI41" i="26"/>
  <c r="FI46" i="26"/>
  <c r="FI45" i="26"/>
  <c r="FI57" i="26"/>
  <c r="FI39" i="26"/>
  <c r="FI37" i="26"/>
  <c r="FI49" i="26"/>
  <c r="FI54" i="26"/>
  <c r="FI62" i="26"/>
  <c r="FI38" i="26"/>
  <c r="FI50" i="26"/>
  <c r="FI59" i="26"/>
  <c r="FI43" i="26"/>
  <c r="DG113" i="26"/>
  <c r="DG119" i="26"/>
  <c r="DG120" i="26"/>
  <c r="DG121" i="26"/>
  <c r="DG122" i="26"/>
  <c r="FY42" i="26"/>
  <c r="FY56" i="26"/>
  <c r="FY45" i="26"/>
  <c r="FY58" i="26"/>
  <c r="FY50" i="26"/>
  <c r="FY48" i="26"/>
  <c r="FY37" i="26"/>
  <c r="FY61" i="26"/>
  <c r="FY40" i="26"/>
  <c r="FY53" i="26"/>
  <c r="FY46" i="26"/>
  <c r="FY57" i="26"/>
  <c r="FY38" i="26"/>
  <c r="FY49" i="26"/>
  <c r="FY55" i="26"/>
  <c r="FY41" i="26"/>
  <c r="FY52" i="26"/>
  <c r="FY43" i="26"/>
  <c r="FY44" i="26"/>
  <c r="FY47" i="26"/>
  <c r="FY59" i="26"/>
  <c r="FY51" i="26"/>
  <c r="FY62" i="26"/>
  <c r="FY39" i="26"/>
  <c r="FY54" i="26"/>
  <c r="FY60" i="26"/>
  <c r="DM56" i="26"/>
  <c r="DM45" i="26"/>
  <c r="DM48" i="26"/>
  <c r="DM37" i="26"/>
  <c r="DM61" i="26"/>
  <c r="DM40" i="26"/>
  <c r="DM53" i="26"/>
  <c r="DM58" i="26"/>
  <c r="DM50" i="26"/>
  <c r="DM42" i="26"/>
  <c r="DM46" i="26"/>
  <c r="DM44" i="26"/>
  <c r="DM51" i="26"/>
  <c r="DM38" i="26"/>
  <c r="DM43" i="26"/>
  <c r="DM60" i="26"/>
  <c r="DM57" i="26"/>
  <c r="DM49" i="26"/>
  <c r="DM41" i="26"/>
  <c r="DM52" i="26"/>
  <c r="DM47" i="26"/>
  <c r="DM55" i="26"/>
  <c r="DM62" i="26"/>
  <c r="DM39" i="26"/>
  <c r="DM54" i="26"/>
  <c r="DM59" i="26"/>
  <c r="ET40" i="26"/>
  <c r="EU40" i="26"/>
  <c r="BQ81" i="26"/>
  <c r="BQ73" i="26"/>
  <c r="BQ79" i="26"/>
  <c r="BQ71" i="26"/>
  <c r="BQ85" i="26"/>
  <c r="BQ86" i="26"/>
  <c r="BQ77" i="26"/>
  <c r="BQ69" i="26"/>
  <c r="BQ84" i="26"/>
  <c r="BQ80" i="26"/>
  <c r="BQ82" i="26"/>
  <c r="BQ92" i="26"/>
  <c r="BQ83" i="26"/>
  <c r="BQ72" i="26"/>
  <c r="BQ68" i="26"/>
  <c r="BQ75" i="26"/>
  <c r="BQ78" i="26"/>
  <c r="EC48" i="26"/>
  <c r="EC56" i="26"/>
  <c r="EC40" i="26"/>
  <c r="EC41" i="26"/>
  <c r="EC60" i="26"/>
  <c r="EC50" i="26"/>
  <c r="EC62" i="26"/>
  <c r="EC52" i="26"/>
  <c r="EC43" i="26"/>
  <c r="EC44" i="26"/>
  <c r="EC42" i="26"/>
  <c r="EC61" i="26"/>
  <c r="EC54" i="26"/>
  <c r="EC53" i="26"/>
  <c r="EC46" i="26"/>
  <c r="EC47" i="26"/>
  <c r="EC45" i="26"/>
  <c r="EC38" i="26"/>
  <c r="EC39" i="26"/>
  <c r="EC55" i="26"/>
  <c r="EC37" i="26"/>
  <c r="EC57" i="26"/>
  <c r="EC59" i="26"/>
  <c r="EC58" i="26"/>
  <c r="EC49" i="26"/>
  <c r="EC51" i="26"/>
  <c r="DG123" i="26"/>
  <c r="DG124" i="26"/>
  <c r="DG107" i="26"/>
  <c r="DG110" i="26"/>
  <c r="ET58" i="26"/>
  <c r="BQ56" i="26"/>
  <c r="BQ48" i="26"/>
  <c r="BQ58" i="26"/>
  <c r="BQ40" i="26"/>
  <c r="BQ42" i="26"/>
  <c r="BQ50" i="26"/>
  <c r="BQ59" i="26"/>
  <c r="BQ51" i="26"/>
  <c r="BQ61" i="26"/>
  <c r="BQ43" i="26"/>
  <c r="BQ53" i="26"/>
  <c r="BQ57" i="26"/>
  <c r="BQ52" i="26"/>
  <c r="BQ45" i="26"/>
  <c r="BQ49" i="26"/>
  <c r="BQ37" i="26"/>
  <c r="BQ41" i="26"/>
  <c r="BQ47" i="26"/>
  <c r="BQ54" i="26"/>
  <c r="BQ44" i="26"/>
  <c r="BQ39" i="26"/>
  <c r="BQ46" i="26"/>
  <c r="BQ62" i="26"/>
  <c r="BQ55" i="26"/>
  <c r="BQ38" i="26"/>
  <c r="BQ60" i="26"/>
  <c r="CG40" i="26"/>
  <c r="CG48" i="26"/>
  <c r="CG56" i="26"/>
  <c r="CG58" i="26"/>
  <c r="CG62" i="26"/>
  <c r="CG39" i="26"/>
  <c r="CG54" i="26"/>
  <c r="CG57" i="26"/>
  <c r="CG55" i="26"/>
  <c r="CG50" i="26"/>
  <c r="CG46" i="26"/>
  <c r="CG49" i="26"/>
  <c r="CG38" i="26"/>
  <c r="CG41" i="26"/>
  <c r="CG42" i="26"/>
  <c r="CG61" i="26"/>
  <c r="CG60" i="26"/>
  <c r="CG53" i="26"/>
  <c r="CG52" i="26"/>
  <c r="CG59" i="26"/>
  <c r="CG45" i="26"/>
  <c r="CG44" i="26"/>
  <c r="CG43" i="26"/>
  <c r="CG37" i="26"/>
  <c r="CG51" i="26"/>
  <c r="CG47" i="26"/>
  <c r="DG125" i="26"/>
  <c r="DG126" i="26"/>
  <c r="HX85" i="26"/>
  <c r="HX78" i="26"/>
  <c r="HX92" i="26"/>
  <c r="HX89" i="26"/>
  <c r="HX69" i="26"/>
  <c r="HX90" i="26"/>
  <c r="HX91" i="26"/>
  <c r="HX81" i="26"/>
  <c r="HX73" i="26"/>
  <c r="HX70" i="26"/>
  <c r="HH74" i="26"/>
  <c r="HH90" i="26"/>
  <c r="HH72" i="26"/>
  <c r="HH84" i="26"/>
  <c r="HH70" i="26"/>
  <c r="HH82" i="26"/>
  <c r="HH80" i="26"/>
  <c r="HH88" i="26"/>
  <c r="HH75" i="26"/>
  <c r="HH77" i="26"/>
  <c r="GB69" i="26"/>
  <c r="FL85" i="26"/>
  <c r="FL75" i="26"/>
  <c r="DP85" i="26"/>
  <c r="EV38" i="26"/>
  <c r="EW38" i="26"/>
  <c r="EV54" i="26"/>
  <c r="EW54" i="26"/>
  <c r="EW41" i="26"/>
  <c r="EV41" i="26"/>
  <c r="EW60" i="26"/>
  <c r="EV60" i="26"/>
  <c r="EV46" i="26"/>
  <c r="EW46" i="26"/>
  <c r="EV49" i="26"/>
  <c r="EW49" i="26"/>
  <c r="EV44" i="26"/>
  <c r="EW44" i="26"/>
  <c r="EW47" i="26"/>
  <c r="EV47" i="26"/>
  <c r="EV42" i="26"/>
  <c r="EW42" i="26"/>
  <c r="EV58" i="26"/>
  <c r="EW58" i="26"/>
  <c r="EW51" i="26"/>
  <c r="EV51" i="26"/>
  <c r="EV37" i="26"/>
  <c r="EW37" i="26"/>
  <c r="EW43" i="26"/>
  <c r="EV43" i="26"/>
  <c r="EV52" i="26"/>
  <c r="EW52" i="26"/>
  <c r="EV57" i="26"/>
  <c r="EW57" i="26"/>
  <c r="EW39" i="26"/>
  <c r="EV39" i="26"/>
  <c r="M22" i="21"/>
  <c r="N22" i="21"/>
  <c r="M32" i="21"/>
  <c r="N32" i="21"/>
  <c r="M27" i="21"/>
  <c r="N27" i="21"/>
  <c r="M18" i="21"/>
  <c r="N18" i="21"/>
  <c r="M21" i="21"/>
  <c r="N21" i="21"/>
  <c r="M31" i="21"/>
  <c r="N31" i="21"/>
  <c r="M30" i="21"/>
  <c r="N30" i="21"/>
  <c r="M10" i="21"/>
  <c r="N10" i="21"/>
  <c r="M15" i="21"/>
  <c r="N15" i="21"/>
  <c r="M29" i="21"/>
  <c r="N29" i="21"/>
  <c r="M24" i="21"/>
  <c r="N24" i="21"/>
  <c r="M23" i="21"/>
  <c r="N23" i="21"/>
  <c r="M9" i="21"/>
  <c r="N9" i="21"/>
  <c r="X103" i="26"/>
  <c r="U5" i="28" s="1"/>
  <c r="X102" i="26"/>
  <c r="U4" i="28" s="1"/>
  <c r="U76" i="26"/>
  <c r="W76" i="26" s="1"/>
  <c r="Y76" i="26" s="1"/>
  <c r="U71" i="26"/>
  <c r="V71" i="26" s="1"/>
  <c r="BT102" i="26"/>
  <c r="U66" i="28" s="1"/>
  <c r="BN102" i="26"/>
  <c r="O66" i="28" s="1"/>
  <c r="CF103" i="26"/>
  <c r="I98" i="28" s="1"/>
  <c r="U43" i="26"/>
  <c r="V43" i="26" s="1"/>
  <c r="BN104" i="26"/>
  <c r="O68" i="28" s="1"/>
  <c r="DA125" i="26"/>
  <c r="DA123" i="26"/>
  <c r="DA128" i="26"/>
  <c r="CX103" i="26"/>
  <c r="C129" i="28" s="1"/>
  <c r="I31" i="29"/>
  <c r="J31" i="29" s="1"/>
  <c r="I21" i="29"/>
  <c r="B5" i="21"/>
  <c r="C5" i="21" s="1"/>
  <c r="D5" i="21" s="1"/>
  <c r="I27" i="29"/>
  <c r="J27" i="29" s="1"/>
  <c r="I26" i="29"/>
  <c r="H30" i="29"/>
  <c r="J30" i="29" s="1"/>
  <c r="CF104" i="26"/>
  <c r="I99" i="28" s="1"/>
  <c r="H35" i="29"/>
  <c r="J35" i="29" s="1"/>
  <c r="I32" i="29"/>
  <c r="J32" i="29" s="1"/>
  <c r="I40" i="29"/>
  <c r="J40" i="29" s="1"/>
  <c r="I44" i="29"/>
  <c r="J44" i="29" s="1"/>
  <c r="I39" i="29"/>
  <c r="J39" i="29" s="1"/>
  <c r="H21" i="29"/>
  <c r="I43" i="29"/>
  <c r="J43" i="29" s="1"/>
  <c r="H45" i="29"/>
  <c r="J45" i="29" s="1"/>
  <c r="I24" i="29"/>
  <c r="J24" i="29" s="1"/>
  <c r="H34" i="29"/>
  <c r="J34" i="29" s="1"/>
  <c r="CF102" i="26"/>
  <c r="I97" i="28" s="1"/>
  <c r="U83" i="26"/>
  <c r="W83" i="26" s="1"/>
  <c r="Y83" i="26" s="1"/>
  <c r="U77" i="26"/>
  <c r="W77" i="26" s="1"/>
  <c r="Y77" i="26" s="1"/>
  <c r="DA129" i="26"/>
  <c r="U86" i="26"/>
  <c r="V86" i="26" s="1"/>
  <c r="U74" i="26"/>
  <c r="V74" i="26" s="1"/>
  <c r="U92" i="26"/>
  <c r="W92" i="26" s="1"/>
  <c r="Y92" i="26" s="1"/>
  <c r="U84" i="26"/>
  <c r="W84" i="26" s="1"/>
  <c r="Y84" i="26" s="1"/>
  <c r="U75" i="26"/>
  <c r="V75" i="26" s="1"/>
  <c r="U70" i="26"/>
  <c r="V70" i="26" s="1"/>
  <c r="U89" i="26"/>
  <c r="V89" i="26" s="1"/>
  <c r="U59" i="26"/>
  <c r="V59" i="26" s="1"/>
  <c r="DM127" i="26"/>
  <c r="DM118" i="26"/>
  <c r="F102" i="26"/>
  <c r="C4" i="28" s="1"/>
  <c r="L102" i="26"/>
  <c r="I4" i="28" s="1"/>
  <c r="BH104" i="26"/>
  <c r="I68" i="28" s="1"/>
  <c r="BZ102" i="26"/>
  <c r="C97" i="28" s="1"/>
  <c r="BH102" i="26"/>
  <c r="I66" i="28" s="1"/>
  <c r="BT103" i="26"/>
  <c r="U67" i="28" s="1"/>
  <c r="U58" i="26"/>
  <c r="V58" i="26" s="1"/>
  <c r="AV102" i="26"/>
  <c r="U35" i="28" s="1"/>
  <c r="DM117" i="26"/>
  <c r="CR104" i="26"/>
  <c r="U99" i="28" s="1"/>
  <c r="DM119" i="26"/>
  <c r="R102" i="26"/>
  <c r="O4" i="28" s="1"/>
  <c r="U37" i="26"/>
  <c r="W37" i="26" s="1"/>
  <c r="Y37" i="26" s="1"/>
  <c r="E37" i="26"/>
  <c r="U48" i="26"/>
  <c r="W48" i="26" s="1"/>
  <c r="Y48" i="26" s="1"/>
  <c r="U82" i="26"/>
  <c r="V82" i="26" s="1"/>
  <c r="U87" i="26"/>
  <c r="W87" i="26" s="1"/>
  <c r="Y87" i="26" s="1"/>
  <c r="U80" i="26"/>
  <c r="W80" i="26" s="1"/>
  <c r="Y80" i="26" s="1"/>
  <c r="V90" i="26"/>
  <c r="U72" i="26"/>
  <c r="V72" i="26" s="1"/>
  <c r="U53" i="26"/>
  <c r="W53" i="26" s="1"/>
  <c r="Y53" i="26" s="1"/>
  <c r="U49" i="26"/>
  <c r="W49" i="26" s="1"/>
  <c r="Y49" i="26" s="1"/>
  <c r="E51" i="26"/>
  <c r="G51" i="26" s="1"/>
  <c r="I51" i="26" s="1"/>
  <c r="U88" i="26"/>
  <c r="V88" i="26" s="1"/>
  <c r="U85" i="26"/>
  <c r="V85" i="26" s="1"/>
  <c r="DA122" i="26"/>
  <c r="DA109" i="26"/>
  <c r="U61" i="26"/>
  <c r="W61" i="26" s="1"/>
  <c r="Y61" i="26" s="1"/>
  <c r="U47" i="26"/>
  <c r="W47" i="26" s="1"/>
  <c r="Y47" i="26" s="1"/>
  <c r="U68" i="26"/>
  <c r="V68" i="26" s="1"/>
  <c r="E54" i="26"/>
  <c r="F54" i="26" s="1"/>
  <c r="U93" i="26"/>
  <c r="U91" i="26"/>
  <c r="W91" i="26" s="1"/>
  <c r="U69" i="26"/>
  <c r="W69" i="26" s="1"/>
  <c r="Y69" i="26" s="1"/>
  <c r="U57" i="26"/>
  <c r="W57" i="26" s="1"/>
  <c r="Y57" i="26" s="1"/>
  <c r="U50" i="26"/>
  <c r="W50" i="26" s="1"/>
  <c r="Y50" i="26" s="1"/>
  <c r="DA124" i="26"/>
  <c r="AV103" i="26"/>
  <c r="U36" i="28" s="1"/>
  <c r="F103" i="26"/>
  <c r="C5" i="28" s="1"/>
  <c r="U39" i="26"/>
  <c r="U41" i="26"/>
  <c r="U44" i="26"/>
  <c r="U60" i="26"/>
  <c r="V60" i="26" s="1"/>
  <c r="U46" i="26"/>
  <c r="W46" i="26" s="1"/>
  <c r="Y46" i="26" s="1"/>
  <c r="U78" i="26"/>
  <c r="W78" i="26" s="1"/>
  <c r="Y78" i="26" s="1"/>
  <c r="U79" i="26"/>
  <c r="W79" i="26" s="1"/>
  <c r="Y79" i="26" s="1"/>
  <c r="CX102" i="26"/>
  <c r="C128" i="28" s="1"/>
  <c r="U38" i="26"/>
  <c r="W38" i="26" s="1"/>
  <c r="Y38" i="26" s="1"/>
  <c r="U42" i="26"/>
  <c r="V42" i="26" s="1"/>
  <c r="E49" i="26"/>
  <c r="F49" i="26" s="1"/>
  <c r="U62" i="26"/>
  <c r="V62" i="26" s="1"/>
  <c r="U51" i="26"/>
  <c r="W51" i="26" s="1"/>
  <c r="Y51" i="26" s="1"/>
  <c r="U54" i="26"/>
  <c r="W54" i="26" s="1"/>
  <c r="Y54" i="26" s="1"/>
  <c r="U73" i="26"/>
  <c r="V73" i="26" s="1"/>
  <c r="U40" i="26"/>
  <c r="V40" i="26" s="1"/>
  <c r="U55" i="26"/>
  <c r="W55" i="26" s="1"/>
  <c r="Y55" i="26" s="1"/>
  <c r="U52" i="26"/>
  <c r="V52" i="26" s="1"/>
  <c r="U56" i="26"/>
  <c r="V56" i="26" s="1"/>
  <c r="U81" i="26"/>
  <c r="V81" i="26" s="1"/>
  <c r="DA107" i="26"/>
  <c r="DA110" i="26"/>
  <c r="E44" i="26"/>
  <c r="E41" i="26"/>
  <c r="E52" i="26"/>
  <c r="G52" i="26" s="1"/>
  <c r="I52" i="26" s="1"/>
  <c r="E40" i="26"/>
  <c r="F40" i="26" s="1"/>
  <c r="E62" i="26"/>
  <c r="G62" i="26" s="1"/>
  <c r="I62" i="26" s="1"/>
  <c r="E58" i="26"/>
  <c r="G58" i="26" s="1"/>
  <c r="I58" i="26" s="1"/>
  <c r="DA126" i="26"/>
  <c r="DA127" i="26"/>
  <c r="DA108" i="26"/>
  <c r="E38" i="26"/>
  <c r="F38" i="26" s="1"/>
  <c r="E55" i="26"/>
  <c r="E61" i="26"/>
  <c r="G61" i="26" s="1"/>
  <c r="I61" i="26" s="1"/>
  <c r="E42" i="26"/>
  <c r="F42" i="26" s="1"/>
  <c r="E46" i="26"/>
  <c r="G46" i="26" s="1"/>
  <c r="I46" i="26" s="1"/>
  <c r="DA130" i="26"/>
  <c r="DA131" i="26"/>
  <c r="DA115" i="26"/>
  <c r="DA112" i="26"/>
  <c r="E45" i="26"/>
  <c r="G45" i="26" s="1"/>
  <c r="I45" i="26" s="1"/>
  <c r="E43" i="26"/>
  <c r="G43" i="26" s="1"/>
  <c r="I43" i="26" s="1"/>
  <c r="E59" i="26"/>
  <c r="F59" i="26" s="1"/>
  <c r="E47" i="26"/>
  <c r="F47" i="26" s="1"/>
  <c r="DA116" i="26"/>
  <c r="DA117" i="26"/>
  <c r="DA106" i="26"/>
  <c r="E39" i="26"/>
  <c r="AP104" i="26"/>
  <c r="O37" i="28" s="1"/>
  <c r="E60" i="26"/>
  <c r="G60" i="26" s="1"/>
  <c r="I60" i="26" s="1"/>
  <c r="E56" i="26"/>
  <c r="F56" i="26" s="1"/>
  <c r="E53" i="26"/>
  <c r="F53" i="26" s="1"/>
  <c r="E48" i="26"/>
  <c r="G48" i="26" s="1"/>
  <c r="I48" i="26" s="1"/>
  <c r="DA118" i="26"/>
  <c r="DA119" i="26"/>
  <c r="DA114" i="26"/>
  <c r="E50" i="26"/>
  <c r="F50" i="26" s="1"/>
  <c r="DA120" i="26"/>
  <c r="DA121" i="26"/>
  <c r="DA113" i="26"/>
  <c r="M11" i="21"/>
  <c r="AD102" i="26"/>
  <c r="C35" i="28" s="1"/>
  <c r="DM116" i="26"/>
  <c r="DM126" i="26"/>
  <c r="W45" i="26"/>
  <c r="Y45" i="26" s="1"/>
  <c r="G57" i="26"/>
  <c r="I57" i="26" s="1"/>
  <c r="G83" i="26"/>
  <c r="J29" i="29"/>
  <c r="M19" i="21"/>
  <c r="J158" i="20"/>
  <c r="J25" i="29"/>
  <c r="J164" i="20"/>
  <c r="I36" i="29"/>
  <c r="J36" i="29" s="1"/>
  <c r="DM128" i="26"/>
  <c r="DM129" i="26"/>
  <c r="H37" i="29"/>
  <c r="J37" i="29" s="1"/>
  <c r="DM130" i="26"/>
  <c r="DM131" i="26"/>
  <c r="DM115" i="26"/>
  <c r="DM120" i="26"/>
  <c r="DM121" i="26"/>
  <c r="M26" i="21"/>
  <c r="DM112" i="26"/>
  <c r="M34" i="21"/>
  <c r="H42" i="29"/>
  <c r="DM106" i="26"/>
  <c r="DM122" i="26"/>
  <c r="DM123" i="26"/>
  <c r="DM107" i="26"/>
  <c r="DM113" i="26"/>
  <c r="DM110" i="26"/>
  <c r="DM114" i="26"/>
  <c r="DM109" i="26"/>
  <c r="DJ102" i="26"/>
  <c r="O128" i="28" s="1"/>
  <c r="DM111" i="26"/>
  <c r="DJ104" i="26"/>
  <c r="O130" i="28" s="1"/>
  <c r="DM108" i="26"/>
  <c r="CR102" i="26"/>
  <c r="U97" i="28" s="1"/>
  <c r="CR103" i="26"/>
  <c r="U98" i="28" s="1"/>
  <c r="J165" i="20"/>
  <c r="DM124" i="26"/>
  <c r="DM125" i="26"/>
  <c r="M17" i="21"/>
  <c r="M13" i="21"/>
  <c r="M28" i="21"/>
  <c r="M16" i="21"/>
  <c r="H46" i="29"/>
  <c r="J46" i="29" s="1"/>
  <c r="H38" i="29"/>
  <c r="J38" i="29" s="1"/>
  <c r="H41" i="29"/>
  <c r="J41" i="29" s="1"/>
  <c r="H33" i="29"/>
  <c r="J33" i="29" s="1"/>
  <c r="M20" i="21"/>
  <c r="DS116" i="26"/>
  <c r="DS118" i="26"/>
  <c r="DS120" i="26"/>
  <c r="DS122" i="26"/>
  <c r="DS124" i="26"/>
  <c r="DS126" i="26"/>
  <c r="DS128" i="26"/>
  <c r="DS130" i="26"/>
  <c r="DS115" i="26"/>
  <c r="DS117" i="26"/>
  <c r="DS119" i="26"/>
  <c r="DS121" i="26"/>
  <c r="DS123" i="26"/>
  <c r="DS125" i="26"/>
  <c r="DS127" i="26"/>
  <c r="DS129" i="26"/>
  <c r="DS131" i="26"/>
  <c r="X90" i="26"/>
  <c r="J28" i="29"/>
  <c r="J23" i="29"/>
  <c r="J22" i="29"/>
  <c r="J168" i="20"/>
  <c r="M14" i="21"/>
  <c r="B4" i="21"/>
  <c r="C4" i="21" s="1"/>
  <c r="D4" i="21" s="1"/>
  <c r="D7" i="21"/>
  <c r="M33" i="21"/>
  <c r="M12" i="21"/>
  <c r="M25" i="21"/>
  <c r="J157" i="20"/>
  <c r="J149" i="20"/>
  <c r="J148" i="20"/>
  <c r="J163" i="20"/>
  <c r="J162" i="20"/>
  <c r="J156" i="20"/>
  <c r="J169" i="20"/>
  <c r="BB103" i="26"/>
  <c r="C67" i="28" s="1"/>
  <c r="BB102" i="26"/>
  <c r="C66" i="28" s="1"/>
  <c r="DS114" i="26"/>
  <c r="DS106" i="26"/>
  <c r="DS111" i="26"/>
  <c r="DS112" i="26"/>
  <c r="DS109" i="26"/>
  <c r="DS110" i="26"/>
  <c r="DS108" i="26"/>
  <c r="DS113" i="26"/>
  <c r="DS107" i="26"/>
  <c r="J26" i="29" l="1"/>
  <c r="J42" i="29"/>
  <c r="AL42" i="29" s="1"/>
  <c r="F27" i="30" s="1"/>
  <c r="FZ84" i="26"/>
  <c r="B26" i="34"/>
  <c r="H19" i="34"/>
  <c r="H13" i="34"/>
  <c r="H12" i="34"/>
  <c r="H16" i="34"/>
  <c r="I14" i="34"/>
  <c r="I17" i="34"/>
  <c r="H18" i="34"/>
  <c r="H15" i="34"/>
  <c r="H10" i="34"/>
  <c r="I18" i="34"/>
  <c r="I13" i="34"/>
  <c r="I12" i="34"/>
  <c r="I10" i="34"/>
  <c r="H9" i="34"/>
  <c r="H7" i="34"/>
  <c r="H8" i="34"/>
  <c r="I15" i="34"/>
  <c r="I8" i="34"/>
  <c r="I16" i="34"/>
  <c r="I9" i="34"/>
  <c r="H17" i="34"/>
  <c r="H14" i="34"/>
  <c r="H11" i="34"/>
  <c r="I19" i="34"/>
  <c r="GQ79" i="26"/>
  <c r="GR79" i="26" s="1"/>
  <c r="FZ88" i="26"/>
  <c r="FZ71" i="26"/>
  <c r="DN89" i="26"/>
  <c r="GA93" i="26"/>
  <c r="GB93" i="26" s="1"/>
  <c r="DQ75" i="26"/>
  <c r="CH85" i="26"/>
  <c r="GQ85" i="26"/>
  <c r="GR85" i="26" s="1"/>
  <c r="FJ81" i="26"/>
  <c r="FZ89" i="26"/>
  <c r="DN82" i="26"/>
  <c r="GP70" i="26"/>
  <c r="CY90" i="26"/>
  <c r="CZ90" i="26" s="1"/>
  <c r="GQ81" i="26"/>
  <c r="GR81" i="26" s="1"/>
  <c r="FJ71" i="26"/>
  <c r="GP86" i="26"/>
  <c r="ET75" i="26"/>
  <c r="GA86" i="26"/>
  <c r="GB86" i="26" s="1"/>
  <c r="GQ88" i="26"/>
  <c r="GR88" i="26" s="1"/>
  <c r="T21" i="4"/>
  <c r="T2" i="21" s="1"/>
  <c r="T42" i="4"/>
  <c r="FZ90" i="26"/>
  <c r="B36" i="34"/>
  <c r="CH83" i="26"/>
  <c r="FZ70" i="26"/>
  <c r="DA91" i="26"/>
  <c r="GQ83" i="26"/>
  <c r="GR83" i="26" s="1"/>
  <c r="CH73" i="26"/>
  <c r="GP82" i="26"/>
  <c r="CX91" i="26"/>
  <c r="FJ69" i="26"/>
  <c r="EU73" i="26"/>
  <c r="EV73" i="26" s="1"/>
  <c r="ET71" i="26"/>
  <c r="ED70" i="26"/>
  <c r="FZ73" i="26"/>
  <c r="GA77" i="26"/>
  <c r="GB77" i="26" s="1"/>
  <c r="CI92" i="26"/>
  <c r="CK92" i="26" s="1"/>
  <c r="CY76" i="26"/>
  <c r="DA76" i="26" s="1"/>
  <c r="FJ90" i="26"/>
  <c r="CX83" i="26"/>
  <c r="FK72" i="26"/>
  <c r="FL72" i="26" s="1"/>
  <c r="GQ93" i="26"/>
  <c r="GR93" i="26" s="1"/>
  <c r="GQ84" i="26"/>
  <c r="GR84" i="26" s="1"/>
  <c r="FZ80" i="26"/>
  <c r="DO73" i="26"/>
  <c r="DP73" i="26" s="1"/>
  <c r="CY72" i="26"/>
  <c r="DA72" i="26" s="1"/>
  <c r="CI72" i="26"/>
  <c r="CJ72" i="26" s="1"/>
  <c r="CK76" i="26"/>
  <c r="BQ93" i="26"/>
  <c r="BS93" i="26" s="1"/>
  <c r="BQ74" i="26"/>
  <c r="BS74" i="26" s="1"/>
  <c r="BQ70" i="26"/>
  <c r="BR70" i="26" s="1"/>
  <c r="HW37" i="26"/>
  <c r="HX37" i="26" s="1"/>
  <c r="BQ88" i="26"/>
  <c r="BS88" i="26" s="1"/>
  <c r="BQ91" i="26"/>
  <c r="BR91" i="26" s="1"/>
  <c r="BQ87" i="26"/>
  <c r="BS87" i="26" s="1"/>
  <c r="GP78" i="26"/>
  <c r="ET83" i="26"/>
  <c r="CX75" i="26"/>
  <c r="FZ91" i="26"/>
  <c r="FK86" i="26"/>
  <c r="FL86" i="26" s="1"/>
  <c r="BQ76" i="26"/>
  <c r="BR76" i="26" s="1"/>
  <c r="BQ90" i="26"/>
  <c r="BR90" i="26" s="1"/>
  <c r="GQ87" i="26"/>
  <c r="GR87" i="26" s="1"/>
  <c r="GQ73" i="26"/>
  <c r="GR73" i="26" s="1"/>
  <c r="ET89" i="26"/>
  <c r="EG70" i="26"/>
  <c r="GP80" i="26"/>
  <c r="GA81" i="26"/>
  <c r="GB81" i="26" s="1"/>
  <c r="GQ69" i="26"/>
  <c r="GR69" i="26" s="1"/>
  <c r="GP72" i="26"/>
  <c r="CY92" i="26"/>
  <c r="CZ92" i="26" s="1"/>
  <c r="EG90" i="26"/>
  <c r="DQ91" i="26"/>
  <c r="GQ90" i="26"/>
  <c r="GR90" i="26" s="1"/>
  <c r="DO84" i="26"/>
  <c r="DQ84" i="26" s="1"/>
  <c r="GA85" i="26"/>
  <c r="GB85" i="26" s="1"/>
  <c r="GA68" i="26"/>
  <c r="GB68" i="26" s="1"/>
  <c r="ET92" i="26"/>
  <c r="FZ87" i="26"/>
  <c r="FZ78" i="26"/>
  <c r="FK79" i="26"/>
  <c r="FL79" i="26" s="1"/>
  <c r="EU70" i="26"/>
  <c r="EV70" i="26" s="1"/>
  <c r="DA83" i="26"/>
  <c r="FJ78" i="26"/>
  <c r="GQ76" i="26"/>
  <c r="GR76" i="26" s="1"/>
  <c r="GA75" i="26"/>
  <c r="GB75" i="26" s="1"/>
  <c r="GQ77" i="26"/>
  <c r="GR77" i="26" s="1"/>
  <c r="EG82" i="26"/>
  <c r="EW85" i="26"/>
  <c r="FJ83" i="26"/>
  <c r="GP91" i="26"/>
  <c r="FK70" i="26"/>
  <c r="FL70" i="26" s="1"/>
  <c r="FZ72" i="26"/>
  <c r="EU84" i="26"/>
  <c r="EW84" i="26" s="1"/>
  <c r="ET90" i="26"/>
  <c r="DO83" i="26"/>
  <c r="DQ83" i="26" s="1"/>
  <c r="DN91" i="26"/>
  <c r="GQ75" i="26"/>
  <c r="GR75" i="26" s="1"/>
  <c r="EE89" i="26"/>
  <c r="EG89" i="26" s="1"/>
  <c r="GP74" i="26"/>
  <c r="FZ83" i="26"/>
  <c r="EE71" i="26"/>
  <c r="EG71" i="26" s="1"/>
  <c r="DP75" i="26"/>
  <c r="FJ91" i="26"/>
  <c r="ET91" i="26"/>
  <c r="FJ82" i="26"/>
  <c r="EU76" i="26"/>
  <c r="EW76" i="26" s="1"/>
  <c r="EW83" i="26"/>
  <c r="EW75" i="26"/>
  <c r="DQ82" i="26"/>
  <c r="DQ89" i="26"/>
  <c r="EG72" i="26"/>
  <c r="FK84" i="26"/>
  <c r="FL84" i="26" s="1"/>
  <c r="FZ76" i="26"/>
  <c r="GA82" i="26"/>
  <c r="GB82" i="26" s="1"/>
  <c r="FK76" i="26"/>
  <c r="FL76" i="26" s="1"/>
  <c r="DN75" i="26"/>
  <c r="EW91" i="26"/>
  <c r="CK90" i="26"/>
  <c r="FK93" i="26"/>
  <c r="FL93" i="26" s="1"/>
  <c r="GA92" i="26"/>
  <c r="GB92" i="26" s="1"/>
  <c r="FZ74" i="26"/>
  <c r="DQ70" i="26"/>
  <c r="HV40" i="26"/>
  <c r="FJ89" i="26"/>
  <c r="ET72" i="26"/>
  <c r="EF82" i="26"/>
  <c r="FJ92" i="26"/>
  <c r="CH71" i="26"/>
  <c r="DO72" i="26"/>
  <c r="DQ72" i="26" s="1"/>
  <c r="ET85" i="26"/>
  <c r="EW90" i="26"/>
  <c r="CK89" i="26"/>
  <c r="CK73" i="26"/>
  <c r="HV47" i="26"/>
  <c r="FK88" i="26"/>
  <c r="FL88" i="26" s="1"/>
  <c r="FJ73" i="26"/>
  <c r="FK80" i="26"/>
  <c r="FL80" i="26" s="1"/>
  <c r="ED90" i="26"/>
  <c r="CX71" i="26"/>
  <c r="FK87" i="26"/>
  <c r="FL87" i="26" s="1"/>
  <c r="HY47" i="26"/>
  <c r="EV72" i="26"/>
  <c r="EV83" i="26"/>
  <c r="EE76" i="26"/>
  <c r="EF76" i="26" s="1"/>
  <c r="ED82" i="26"/>
  <c r="HW53" i="26"/>
  <c r="HY53" i="26" s="1"/>
  <c r="FJ74" i="26"/>
  <c r="ED84" i="26"/>
  <c r="CX82" i="26"/>
  <c r="EU74" i="26"/>
  <c r="ET74" i="26"/>
  <c r="ET82" i="26"/>
  <c r="EU82" i="26"/>
  <c r="ET78" i="26"/>
  <c r="EU78" i="26"/>
  <c r="EU88" i="26"/>
  <c r="ET88" i="26"/>
  <c r="ET81" i="26"/>
  <c r="EU81" i="26"/>
  <c r="ET79" i="26"/>
  <c r="EU79" i="26"/>
  <c r="ET80" i="26"/>
  <c r="EU80" i="26"/>
  <c r="ET77" i="26"/>
  <c r="EU77" i="26"/>
  <c r="EG85" i="26"/>
  <c r="EG73" i="26"/>
  <c r="EU93" i="26"/>
  <c r="ET93" i="26"/>
  <c r="ET87" i="26"/>
  <c r="EU87" i="26"/>
  <c r="ET69" i="26"/>
  <c r="EU69" i="26"/>
  <c r="EU86" i="26"/>
  <c r="ET86" i="26"/>
  <c r="EE77" i="26"/>
  <c r="ED77" i="26"/>
  <c r="ED91" i="26"/>
  <c r="EE91" i="26"/>
  <c r="ED69" i="26"/>
  <c r="EE69" i="26"/>
  <c r="EE83" i="26"/>
  <c r="ED83" i="26"/>
  <c r="EE92" i="26"/>
  <c r="EG92" i="26" s="1"/>
  <c r="ED73" i="26"/>
  <c r="EE75" i="26"/>
  <c r="EF75" i="26" s="1"/>
  <c r="ED85" i="26"/>
  <c r="DA75" i="26"/>
  <c r="DA82" i="26"/>
  <c r="EF85" i="26"/>
  <c r="CY89" i="26"/>
  <c r="CZ89" i="26" s="1"/>
  <c r="EE81" i="26"/>
  <c r="ED81" i="26"/>
  <c r="DO71" i="26"/>
  <c r="DP71" i="26" s="1"/>
  <c r="CY73" i="26"/>
  <c r="CZ73" i="26" s="1"/>
  <c r="ED72" i="26"/>
  <c r="DO92" i="26"/>
  <c r="DP92" i="26" s="1"/>
  <c r="ED78" i="26"/>
  <c r="EE78" i="26"/>
  <c r="EE86" i="26"/>
  <c r="ED86" i="26"/>
  <c r="CK82" i="26"/>
  <c r="CK84" i="26"/>
  <c r="DA85" i="26"/>
  <c r="EE93" i="26"/>
  <c r="ED93" i="26"/>
  <c r="EE87" i="26"/>
  <c r="ED87" i="26"/>
  <c r="EE79" i="26"/>
  <c r="ED79" i="26"/>
  <c r="ED88" i="26"/>
  <c r="EE88" i="26"/>
  <c r="CK75" i="26"/>
  <c r="CK85" i="26"/>
  <c r="CK83" i="26"/>
  <c r="CJ82" i="26"/>
  <c r="CH75" i="26"/>
  <c r="ED74" i="26"/>
  <c r="EE74" i="26"/>
  <c r="ED80" i="26"/>
  <c r="EE80" i="26"/>
  <c r="DA84" i="26"/>
  <c r="DO81" i="26"/>
  <c r="DN81" i="26"/>
  <c r="DN79" i="26"/>
  <c r="DO79" i="26"/>
  <c r="DN69" i="26"/>
  <c r="DO69" i="26"/>
  <c r="DO93" i="26"/>
  <c r="DN93" i="26"/>
  <c r="DN87" i="26"/>
  <c r="DO87" i="26"/>
  <c r="DN76" i="26"/>
  <c r="DO76" i="26"/>
  <c r="DO74" i="26"/>
  <c r="DN74" i="26"/>
  <c r="DO90" i="26"/>
  <c r="DN90" i="26"/>
  <c r="DO88" i="26"/>
  <c r="DN88" i="26"/>
  <c r="DN86" i="26"/>
  <c r="DO86" i="26"/>
  <c r="DN70" i="26"/>
  <c r="DN80" i="26"/>
  <c r="DO80" i="26"/>
  <c r="CX85" i="26"/>
  <c r="DN77" i="26"/>
  <c r="DO77" i="26"/>
  <c r="DO78" i="26"/>
  <c r="DN78" i="26"/>
  <c r="CY93" i="26"/>
  <c r="CX93" i="26"/>
  <c r="CX69" i="26"/>
  <c r="CY69" i="26"/>
  <c r="CX81" i="26"/>
  <c r="CY81" i="26"/>
  <c r="CY86" i="26"/>
  <c r="CX86" i="26"/>
  <c r="CH90" i="26"/>
  <c r="HW45" i="26"/>
  <c r="HX45" i="26" s="1"/>
  <c r="CH89" i="26"/>
  <c r="CY77" i="26"/>
  <c r="CX77" i="26"/>
  <c r="CY78" i="26"/>
  <c r="CX78" i="26"/>
  <c r="CY74" i="26"/>
  <c r="CX74" i="26"/>
  <c r="CX87" i="26"/>
  <c r="CY87" i="26"/>
  <c r="HV50" i="26"/>
  <c r="HV43" i="26"/>
  <c r="CY80" i="26"/>
  <c r="CX80" i="26"/>
  <c r="CX88" i="26"/>
  <c r="CY88" i="26"/>
  <c r="CY70" i="26"/>
  <c r="CZ70" i="26" s="1"/>
  <c r="CH82" i="26"/>
  <c r="CX79" i="26"/>
  <c r="CY79" i="26"/>
  <c r="CI88" i="26"/>
  <c r="CH88" i="26"/>
  <c r="CI91" i="26"/>
  <c r="CK91" i="26" s="1"/>
  <c r="CI77" i="26"/>
  <c r="CH77" i="26"/>
  <c r="CI81" i="26"/>
  <c r="CH81" i="26"/>
  <c r="CH70" i="26"/>
  <c r="CI70" i="26"/>
  <c r="CH74" i="26"/>
  <c r="CI74" i="26"/>
  <c r="CH78" i="26"/>
  <c r="CI78" i="26"/>
  <c r="CH84" i="26"/>
  <c r="CH87" i="26"/>
  <c r="CI87" i="26"/>
  <c r="CH69" i="26"/>
  <c r="CI69" i="26"/>
  <c r="CI80" i="26"/>
  <c r="CH80" i="26"/>
  <c r="CH79" i="26"/>
  <c r="CI79" i="26"/>
  <c r="CI86" i="26"/>
  <c r="CH86" i="26"/>
  <c r="CH93" i="26"/>
  <c r="CI93" i="26"/>
  <c r="HV61" i="26"/>
  <c r="HV55" i="26"/>
  <c r="HW54" i="26"/>
  <c r="HX54" i="26" s="1"/>
  <c r="HX46" i="26"/>
  <c r="HV42" i="26"/>
  <c r="HV60" i="26"/>
  <c r="HX41" i="26"/>
  <c r="HW48" i="26"/>
  <c r="HX48" i="26" s="1"/>
  <c r="HX49" i="26"/>
  <c r="HV41" i="26"/>
  <c r="HW44" i="26"/>
  <c r="HX44" i="26" s="1"/>
  <c r="HW57" i="26"/>
  <c r="HY57" i="26" s="1"/>
  <c r="HV49" i="26"/>
  <c r="HY55" i="26"/>
  <c r="HW38" i="26"/>
  <c r="HY38" i="26" s="1"/>
  <c r="HX60" i="26"/>
  <c r="HY43" i="26"/>
  <c r="HV58" i="26"/>
  <c r="HW59" i="26"/>
  <c r="HY59" i="26" s="1"/>
  <c r="HW56" i="26"/>
  <c r="HY56" i="26" s="1"/>
  <c r="HW62" i="26"/>
  <c r="HX62" i="26" s="1"/>
  <c r="HX61" i="26"/>
  <c r="HY39" i="26"/>
  <c r="HV39" i="26"/>
  <c r="HY52" i="26"/>
  <c r="HV52" i="26"/>
  <c r="HW51" i="26"/>
  <c r="HX51" i="26" s="1"/>
  <c r="T10" i="26"/>
  <c r="GP68" i="26"/>
  <c r="T8" i="26"/>
  <c r="H2" i="29"/>
  <c r="HF68" i="26"/>
  <c r="H34" i="34"/>
  <c r="H31" i="34"/>
  <c r="H35" i="34"/>
  <c r="H36" i="34"/>
  <c r="H32" i="34"/>
  <c r="I12" i="33"/>
  <c r="I11" i="33" s="1"/>
  <c r="I7" i="34"/>
  <c r="I11" i="34"/>
  <c r="H33" i="34"/>
  <c r="T14" i="26"/>
  <c r="T43" i="4"/>
  <c r="T21" i="26"/>
  <c r="T6" i="26"/>
  <c r="E100" i="15"/>
  <c r="E10" i="15"/>
  <c r="E32" i="15"/>
  <c r="F8" i="15"/>
  <c r="E70" i="15"/>
  <c r="E58" i="15"/>
  <c r="E24" i="15"/>
  <c r="F39" i="15"/>
  <c r="E13" i="15"/>
  <c r="K84" i="15"/>
  <c r="K81" i="15"/>
  <c r="K93" i="15"/>
  <c r="K30" i="15"/>
  <c r="K76" i="15"/>
  <c r="K44" i="15"/>
  <c r="K51" i="15"/>
  <c r="K62" i="15"/>
  <c r="K21" i="15"/>
  <c r="K78" i="15"/>
  <c r="K43" i="15"/>
  <c r="K37" i="15"/>
  <c r="K86" i="15"/>
  <c r="K83" i="15"/>
  <c r="K12" i="15"/>
  <c r="K20" i="15"/>
  <c r="K109" i="15"/>
  <c r="K23" i="15"/>
  <c r="K18" i="15"/>
  <c r="K88" i="15"/>
  <c r="K27" i="15"/>
  <c r="K39" i="15"/>
  <c r="K49" i="15"/>
  <c r="K15" i="15"/>
  <c r="K104" i="15"/>
  <c r="K16" i="15"/>
  <c r="K24" i="15"/>
  <c r="K31" i="15"/>
  <c r="K80" i="15"/>
  <c r="K63" i="15"/>
  <c r="K40" i="15"/>
  <c r="K38" i="15"/>
  <c r="K14" i="15"/>
  <c r="K29" i="15"/>
  <c r="I88" i="15"/>
  <c r="K59" i="15"/>
  <c r="K90" i="15"/>
  <c r="K108" i="15"/>
  <c r="K66" i="15"/>
  <c r="K60" i="15"/>
  <c r="K91" i="15"/>
  <c r="K50" i="15"/>
  <c r="K32" i="15"/>
  <c r="K25" i="15"/>
  <c r="K47" i="15"/>
  <c r="K57" i="15"/>
  <c r="K45" i="15"/>
  <c r="K17" i="15"/>
  <c r="K56" i="15"/>
  <c r="K28" i="15"/>
  <c r="K34" i="15"/>
  <c r="K97" i="15"/>
  <c r="K55" i="15"/>
  <c r="K35" i="15"/>
  <c r="K33" i="15"/>
  <c r="K96" i="15"/>
  <c r="K87" i="15"/>
  <c r="K95" i="15"/>
  <c r="K64" i="15"/>
  <c r="K26" i="15"/>
  <c r="K9" i="15"/>
  <c r="K41" i="15"/>
  <c r="F33" i="34"/>
  <c r="K53" i="15"/>
  <c r="K100" i="15"/>
  <c r="K98" i="15"/>
  <c r="K106" i="15"/>
  <c r="K77" i="15"/>
  <c r="K70" i="15"/>
  <c r="K46" i="15"/>
  <c r="K42" i="15"/>
  <c r="K92" i="15"/>
  <c r="K107" i="15"/>
  <c r="K58" i="15"/>
  <c r="K102" i="15"/>
  <c r="K99" i="15"/>
  <c r="K13" i="15"/>
  <c r="K10" i="15"/>
  <c r="K68" i="15"/>
  <c r="K69" i="15"/>
  <c r="K22" i="15"/>
  <c r="K73" i="15"/>
  <c r="K74" i="15"/>
  <c r="K61" i="15"/>
  <c r="K52" i="15"/>
  <c r="K85" i="15"/>
  <c r="K54" i="15"/>
  <c r="K82" i="15"/>
  <c r="K11" i="15"/>
  <c r="K8" i="15"/>
  <c r="K89" i="15"/>
  <c r="K105" i="15"/>
  <c r="K65" i="15"/>
  <c r="K103" i="15"/>
  <c r="K79" i="15"/>
  <c r="K71" i="15"/>
  <c r="K72" i="15"/>
  <c r="K36" i="15"/>
  <c r="D6" i="33"/>
  <c r="I16" i="33"/>
  <c r="I15" i="33" s="1"/>
  <c r="D4" i="33"/>
  <c r="D7" i="33"/>
  <c r="B12" i="29"/>
  <c r="H3" i="29"/>
  <c r="CZ84" i="26"/>
  <c r="K110" i="15"/>
  <c r="HW68" i="26"/>
  <c r="HX68" i="26" s="1"/>
  <c r="CZ71" i="26"/>
  <c r="DA71" i="26"/>
  <c r="CH68" i="26"/>
  <c r="CI68" i="26"/>
  <c r="CK71" i="26"/>
  <c r="CJ71" i="26"/>
  <c r="DN68" i="26"/>
  <c r="DO68" i="26"/>
  <c r="EE68" i="26"/>
  <c r="ED68" i="26"/>
  <c r="EF84" i="26"/>
  <c r="EG84" i="26"/>
  <c r="CX68" i="26"/>
  <c r="CY68" i="26"/>
  <c r="EW89" i="26"/>
  <c r="EV89" i="26"/>
  <c r="EW92" i="26"/>
  <c r="EV92" i="26"/>
  <c r="EV71" i="26"/>
  <c r="EW71" i="26"/>
  <c r="EU68" i="26"/>
  <c r="ET68" i="26"/>
  <c r="FJ68" i="26"/>
  <c r="FK68" i="26"/>
  <c r="FL68" i="26" s="1"/>
  <c r="G104" i="15"/>
  <c r="G106" i="15"/>
  <c r="G11" i="15"/>
  <c r="I96" i="15"/>
  <c r="I87" i="15"/>
  <c r="I45" i="15"/>
  <c r="I17" i="15"/>
  <c r="I56" i="15"/>
  <c r="I28" i="15"/>
  <c r="I71" i="15"/>
  <c r="I72" i="15"/>
  <c r="I36" i="15"/>
  <c r="G105" i="15"/>
  <c r="F26" i="34"/>
  <c r="G13" i="15"/>
  <c r="G9" i="15"/>
  <c r="G108" i="15"/>
  <c r="I107" i="15"/>
  <c r="I110" i="15"/>
  <c r="I58" i="15"/>
  <c r="I76" i="15"/>
  <c r="I44" i="15"/>
  <c r="I51" i="15"/>
  <c r="I66" i="15"/>
  <c r="I60" i="15"/>
  <c r="I91" i="15"/>
  <c r="I50" i="15"/>
  <c r="G18" i="15"/>
  <c r="G102" i="15"/>
  <c r="G12" i="15"/>
  <c r="I25" i="15"/>
  <c r="I47" i="15"/>
  <c r="I57" i="15"/>
  <c r="I65" i="15"/>
  <c r="I103" i="15"/>
  <c r="I79" i="15"/>
  <c r="I15" i="15"/>
  <c r="I104" i="15"/>
  <c r="I16" i="15"/>
  <c r="I24" i="15"/>
  <c r="I31" i="15"/>
  <c r="I80" i="15"/>
  <c r="I63" i="15"/>
  <c r="I40" i="15"/>
  <c r="I38" i="15"/>
  <c r="I84" i="15"/>
  <c r="I81" i="15"/>
  <c r="I93" i="15"/>
  <c r="I30" i="15"/>
  <c r="I59" i="15"/>
  <c r="I90" i="15"/>
  <c r="I108" i="15"/>
  <c r="I98" i="15"/>
  <c r="I85" i="15"/>
  <c r="I54" i="15"/>
  <c r="I106" i="15"/>
  <c r="I82" i="15"/>
  <c r="I77" i="15"/>
  <c r="I11" i="15"/>
  <c r="I70" i="15"/>
  <c r="I46" i="15"/>
  <c r="I42" i="15"/>
  <c r="I92" i="15"/>
  <c r="G107" i="15"/>
  <c r="G110" i="15"/>
  <c r="G15" i="15"/>
  <c r="G109" i="15"/>
  <c r="G8" i="15"/>
  <c r="I89" i="15"/>
  <c r="I105" i="15"/>
  <c r="H25" i="34"/>
  <c r="I27" i="15"/>
  <c r="I39" i="15"/>
  <c r="I49" i="15"/>
  <c r="H42" i="34"/>
  <c r="H44" i="34"/>
  <c r="H27" i="34"/>
  <c r="I41" i="15"/>
  <c r="H23" i="34"/>
  <c r="I14" i="15"/>
  <c r="I29" i="15"/>
  <c r="H26" i="34"/>
  <c r="I13" i="15"/>
  <c r="I10" i="15"/>
  <c r="I68" i="15"/>
  <c r="I69" i="15"/>
  <c r="I22" i="15"/>
  <c r="H29" i="34"/>
  <c r="I73" i="15"/>
  <c r="I74" i="15"/>
  <c r="G14" i="15"/>
  <c r="G10" i="15"/>
  <c r="G17" i="15"/>
  <c r="I23" i="15"/>
  <c r="I18" i="15"/>
  <c r="I95" i="15"/>
  <c r="I64" i="15"/>
  <c r="I26" i="15"/>
  <c r="I32" i="15"/>
  <c r="I9" i="15"/>
  <c r="I34" i="15"/>
  <c r="I97" i="15"/>
  <c r="H38" i="34"/>
  <c r="I55" i="15"/>
  <c r="I35" i="15"/>
  <c r="H40" i="34"/>
  <c r="I33" i="15"/>
  <c r="G103" i="15"/>
  <c r="G16" i="15"/>
  <c r="I61" i="15"/>
  <c r="I53" i="15"/>
  <c r="I52" i="15"/>
  <c r="I100" i="15"/>
  <c r="I102" i="15"/>
  <c r="I99" i="15"/>
  <c r="I62" i="15"/>
  <c r="I21" i="15"/>
  <c r="I78" i="15"/>
  <c r="I43" i="15"/>
  <c r="I37" i="15"/>
  <c r="I86" i="15"/>
  <c r="I83" i="15"/>
  <c r="I12" i="15"/>
  <c r="I20" i="15"/>
  <c r="I109" i="15"/>
  <c r="X134" i="28"/>
  <c r="X133" i="28"/>
  <c r="X139" i="28"/>
  <c r="R148" i="28"/>
  <c r="R145" i="28"/>
  <c r="R141" i="28"/>
  <c r="F139" i="28"/>
  <c r="R143" i="28"/>
  <c r="L151" i="28"/>
  <c r="L145" i="28"/>
  <c r="L143" i="28"/>
  <c r="R133" i="28"/>
  <c r="R132" i="28"/>
  <c r="R146" i="28"/>
  <c r="F132" i="28"/>
  <c r="F149" i="28"/>
  <c r="L146" i="28"/>
  <c r="L137" i="28"/>
  <c r="X138" i="28"/>
  <c r="X140" i="28"/>
  <c r="X132" i="28"/>
  <c r="R138" i="28"/>
  <c r="R153" i="28"/>
  <c r="F151" i="28"/>
  <c r="F135" i="28"/>
  <c r="L148" i="28"/>
  <c r="L147" i="28"/>
  <c r="L133" i="28"/>
  <c r="X131" i="28"/>
  <c r="X136" i="28"/>
  <c r="R135" i="28"/>
  <c r="R137" i="28"/>
  <c r="R154" i="28"/>
  <c r="R151" i="28"/>
  <c r="F145" i="28"/>
  <c r="F155" i="28"/>
  <c r="F152" i="28"/>
  <c r="F150" i="28"/>
  <c r="L149" i="28"/>
  <c r="L136" i="28"/>
  <c r="L156" i="28"/>
  <c r="X137" i="28"/>
  <c r="R139" i="28"/>
  <c r="F146" i="28"/>
  <c r="F141" i="28"/>
  <c r="F156" i="28"/>
  <c r="F133" i="28"/>
  <c r="L132" i="28"/>
  <c r="L134" i="28"/>
  <c r="L140" i="28"/>
  <c r="L154" i="28"/>
  <c r="L153" i="28"/>
  <c r="R134" i="28"/>
  <c r="R155" i="28"/>
  <c r="F138" i="28"/>
  <c r="F142" i="28"/>
  <c r="F140" i="28"/>
  <c r="R142" i="28"/>
  <c r="F154" i="28"/>
  <c r="L135" i="28"/>
  <c r="L141" i="28"/>
  <c r="L152" i="28"/>
  <c r="L155" i="28"/>
  <c r="R149" i="28"/>
  <c r="R131" i="28"/>
  <c r="R156" i="28"/>
  <c r="F143" i="28"/>
  <c r="F131" i="28"/>
  <c r="F137" i="28"/>
  <c r="F147" i="28"/>
  <c r="F148" i="28"/>
  <c r="L138" i="28"/>
  <c r="L131" i="28"/>
  <c r="X135" i="28"/>
  <c r="R150" i="28"/>
  <c r="R136" i="28"/>
  <c r="R147" i="28"/>
  <c r="R140" i="28"/>
  <c r="F144" i="28"/>
  <c r="F134" i="28"/>
  <c r="R144" i="28"/>
  <c r="R152" i="28"/>
  <c r="F153" i="28"/>
  <c r="L150" i="28"/>
  <c r="L144" i="28"/>
  <c r="L142" i="28"/>
  <c r="F92" i="26"/>
  <c r="G72" i="26"/>
  <c r="I72" i="26" s="1"/>
  <c r="G97" i="15"/>
  <c r="G93" i="15"/>
  <c r="G95" i="15"/>
  <c r="G99" i="15"/>
  <c r="G96" i="15"/>
  <c r="G100" i="15"/>
  <c r="G98" i="15"/>
  <c r="G92" i="15"/>
  <c r="G87" i="15"/>
  <c r="G79" i="15"/>
  <c r="G80" i="15"/>
  <c r="G77" i="15"/>
  <c r="H45" i="34"/>
  <c r="G83" i="15"/>
  <c r="F45" i="34"/>
  <c r="G85" i="15"/>
  <c r="F42" i="34"/>
  <c r="G89" i="15"/>
  <c r="F46" i="34"/>
  <c r="H43" i="34"/>
  <c r="G86" i="15"/>
  <c r="H46" i="34"/>
  <c r="G88" i="15"/>
  <c r="G76" i="15"/>
  <c r="F43" i="34"/>
  <c r="G91" i="15"/>
  <c r="G90" i="15"/>
  <c r="G84" i="15"/>
  <c r="G81" i="15"/>
  <c r="G82" i="15"/>
  <c r="F44" i="34"/>
  <c r="H39" i="34"/>
  <c r="G71" i="15"/>
  <c r="G72" i="15"/>
  <c r="F39" i="34"/>
  <c r="G73" i="15"/>
  <c r="F40" i="34"/>
  <c r="G70" i="15"/>
  <c r="G64" i="15"/>
  <c r="F36" i="34"/>
  <c r="G60" i="15"/>
  <c r="G69" i="15"/>
  <c r="G61" i="15"/>
  <c r="G68" i="15"/>
  <c r="F38" i="34"/>
  <c r="G62" i="15"/>
  <c r="F34" i="34"/>
  <c r="G65" i="15"/>
  <c r="G66" i="15"/>
  <c r="G63" i="15"/>
  <c r="F35" i="34"/>
  <c r="G56" i="15"/>
  <c r="H28" i="34"/>
  <c r="G47" i="15"/>
  <c r="F28" i="34"/>
  <c r="G58" i="15"/>
  <c r="G59" i="15"/>
  <c r="G49" i="15"/>
  <c r="F31" i="34"/>
  <c r="G46" i="15"/>
  <c r="F27" i="34"/>
  <c r="G55" i="15"/>
  <c r="G52" i="15"/>
  <c r="F32" i="34"/>
  <c r="G44" i="15"/>
  <c r="G45" i="15"/>
  <c r="G57" i="15"/>
  <c r="G53" i="15"/>
  <c r="G54" i="15"/>
  <c r="G51" i="15"/>
  <c r="G50" i="15"/>
  <c r="G38" i="15"/>
  <c r="G41" i="15"/>
  <c r="F22" i="34"/>
  <c r="G33" i="15"/>
  <c r="G27" i="15"/>
  <c r="G30" i="15"/>
  <c r="F25" i="34"/>
  <c r="G32" i="15"/>
  <c r="G22" i="15"/>
  <c r="G35" i="15"/>
  <c r="F29" i="34"/>
  <c r="G29" i="15"/>
  <c r="F24" i="34"/>
  <c r="G28" i="15"/>
  <c r="G37" i="15"/>
  <c r="G36" i="15"/>
  <c r="G21" i="15"/>
  <c r="G25" i="15"/>
  <c r="G42" i="15"/>
  <c r="F23" i="34"/>
  <c r="H22" i="34"/>
  <c r="G34" i="15"/>
  <c r="G24" i="15"/>
  <c r="G39" i="15"/>
  <c r="G23" i="15"/>
  <c r="G43" i="15"/>
  <c r="G40" i="15"/>
  <c r="G31" i="15"/>
  <c r="H24" i="34"/>
  <c r="G20" i="15"/>
  <c r="G26" i="15"/>
  <c r="G78" i="15"/>
  <c r="G74" i="15"/>
  <c r="I8" i="15"/>
  <c r="F8" i="34"/>
  <c r="F10" i="34"/>
  <c r="F18" i="34"/>
  <c r="F14" i="34"/>
  <c r="F19" i="34"/>
  <c r="F13" i="34"/>
  <c r="F16" i="34"/>
  <c r="F15" i="34"/>
  <c r="F9" i="34"/>
  <c r="F7" i="34"/>
  <c r="F12" i="34"/>
  <c r="F17" i="34"/>
  <c r="F11" i="34"/>
  <c r="F68" i="26"/>
  <c r="G80" i="26"/>
  <c r="I80" i="26" s="1"/>
  <c r="H92" i="26"/>
  <c r="F73" i="26"/>
  <c r="F85" i="26"/>
  <c r="H85" i="26"/>
  <c r="G75" i="26"/>
  <c r="I75" i="26" s="1"/>
  <c r="F69" i="26"/>
  <c r="F84" i="26"/>
  <c r="F77" i="26"/>
  <c r="G70" i="26"/>
  <c r="I70" i="26" s="1"/>
  <c r="G71" i="26"/>
  <c r="I71" i="26" s="1"/>
  <c r="G82" i="26"/>
  <c r="I82" i="26" s="1"/>
  <c r="G74" i="26"/>
  <c r="I74" i="26" s="1"/>
  <c r="G91" i="26"/>
  <c r="H91" i="26" s="1"/>
  <c r="H93" i="26"/>
  <c r="F93" i="26"/>
  <c r="G79" i="26"/>
  <c r="H79" i="26" s="1"/>
  <c r="F78" i="26"/>
  <c r="G89" i="26"/>
  <c r="H89" i="26" s="1"/>
  <c r="G76" i="26"/>
  <c r="I76" i="26" s="1"/>
  <c r="EV62" i="26"/>
  <c r="F90" i="26"/>
  <c r="G81" i="26"/>
  <c r="I81" i="26" s="1"/>
  <c r="G88" i="26"/>
  <c r="I88" i="26" s="1"/>
  <c r="F87" i="26"/>
  <c r="F86" i="26"/>
  <c r="EW50" i="26"/>
  <c r="EW59" i="26"/>
  <c r="EV53" i="26"/>
  <c r="EV61" i="26"/>
  <c r="EV45" i="26"/>
  <c r="CI46" i="26"/>
  <c r="CH46" i="26"/>
  <c r="ED49" i="26"/>
  <c r="EE49" i="26"/>
  <c r="ED48" i="26"/>
  <c r="EE48" i="26"/>
  <c r="DN43" i="26"/>
  <c r="DO43" i="26"/>
  <c r="GA46" i="26"/>
  <c r="FZ46" i="26"/>
  <c r="HF61" i="26"/>
  <c r="HG61" i="26"/>
  <c r="BB60" i="26"/>
  <c r="BC60" i="26"/>
  <c r="BC86" i="26"/>
  <c r="BB86" i="26"/>
  <c r="AL69" i="26"/>
  <c r="AM69" i="26"/>
  <c r="GP61" i="26"/>
  <c r="GQ61" i="26"/>
  <c r="AL50" i="26"/>
  <c r="AM50" i="26"/>
  <c r="CI49" i="26"/>
  <c r="CH49" i="26"/>
  <c r="BR50" i="26"/>
  <c r="BS50" i="26"/>
  <c r="ED56" i="26"/>
  <c r="EE56" i="26"/>
  <c r="DN39" i="26"/>
  <c r="DO39" i="26"/>
  <c r="DN58" i="26"/>
  <c r="DO58" i="26"/>
  <c r="HX50" i="26"/>
  <c r="HY50" i="26"/>
  <c r="FJ58" i="26"/>
  <c r="FK58" i="26"/>
  <c r="HG51" i="26"/>
  <c r="HF51" i="26"/>
  <c r="CX52" i="26"/>
  <c r="CY52" i="26"/>
  <c r="BC42" i="26"/>
  <c r="BB42" i="26"/>
  <c r="BC84" i="26"/>
  <c r="BB84" i="26"/>
  <c r="AM70" i="26"/>
  <c r="AL70" i="26"/>
  <c r="GQ59" i="26"/>
  <c r="GP59" i="26"/>
  <c r="AM60" i="26"/>
  <c r="AL60" i="26"/>
  <c r="CH38" i="26"/>
  <c r="CI38" i="26"/>
  <c r="BS49" i="26"/>
  <c r="BR49" i="26"/>
  <c r="EE42" i="26"/>
  <c r="ED42" i="26"/>
  <c r="BR89" i="26"/>
  <c r="BS89" i="26"/>
  <c r="GA59" i="26"/>
  <c r="FZ59" i="26"/>
  <c r="FZ50" i="26"/>
  <c r="GA50" i="26"/>
  <c r="HF53" i="26"/>
  <c r="HG53" i="26"/>
  <c r="CY38" i="26"/>
  <c r="CX38" i="26"/>
  <c r="BB61" i="26"/>
  <c r="BC61" i="26"/>
  <c r="BB76" i="26"/>
  <c r="BC76" i="26"/>
  <c r="AM86" i="26"/>
  <c r="AL86" i="26"/>
  <c r="GQ53" i="26"/>
  <c r="GP53" i="26"/>
  <c r="GP38" i="26"/>
  <c r="GQ38" i="26"/>
  <c r="GP40" i="26"/>
  <c r="GQ40" i="26"/>
  <c r="AM45" i="26"/>
  <c r="AL45" i="26"/>
  <c r="AM43" i="26"/>
  <c r="AL43" i="26"/>
  <c r="AL58" i="26"/>
  <c r="AM58" i="26"/>
  <c r="CI44" i="26"/>
  <c r="CH44" i="26"/>
  <c r="CI41" i="26"/>
  <c r="CH41" i="26"/>
  <c r="CH39" i="26"/>
  <c r="CI39" i="26"/>
  <c r="BS55" i="26"/>
  <c r="BR55" i="26"/>
  <c r="BS37" i="26"/>
  <c r="BR37" i="26"/>
  <c r="BS51" i="26"/>
  <c r="BR51" i="26"/>
  <c r="EE55" i="26"/>
  <c r="ED55" i="26"/>
  <c r="ED61" i="26"/>
  <c r="EE61" i="26"/>
  <c r="EE41" i="26"/>
  <c r="ED41" i="26"/>
  <c r="BR72" i="26"/>
  <c r="BS72" i="26"/>
  <c r="BR84" i="26"/>
  <c r="BS84" i="26"/>
  <c r="BR71" i="26"/>
  <c r="BS71" i="26"/>
  <c r="DN59" i="26"/>
  <c r="DO59" i="26"/>
  <c r="DN49" i="26"/>
  <c r="DO49" i="26"/>
  <c r="DN42" i="26"/>
  <c r="DO42" i="26"/>
  <c r="DO45" i="26"/>
  <c r="DN45" i="26"/>
  <c r="GA51" i="26"/>
  <c r="FZ51" i="26"/>
  <c r="GA49" i="26"/>
  <c r="FZ49" i="26"/>
  <c r="GA48" i="26"/>
  <c r="FZ48" i="26"/>
  <c r="FJ38" i="26"/>
  <c r="FK38" i="26"/>
  <c r="FJ46" i="26"/>
  <c r="FK46" i="26"/>
  <c r="FJ61" i="26"/>
  <c r="FK61" i="26"/>
  <c r="HF57" i="26"/>
  <c r="HG57" i="26"/>
  <c r="HG52" i="26"/>
  <c r="HF52" i="26"/>
  <c r="HF41" i="26"/>
  <c r="HG41" i="26"/>
  <c r="HF48" i="26"/>
  <c r="HG48" i="26"/>
  <c r="CY62" i="26"/>
  <c r="CX62" i="26"/>
  <c r="CY41" i="26"/>
  <c r="CX41" i="26"/>
  <c r="CX50" i="26"/>
  <c r="CY50" i="26"/>
  <c r="BC52" i="26"/>
  <c r="BB52" i="26"/>
  <c r="BC46" i="26"/>
  <c r="BB46" i="26"/>
  <c r="BB37" i="26"/>
  <c r="BC37" i="26"/>
  <c r="BB40" i="26"/>
  <c r="BC40" i="26"/>
  <c r="BB78" i="26"/>
  <c r="BC78" i="26"/>
  <c r="BB90" i="26"/>
  <c r="BC90" i="26"/>
  <c r="BB88" i="26"/>
  <c r="BC88" i="26"/>
  <c r="AM91" i="26"/>
  <c r="AL91" i="26"/>
  <c r="AM77" i="26"/>
  <c r="AL77" i="26"/>
  <c r="AL73" i="26"/>
  <c r="AM73" i="26"/>
  <c r="AM76" i="26"/>
  <c r="AL76" i="26"/>
  <c r="GP52" i="26"/>
  <c r="GQ52" i="26"/>
  <c r="GP57" i="26"/>
  <c r="GQ57" i="26"/>
  <c r="GQ51" i="26"/>
  <c r="GP51" i="26"/>
  <c r="GP48" i="26"/>
  <c r="GQ48" i="26"/>
  <c r="AM54" i="26"/>
  <c r="AL54" i="26"/>
  <c r="AM57" i="26"/>
  <c r="AL57" i="26"/>
  <c r="AL40" i="26"/>
  <c r="AM40" i="26"/>
  <c r="BS52" i="26"/>
  <c r="BR52" i="26"/>
  <c r="FK55" i="26"/>
  <c r="FJ55" i="26"/>
  <c r="CY55" i="26"/>
  <c r="CX55" i="26"/>
  <c r="BB45" i="26"/>
  <c r="BC45" i="26"/>
  <c r="AL71" i="26"/>
  <c r="AM71" i="26"/>
  <c r="CI59" i="26"/>
  <c r="CH59" i="26"/>
  <c r="BR45" i="26"/>
  <c r="BS45" i="26"/>
  <c r="BS83" i="26"/>
  <c r="BR83" i="26"/>
  <c r="FZ58" i="26"/>
  <c r="GA58" i="26"/>
  <c r="CX61" i="26"/>
  <c r="CY61" i="26"/>
  <c r="BB77" i="26"/>
  <c r="BC77" i="26"/>
  <c r="GQ58" i="26"/>
  <c r="GP58" i="26"/>
  <c r="G37" i="26"/>
  <c r="I37" i="26" s="1"/>
  <c r="CH45" i="26"/>
  <c r="CI45" i="26"/>
  <c r="ED40" i="26"/>
  <c r="EE40" i="26"/>
  <c r="DN57" i="26"/>
  <c r="DO57" i="26"/>
  <c r="FK41" i="26"/>
  <c r="FJ41" i="26"/>
  <c r="CY45" i="26"/>
  <c r="CX45" i="26"/>
  <c r="BC47" i="26"/>
  <c r="BB47" i="26"/>
  <c r="AL89" i="26"/>
  <c r="AM89" i="26"/>
  <c r="CI43" i="26"/>
  <c r="CH43" i="26"/>
  <c r="BR56" i="26"/>
  <c r="BS56" i="26"/>
  <c r="BR68" i="26"/>
  <c r="BS68" i="26"/>
  <c r="DN41" i="26"/>
  <c r="DO41" i="26"/>
  <c r="DO46" i="26"/>
  <c r="DN46" i="26"/>
  <c r="DO48" i="26"/>
  <c r="DN48" i="26"/>
  <c r="GA62" i="26"/>
  <c r="FZ62" i="26"/>
  <c r="GA55" i="26"/>
  <c r="FZ55" i="26"/>
  <c r="GA37" i="26"/>
  <c r="FZ37" i="26"/>
  <c r="FK50" i="26"/>
  <c r="FJ50" i="26"/>
  <c r="FJ45" i="26"/>
  <c r="FK45" i="26"/>
  <c r="FJ52" i="26"/>
  <c r="FK52" i="26"/>
  <c r="HG47" i="26"/>
  <c r="HF47" i="26"/>
  <c r="HG50" i="26"/>
  <c r="HF50" i="26"/>
  <c r="HF62" i="26"/>
  <c r="HG62" i="26"/>
  <c r="HF56" i="26"/>
  <c r="HG56" i="26"/>
  <c r="CY51" i="26"/>
  <c r="CX51" i="26"/>
  <c r="CX37" i="26"/>
  <c r="CY37" i="26"/>
  <c r="CX42" i="26"/>
  <c r="CY42" i="26"/>
  <c r="BC50" i="26"/>
  <c r="BB50" i="26"/>
  <c r="BB43" i="26"/>
  <c r="BC43" i="26"/>
  <c r="BB48" i="26"/>
  <c r="BC48" i="26"/>
  <c r="BB68" i="26"/>
  <c r="BC68" i="26"/>
  <c r="BC70" i="26"/>
  <c r="BB70" i="26"/>
  <c r="BC69" i="26"/>
  <c r="BB69" i="26"/>
  <c r="AM75" i="26"/>
  <c r="AL75" i="26"/>
  <c r="AL82" i="26"/>
  <c r="AM82" i="26"/>
  <c r="AL81" i="26"/>
  <c r="AM81" i="26"/>
  <c r="GP47" i="26"/>
  <c r="GQ47" i="26"/>
  <c r="GP45" i="26"/>
  <c r="GQ45" i="26"/>
  <c r="GP56" i="26"/>
  <c r="GQ56" i="26"/>
  <c r="AL37" i="26"/>
  <c r="AM37" i="26"/>
  <c r="AL55" i="26"/>
  <c r="AM55" i="26"/>
  <c r="AL42" i="26"/>
  <c r="AM42" i="26"/>
  <c r="BR39" i="26"/>
  <c r="BS39" i="26"/>
  <c r="ED43" i="26"/>
  <c r="EE43" i="26"/>
  <c r="GA44" i="26"/>
  <c r="FZ44" i="26"/>
  <c r="FJ49" i="26"/>
  <c r="FK49" i="26"/>
  <c r="HG39" i="26"/>
  <c r="HF39" i="26"/>
  <c r="CX49" i="26"/>
  <c r="CY49" i="26"/>
  <c r="BB74" i="26"/>
  <c r="BC74" i="26"/>
  <c r="BB79" i="26"/>
  <c r="BC79" i="26"/>
  <c r="GQ60" i="26"/>
  <c r="GP60" i="26"/>
  <c r="AL41" i="26"/>
  <c r="AM41" i="26"/>
  <c r="CI58" i="26"/>
  <c r="CH58" i="26"/>
  <c r="EE51" i="26"/>
  <c r="ED51" i="26"/>
  <c r="EE44" i="26"/>
  <c r="ED44" i="26"/>
  <c r="BR79" i="26"/>
  <c r="BS79" i="26"/>
  <c r="FZ47" i="26"/>
  <c r="GA47" i="26"/>
  <c r="FJ54" i="26"/>
  <c r="FK54" i="26"/>
  <c r="HG43" i="26"/>
  <c r="HF43" i="26"/>
  <c r="CX39" i="26"/>
  <c r="CY39" i="26"/>
  <c r="BB59" i="26"/>
  <c r="BC59" i="26"/>
  <c r="BB87" i="26"/>
  <c r="BC87" i="26"/>
  <c r="AM84" i="26"/>
  <c r="AL84" i="26"/>
  <c r="EW56" i="26"/>
  <c r="EV56" i="26"/>
  <c r="AM39" i="26"/>
  <c r="AL39" i="26"/>
  <c r="AL56" i="26"/>
  <c r="AM56" i="26"/>
  <c r="BR62" i="26"/>
  <c r="BS62" i="26"/>
  <c r="EE39" i="26"/>
  <c r="ED39" i="26"/>
  <c r="DN54" i="26"/>
  <c r="DO54" i="26"/>
  <c r="DN56" i="26"/>
  <c r="DO56" i="26"/>
  <c r="FJ62" i="26"/>
  <c r="FK62" i="26"/>
  <c r="HF46" i="26"/>
  <c r="HG46" i="26"/>
  <c r="CX57" i="26"/>
  <c r="CY57" i="26"/>
  <c r="BB49" i="26"/>
  <c r="BC49" i="26"/>
  <c r="BB56" i="26"/>
  <c r="BC56" i="26"/>
  <c r="BB71" i="26"/>
  <c r="BC71" i="26"/>
  <c r="GQ62" i="26"/>
  <c r="GP62" i="26"/>
  <c r="CH54" i="26"/>
  <c r="CI54" i="26"/>
  <c r="BS41" i="26"/>
  <c r="BR41" i="26"/>
  <c r="BS61" i="26"/>
  <c r="BR61" i="26"/>
  <c r="ED54" i="26"/>
  <c r="EE54" i="26"/>
  <c r="BR80" i="26"/>
  <c r="BS80" i="26"/>
  <c r="CI37" i="26"/>
  <c r="CH37" i="26"/>
  <c r="CI61" i="26"/>
  <c r="CH61" i="26"/>
  <c r="CH57" i="26"/>
  <c r="CI57" i="26"/>
  <c r="BS60" i="26"/>
  <c r="BR60" i="26"/>
  <c r="BR47" i="26"/>
  <c r="BS47" i="26"/>
  <c r="BS43" i="26"/>
  <c r="BR43" i="26"/>
  <c r="BR48" i="26"/>
  <c r="BS48" i="26"/>
  <c r="EE57" i="26"/>
  <c r="ED57" i="26"/>
  <c r="ED53" i="26"/>
  <c r="EE53" i="26"/>
  <c r="EE50" i="26"/>
  <c r="ED50" i="26"/>
  <c r="EW40" i="26"/>
  <c r="EV40" i="26"/>
  <c r="DN52" i="26"/>
  <c r="DO52" i="26"/>
  <c r="DO44" i="26"/>
  <c r="DN44" i="26"/>
  <c r="DO37" i="26"/>
  <c r="DN37" i="26"/>
  <c r="GA39" i="26"/>
  <c r="FZ39" i="26"/>
  <c r="GA41" i="26"/>
  <c r="FZ41" i="26"/>
  <c r="GA61" i="26"/>
  <c r="FZ61" i="26"/>
  <c r="FJ59" i="26"/>
  <c r="FK59" i="26"/>
  <c r="FK57" i="26"/>
  <c r="FJ57" i="26"/>
  <c r="FJ53" i="26"/>
  <c r="FK53" i="26"/>
  <c r="FJ48" i="26"/>
  <c r="FK48" i="26"/>
  <c r="HG38" i="26"/>
  <c r="HF38" i="26"/>
  <c r="HF58" i="26"/>
  <c r="HG58" i="26"/>
  <c r="HF40" i="26"/>
  <c r="HG40" i="26"/>
  <c r="CY60" i="26"/>
  <c r="CX60" i="26"/>
  <c r="CY54" i="26"/>
  <c r="CX54" i="26"/>
  <c r="CX56" i="26"/>
  <c r="CY56" i="26"/>
  <c r="HX40" i="26"/>
  <c r="HY40" i="26"/>
  <c r="BB41" i="26"/>
  <c r="BC41" i="26"/>
  <c r="BB39" i="26"/>
  <c r="BC39" i="26"/>
  <c r="BB53" i="26"/>
  <c r="BC53" i="26"/>
  <c r="BC82" i="26"/>
  <c r="BB82" i="26"/>
  <c r="BB73" i="26"/>
  <c r="BC73" i="26"/>
  <c r="BC81" i="26"/>
  <c r="BB81" i="26"/>
  <c r="HY58" i="26"/>
  <c r="HX58" i="26"/>
  <c r="AL78" i="26"/>
  <c r="AM78" i="26"/>
  <c r="AL88" i="26"/>
  <c r="AM88" i="26"/>
  <c r="AM79" i="26"/>
  <c r="AL79" i="26"/>
  <c r="EW48" i="26"/>
  <c r="EV48" i="26"/>
  <c r="GQ55" i="26"/>
  <c r="GP55" i="26"/>
  <c r="GP49" i="26"/>
  <c r="GQ49" i="26"/>
  <c r="GQ54" i="26"/>
  <c r="GP54" i="26"/>
  <c r="AL46" i="26"/>
  <c r="AM46" i="26"/>
  <c r="AL61" i="26"/>
  <c r="AM61" i="26"/>
  <c r="AL48" i="26"/>
  <c r="AM48" i="26"/>
  <c r="CH56" i="26"/>
  <c r="CI56" i="26"/>
  <c r="EE45" i="26"/>
  <c r="ED45" i="26"/>
  <c r="DO53" i="26"/>
  <c r="DN53" i="26"/>
  <c r="GA45" i="26"/>
  <c r="FZ45" i="26"/>
  <c r="HY42" i="26"/>
  <c r="HX42" i="26"/>
  <c r="HF59" i="26"/>
  <c r="HG59" i="26"/>
  <c r="CX44" i="26"/>
  <c r="CY44" i="26"/>
  <c r="BB54" i="26"/>
  <c r="BC54" i="26"/>
  <c r="BC72" i="26"/>
  <c r="BB72" i="26"/>
  <c r="AL72" i="26"/>
  <c r="AM72" i="26"/>
  <c r="GQ46" i="26"/>
  <c r="GP46" i="26"/>
  <c r="AM44" i="26"/>
  <c r="AL44" i="26"/>
  <c r="AL51" i="26"/>
  <c r="AM51" i="26"/>
  <c r="BS46" i="26"/>
  <c r="BR46" i="26"/>
  <c r="ED38" i="26"/>
  <c r="EE38" i="26"/>
  <c r="BR69" i="26"/>
  <c r="BS69" i="26"/>
  <c r="DO60" i="26"/>
  <c r="DN60" i="26"/>
  <c r="FZ57" i="26"/>
  <c r="GA57" i="26"/>
  <c r="FJ60" i="26"/>
  <c r="FK60" i="26"/>
  <c r="HG55" i="26"/>
  <c r="HF55" i="26"/>
  <c r="CX58" i="26"/>
  <c r="CY58" i="26"/>
  <c r="BC55" i="26"/>
  <c r="BB55" i="26"/>
  <c r="BB83" i="26"/>
  <c r="BC83" i="26"/>
  <c r="AM83" i="26"/>
  <c r="AL83" i="26"/>
  <c r="GQ43" i="26"/>
  <c r="GP43" i="26"/>
  <c r="AM52" i="26"/>
  <c r="AL52" i="26"/>
  <c r="CH62" i="26"/>
  <c r="CI62" i="26"/>
  <c r="BR59" i="26"/>
  <c r="BS59" i="26"/>
  <c r="DN50" i="26"/>
  <c r="DO50" i="26"/>
  <c r="GA38" i="26"/>
  <c r="FZ38" i="26"/>
  <c r="FK42" i="26"/>
  <c r="FJ42" i="26"/>
  <c r="HF37" i="26"/>
  <c r="HG37" i="26"/>
  <c r="CX40" i="26"/>
  <c r="CY40" i="26"/>
  <c r="BC93" i="26"/>
  <c r="BB93" i="26"/>
  <c r="AM90" i="26"/>
  <c r="AL90" i="26"/>
  <c r="AL87" i="26"/>
  <c r="AM87" i="26"/>
  <c r="CI42" i="26"/>
  <c r="CH42" i="26"/>
  <c r="BR38" i="26"/>
  <c r="BS38" i="26"/>
  <c r="EE37" i="26"/>
  <c r="ED37" i="26"/>
  <c r="ED60" i="26"/>
  <c r="EE60" i="26"/>
  <c r="BR85" i="26"/>
  <c r="BS85" i="26"/>
  <c r="CH51" i="26"/>
  <c r="CI51" i="26"/>
  <c r="CH60" i="26"/>
  <c r="CI60" i="26"/>
  <c r="CH55" i="26"/>
  <c r="CI55" i="26"/>
  <c r="CH40" i="26"/>
  <c r="CI40" i="26"/>
  <c r="BR54" i="26"/>
  <c r="BS54" i="26"/>
  <c r="BR53" i="26"/>
  <c r="BS53" i="26"/>
  <c r="BR58" i="26"/>
  <c r="BS58" i="26"/>
  <c r="EE59" i="26"/>
  <c r="ED59" i="26"/>
  <c r="EE46" i="26"/>
  <c r="ED46" i="26"/>
  <c r="EE62" i="26"/>
  <c r="ED62" i="26"/>
  <c r="BR75" i="26"/>
  <c r="BS75" i="26"/>
  <c r="BS82" i="26"/>
  <c r="BR82" i="26"/>
  <c r="BS86" i="26"/>
  <c r="BR86" i="26"/>
  <c r="BR81" i="26"/>
  <c r="BS81" i="26"/>
  <c r="DO47" i="26"/>
  <c r="DN47" i="26"/>
  <c r="DO51" i="26"/>
  <c r="DN51" i="26"/>
  <c r="DO61" i="26"/>
  <c r="DN61" i="26"/>
  <c r="GA54" i="26"/>
  <c r="FZ54" i="26"/>
  <c r="GA52" i="26"/>
  <c r="FZ52" i="26"/>
  <c r="FZ40" i="26"/>
  <c r="GA40" i="26"/>
  <c r="FZ42" i="26"/>
  <c r="GA42" i="26"/>
  <c r="FJ43" i="26"/>
  <c r="FK43" i="26"/>
  <c r="FK39" i="26"/>
  <c r="FJ39" i="26"/>
  <c r="FJ44" i="26"/>
  <c r="FK44" i="26"/>
  <c r="FJ56" i="26"/>
  <c r="FK56" i="26"/>
  <c r="HF44" i="26"/>
  <c r="HG44" i="26"/>
  <c r="HG54" i="26"/>
  <c r="HF54" i="26"/>
  <c r="HF45" i="26"/>
  <c r="HG45" i="26"/>
  <c r="CY43" i="26"/>
  <c r="CX43" i="26"/>
  <c r="CY47" i="26"/>
  <c r="CX47" i="26"/>
  <c r="CX48" i="26"/>
  <c r="CY48" i="26"/>
  <c r="BB38" i="26"/>
  <c r="BC38" i="26"/>
  <c r="BB58" i="26"/>
  <c r="BC58" i="26"/>
  <c r="BB44" i="26"/>
  <c r="BC44" i="26"/>
  <c r="BB85" i="26"/>
  <c r="BC85" i="26"/>
  <c r="BB92" i="26"/>
  <c r="BC92" i="26"/>
  <c r="BB80" i="26"/>
  <c r="BC80" i="26"/>
  <c r="AM93" i="26"/>
  <c r="AL93" i="26"/>
  <c r="AM74" i="26"/>
  <c r="AL74" i="26"/>
  <c r="AM68" i="26"/>
  <c r="AL68" i="26"/>
  <c r="EV55" i="26"/>
  <c r="EW55" i="26"/>
  <c r="GQ37" i="26"/>
  <c r="GP37" i="26"/>
  <c r="GQ39" i="26"/>
  <c r="GP39" i="26"/>
  <c r="GQ44" i="26"/>
  <c r="GP44" i="26"/>
  <c r="AL47" i="26"/>
  <c r="AM47" i="26"/>
  <c r="AL49" i="26"/>
  <c r="AM49" i="26"/>
  <c r="AL59" i="26"/>
  <c r="AM59" i="26"/>
  <c r="CI52" i="26"/>
  <c r="CH52" i="26"/>
  <c r="BR42" i="26"/>
  <c r="BS42" i="26"/>
  <c r="DO62" i="26"/>
  <c r="DN62" i="26"/>
  <c r="FK51" i="26"/>
  <c r="FJ51" i="26"/>
  <c r="CH47" i="26"/>
  <c r="CI47" i="26"/>
  <c r="CI53" i="26"/>
  <c r="CH53" i="26"/>
  <c r="CI50" i="26"/>
  <c r="CH50" i="26"/>
  <c r="CH48" i="26"/>
  <c r="CI48" i="26"/>
  <c r="BR44" i="26"/>
  <c r="BS44" i="26"/>
  <c r="BR57" i="26"/>
  <c r="BS57" i="26"/>
  <c r="BR40" i="26"/>
  <c r="BS40" i="26"/>
  <c r="EE58" i="26"/>
  <c r="ED58" i="26"/>
  <c r="EE47" i="26"/>
  <c r="ED47" i="26"/>
  <c r="EE52" i="26"/>
  <c r="ED52" i="26"/>
  <c r="BS78" i="26"/>
  <c r="BR78" i="26"/>
  <c r="BR92" i="26"/>
  <c r="BS92" i="26"/>
  <c r="BR77" i="26"/>
  <c r="BS77" i="26"/>
  <c r="BR73" i="26"/>
  <c r="BS73" i="26"/>
  <c r="DO55" i="26"/>
  <c r="DN55" i="26"/>
  <c r="DN38" i="26"/>
  <c r="DO38" i="26"/>
  <c r="DO40" i="26"/>
  <c r="DN40" i="26"/>
  <c r="GA60" i="26"/>
  <c r="FZ60" i="26"/>
  <c r="FZ43" i="26"/>
  <c r="GA43" i="26"/>
  <c r="GA53" i="26"/>
  <c r="FZ53" i="26"/>
  <c r="FZ56" i="26"/>
  <c r="GA56" i="26"/>
  <c r="FK37" i="26"/>
  <c r="FJ37" i="26"/>
  <c r="FK47" i="26"/>
  <c r="FJ47" i="26"/>
  <c r="FJ40" i="26"/>
  <c r="FK40" i="26"/>
  <c r="HG42" i="26"/>
  <c r="HF42" i="26"/>
  <c r="HG60" i="26"/>
  <c r="HF60" i="26"/>
  <c r="HF49" i="26"/>
  <c r="HG49" i="26"/>
  <c r="CX59" i="26"/>
  <c r="CY59" i="26"/>
  <c r="CY46" i="26"/>
  <c r="CX46" i="26"/>
  <c r="CX53" i="26"/>
  <c r="CY53" i="26"/>
  <c r="BC62" i="26"/>
  <c r="BB62" i="26"/>
  <c r="BB57" i="26"/>
  <c r="BC57" i="26"/>
  <c r="BC51" i="26"/>
  <c r="BB51" i="26"/>
  <c r="BB89" i="26"/>
  <c r="BC89" i="26"/>
  <c r="BB75" i="26"/>
  <c r="BC75" i="26"/>
  <c r="BB91" i="26"/>
  <c r="BC91" i="26"/>
  <c r="AM85" i="26"/>
  <c r="AL85" i="26"/>
  <c r="AM80" i="26"/>
  <c r="AL80" i="26"/>
  <c r="AM92" i="26"/>
  <c r="AL92" i="26"/>
  <c r="GP41" i="26"/>
  <c r="GQ41" i="26"/>
  <c r="GP42" i="26"/>
  <c r="GQ42" i="26"/>
  <c r="GP50" i="26"/>
  <c r="GQ50" i="26"/>
  <c r="AM38" i="26"/>
  <c r="AL38" i="26"/>
  <c r="AL53" i="26"/>
  <c r="AM53" i="26"/>
  <c r="AM62" i="26"/>
  <c r="AL62" i="26"/>
  <c r="X91" i="26"/>
  <c r="Y91" i="26"/>
  <c r="H83" i="26"/>
  <c r="I83" i="26"/>
  <c r="X45" i="26"/>
  <c r="H57" i="26"/>
  <c r="W71" i="26"/>
  <c r="O20" i="21"/>
  <c r="O22" i="21"/>
  <c r="O11" i="21"/>
  <c r="O31" i="21"/>
  <c r="O33" i="21"/>
  <c r="O14" i="21"/>
  <c r="O23" i="21"/>
  <c r="O17" i="21"/>
  <c r="O16" i="21"/>
  <c r="O25" i="21"/>
  <c r="O24" i="21"/>
  <c r="O28" i="21"/>
  <c r="O34" i="21"/>
  <c r="O13" i="21"/>
  <c r="O26" i="21"/>
  <c r="O29" i="21"/>
  <c r="O27" i="21"/>
  <c r="O19" i="21"/>
  <c r="O21" i="21"/>
  <c r="O32" i="21"/>
  <c r="O30" i="21"/>
  <c r="O10" i="21"/>
  <c r="O12" i="21"/>
  <c r="O15" i="21"/>
  <c r="O18" i="21"/>
  <c r="O9" i="21"/>
  <c r="K32" i="29"/>
  <c r="AA32" i="29" s="1"/>
  <c r="AL32" i="29"/>
  <c r="K40" i="29"/>
  <c r="AA40" i="29" s="1"/>
  <c r="AL40" i="29"/>
  <c r="AH44" i="29"/>
  <c r="AL44" i="29"/>
  <c r="AI33" i="29"/>
  <c r="AL33" i="29"/>
  <c r="K39" i="29"/>
  <c r="AA39" i="29" s="1"/>
  <c r="AL39" i="29"/>
  <c r="L30" i="29"/>
  <c r="AB30" i="29" s="1"/>
  <c r="AL30" i="29"/>
  <c r="K46" i="29"/>
  <c r="AA46" i="29" s="1"/>
  <c r="AL46" i="29"/>
  <c r="AI28" i="29"/>
  <c r="AL28" i="29"/>
  <c r="K41" i="29"/>
  <c r="AA41" i="29" s="1"/>
  <c r="AL41" i="29"/>
  <c r="AH23" i="29"/>
  <c r="AL23" i="29"/>
  <c r="AI37" i="29"/>
  <c r="AL37" i="29"/>
  <c r="L43" i="29"/>
  <c r="AB43" i="29" s="1"/>
  <c r="AL43" i="29"/>
  <c r="AI34" i="29"/>
  <c r="AL34" i="29"/>
  <c r="K38" i="29"/>
  <c r="AA38" i="29" s="1"/>
  <c r="AL38" i="29"/>
  <c r="K29" i="29"/>
  <c r="AA29" i="29" s="1"/>
  <c r="AL29" i="29"/>
  <c r="AH27" i="29"/>
  <c r="AL27" i="29"/>
  <c r="K31" i="29"/>
  <c r="AA31" i="29" s="1"/>
  <c r="AL31" i="29"/>
  <c r="L45" i="29"/>
  <c r="AB45" i="29" s="1"/>
  <c r="AL45" i="29"/>
  <c r="AH22" i="29"/>
  <c r="AL22" i="29"/>
  <c r="AH36" i="29"/>
  <c r="AL36" i="29"/>
  <c r="K26" i="29"/>
  <c r="AA26" i="29" s="1"/>
  <c r="AL26" i="29"/>
  <c r="K25" i="29"/>
  <c r="AA25" i="29" s="1"/>
  <c r="AL25" i="29"/>
  <c r="K24" i="29"/>
  <c r="AA24" i="29" s="1"/>
  <c r="AL24" i="29"/>
  <c r="K35" i="29"/>
  <c r="AA35" i="29" s="1"/>
  <c r="AL35" i="29"/>
  <c r="V76" i="26"/>
  <c r="W43" i="26"/>
  <c r="Y43" i="26" s="1"/>
  <c r="V92" i="26"/>
  <c r="J21" i="29"/>
  <c r="F37" i="26"/>
  <c r="W75" i="26"/>
  <c r="Y75" i="26" s="1"/>
  <c r="U21" i="29"/>
  <c r="W59" i="26"/>
  <c r="Y59" i="26" s="1"/>
  <c r="V77" i="26"/>
  <c r="W70" i="26"/>
  <c r="Y70" i="26" s="1"/>
  <c r="W86" i="26"/>
  <c r="V84" i="26"/>
  <c r="AH26" i="29"/>
  <c r="L31" i="29"/>
  <c r="AB31" i="29" s="1"/>
  <c r="AH31" i="29"/>
  <c r="AJ31" i="29"/>
  <c r="AI31" i="29"/>
  <c r="AG31" i="29"/>
  <c r="AI26" i="29"/>
  <c r="L26" i="29"/>
  <c r="AB26" i="29" s="1"/>
  <c r="AJ26" i="29"/>
  <c r="AG26" i="29"/>
  <c r="AI24" i="29"/>
  <c r="AH24" i="29"/>
  <c r="AG24" i="29"/>
  <c r="AJ24" i="29"/>
  <c r="L24" i="29"/>
  <c r="AB24" i="29" s="1"/>
  <c r="F51" i="26"/>
  <c r="V51" i="26"/>
  <c r="V79" i="26"/>
  <c r="V83" i="26"/>
  <c r="W74" i="26"/>
  <c r="F62" i="26"/>
  <c r="G42" i="26"/>
  <c r="I42" i="26" s="1"/>
  <c r="G50" i="26"/>
  <c r="I50" i="26" s="1"/>
  <c r="W89" i="26"/>
  <c r="V80" i="26"/>
  <c r="V91" i="26"/>
  <c r="W56" i="26"/>
  <c r="Y56" i="26" s="1"/>
  <c r="V37" i="26"/>
  <c r="V57" i="26"/>
  <c r="V47" i="26"/>
  <c r="W85" i="26"/>
  <c r="W72" i="26"/>
  <c r="Y72" i="26" s="1"/>
  <c r="V61" i="26"/>
  <c r="V53" i="26"/>
  <c r="G38" i="26"/>
  <c r="I38" i="26" s="1"/>
  <c r="G47" i="26"/>
  <c r="I47" i="26" s="1"/>
  <c r="F43" i="26"/>
  <c r="V87" i="26"/>
  <c r="G49" i="26"/>
  <c r="I49" i="26" s="1"/>
  <c r="W58" i="26"/>
  <c r="Y58" i="26" s="1"/>
  <c r="W81" i="26"/>
  <c r="Y81" i="26" s="1"/>
  <c r="G56" i="26"/>
  <c r="I56" i="26" s="1"/>
  <c r="W68" i="26"/>
  <c r="Y68" i="26" s="1"/>
  <c r="W42" i="26"/>
  <c r="Y42" i="26" s="1"/>
  <c r="W40" i="26"/>
  <c r="Y40" i="26" s="1"/>
  <c r="V46" i="26"/>
  <c r="G40" i="26"/>
  <c r="I40" i="26" s="1"/>
  <c r="F60" i="26"/>
  <c r="W82" i="26"/>
  <c r="Y82" i="26" s="1"/>
  <c r="V78" i="26"/>
  <c r="V54" i="26"/>
  <c r="F48" i="26"/>
  <c r="F52" i="26"/>
  <c r="W62" i="26"/>
  <c r="Y62" i="26" s="1"/>
  <c r="W52" i="26"/>
  <c r="Y52" i="26" s="1"/>
  <c r="G53" i="26"/>
  <c r="I53" i="26" s="1"/>
  <c r="V49" i="26"/>
  <c r="V50" i="26"/>
  <c r="F61" i="26"/>
  <c r="W44" i="26"/>
  <c r="Y44" i="26" s="1"/>
  <c r="V44" i="26"/>
  <c r="V48" i="26"/>
  <c r="F58" i="26"/>
  <c r="W73" i="26"/>
  <c r="F45" i="26"/>
  <c r="V55" i="26"/>
  <c r="V69" i="26"/>
  <c r="G59" i="26"/>
  <c r="I59" i="26" s="1"/>
  <c r="F46" i="26"/>
  <c r="W60" i="26"/>
  <c r="Y60" i="26" s="1"/>
  <c r="W88" i="26"/>
  <c r="W39" i="26"/>
  <c r="Y39" i="26" s="1"/>
  <c r="V39" i="26"/>
  <c r="W93" i="26"/>
  <c r="Y93" i="26" s="1"/>
  <c r="V93" i="26"/>
  <c r="V38" i="26"/>
  <c r="W41" i="26"/>
  <c r="Y41" i="26" s="1"/>
  <c r="V41" i="26"/>
  <c r="G54" i="26"/>
  <c r="F44" i="26"/>
  <c r="G44" i="26"/>
  <c r="I44" i="26" s="1"/>
  <c r="F41" i="26"/>
  <c r="G41" i="26"/>
  <c r="I41" i="26" s="1"/>
  <c r="G55" i="26"/>
  <c r="I55" i="26" s="1"/>
  <c r="F55" i="26"/>
  <c r="G39" i="26"/>
  <c r="I39" i="26" s="1"/>
  <c r="F39" i="26"/>
  <c r="L25" i="29"/>
  <c r="AB25" i="29" s="1"/>
  <c r="K44" i="29"/>
  <c r="AA44" i="29" s="1"/>
  <c r="L29" i="29"/>
  <c r="AB29" i="29" s="1"/>
  <c r="AI29" i="29"/>
  <c r="L27" i="29"/>
  <c r="AB27" i="29" s="1"/>
  <c r="AH29" i="29"/>
  <c r="AJ29" i="29"/>
  <c r="AG29" i="29"/>
  <c r="AG39" i="29"/>
  <c r="AJ25" i="29"/>
  <c r="AH25" i="29"/>
  <c r="AG25" i="29"/>
  <c r="AI25" i="29"/>
  <c r="AJ43" i="29"/>
  <c r="AH39" i="29"/>
  <c r="AJ39" i="29"/>
  <c r="AI27" i="29"/>
  <c r="AJ27" i="29"/>
  <c r="AG27" i="29"/>
  <c r="AI43" i="29"/>
  <c r="K27" i="29"/>
  <c r="AA27" i="29" s="1"/>
  <c r="L39" i="29"/>
  <c r="AB39" i="29" s="1"/>
  <c r="AH43" i="29"/>
  <c r="AI39" i="29"/>
  <c r="K43" i="29"/>
  <c r="AA43" i="29" s="1"/>
  <c r="AG43" i="29"/>
  <c r="T21" i="29"/>
  <c r="AJ40" i="29"/>
  <c r="X77" i="26"/>
  <c r="X84" i="26"/>
  <c r="H86" i="26"/>
  <c r="X87" i="26"/>
  <c r="H78" i="26"/>
  <c r="H90" i="26"/>
  <c r="X79" i="26"/>
  <c r="H87" i="26"/>
  <c r="X80" i="26"/>
  <c r="H84" i="26"/>
  <c r="X92" i="26"/>
  <c r="H77" i="26"/>
  <c r="X83" i="26"/>
  <c r="X78" i="26"/>
  <c r="K28" i="29"/>
  <c r="AA28" i="29" s="1"/>
  <c r="K22" i="29"/>
  <c r="AA22" i="29" s="1"/>
  <c r="AH32" i="29"/>
  <c r="L22" i="29"/>
  <c r="AB22" i="29" s="1"/>
  <c r="AG22" i="29"/>
  <c r="L32" i="29"/>
  <c r="AB32" i="29" s="1"/>
  <c r="H52" i="26"/>
  <c r="X54" i="26"/>
  <c r="X47" i="26"/>
  <c r="X49" i="26"/>
  <c r="X51" i="26"/>
  <c r="X57" i="26"/>
  <c r="AI44" i="29"/>
  <c r="X61" i="26"/>
  <c r="H62" i="26"/>
  <c r="H46" i="26"/>
  <c r="H48" i="26"/>
  <c r="H51" i="26"/>
  <c r="X46" i="26"/>
  <c r="X48" i="26"/>
  <c r="X50" i="26"/>
  <c r="X53" i="26"/>
  <c r="H58" i="26"/>
  <c r="H61" i="26"/>
  <c r="X55" i="26"/>
  <c r="H60" i="26"/>
  <c r="AI41" i="29"/>
  <c r="AH33" i="29"/>
  <c r="AG34" i="29"/>
  <c r="AI22" i="29"/>
  <c r="AJ22" i="29"/>
  <c r="AG32" i="29"/>
  <c r="AJ32" i="29"/>
  <c r="L36" i="29"/>
  <c r="AB36" i="29" s="1"/>
  <c r="AH37" i="29"/>
  <c r="AJ45" i="29"/>
  <c r="AH38" i="29"/>
  <c r="AG36" i="29"/>
  <c r="AJ36" i="29"/>
  <c r="AG23" i="29"/>
  <c r="AJ23" i="29"/>
  <c r="AI35" i="29"/>
  <c r="AG30" i="29"/>
  <c r="K23" i="29"/>
  <c r="AA23" i="29" s="1"/>
  <c r="AI40" i="29"/>
  <c r="AI23" i="29"/>
  <c r="AG35" i="29"/>
  <c r="AI36" i="29"/>
  <c r="AI32" i="29"/>
  <c r="AH40" i="29"/>
  <c r="L23" i="29"/>
  <c r="AB23" i="29" s="1"/>
  <c r="K36" i="29"/>
  <c r="AA36" i="29" s="1"/>
  <c r="L35" i="29"/>
  <c r="AB35" i="29" s="1"/>
  <c r="L44" i="29"/>
  <c r="AB44" i="29" s="1"/>
  <c r="L28" i="29"/>
  <c r="AB28" i="29" s="1"/>
  <c r="AG28" i="29"/>
  <c r="AJ28" i="29"/>
  <c r="AG44" i="29"/>
  <c r="AJ44" i="29"/>
  <c r="AH35" i="29"/>
  <c r="AH30" i="29"/>
  <c r="K30" i="29"/>
  <c r="AA30" i="29" s="1"/>
  <c r="AJ35" i="29"/>
  <c r="AH28" i="29"/>
  <c r="L40" i="29"/>
  <c r="AB40" i="29" s="1"/>
  <c r="AG40" i="29"/>
  <c r="X38" i="26"/>
  <c r="H45" i="26"/>
  <c r="H43" i="26"/>
  <c r="AJ37" i="29"/>
  <c r="AH45" i="29"/>
  <c r="AJ33" i="29"/>
  <c r="AG41" i="29"/>
  <c r="K34" i="29"/>
  <c r="AA34" i="29" s="1"/>
  <c r="L46" i="29"/>
  <c r="AB46" i="29" s="1"/>
  <c r="AJ30" i="29"/>
  <c r="AI30" i="29"/>
  <c r="AG37" i="29"/>
  <c r="K37" i="29"/>
  <c r="AA37" i="29" s="1"/>
  <c r="AG45" i="29"/>
  <c r="AI45" i="29"/>
  <c r="AG38" i="29"/>
  <c r="AG33" i="29"/>
  <c r="K33" i="29"/>
  <c r="AA33" i="29" s="1"/>
  <c r="AH41" i="29"/>
  <c r="AH34" i="29"/>
  <c r="AJ34" i="29"/>
  <c r="AI46" i="29"/>
  <c r="L33" i="29"/>
  <c r="AB33" i="29" s="1"/>
  <c r="AJ41" i="29"/>
  <c r="L41" i="29"/>
  <c r="AB41" i="29" s="1"/>
  <c r="L34" i="29"/>
  <c r="AB34" i="29" s="1"/>
  <c r="AH46" i="29"/>
  <c r="AG46" i="29"/>
  <c r="AJ46" i="29"/>
  <c r="L37" i="29"/>
  <c r="AB37" i="29" s="1"/>
  <c r="K45" i="29"/>
  <c r="AA45" i="29" s="1"/>
  <c r="AJ38" i="29"/>
  <c r="AI38" i="29"/>
  <c r="L38" i="29"/>
  <c r="AB38" i="29" s="1"/>
  <c r="K42" i="29"/>
  <c r="AA42" i="29" s="1"/>
  <c r="X37" i="26"/>
  <c r="H68" i="26"/>
  <c r="H69" i="26"/>
  <c r="X76" i="26"/>
  <c r="H73" i="26"/>
  <c r="X69" i="26"/>
  <c r="AG42" i="29" l="1"/>
  <c r="J28" i="30" s="1"/>
  <c r="AH42" i="29"/>
  <c r="AI42" i="29"/>
  <c r="K28" i="30" s="1"/>
  <c r="AJ42" i="29"/>
  <c r="L42" i="29"/>
  <c r="AB42" i="29" s="1"/>
  <c r="DA90" i="26"/>
  <c r="BR88" i="26"/>
  <c r="BS76" i="26"/>
  <c r="BT76" i="26" s="1"/>
  <c r="BR87" i="26"/>
  <c r="CK72" i="26"/>
  <c r="J4" i="30"/>
  <c r="DQ73" i="26"/>
  <c r="CZ72" i="26"/>
  <c r="BR74" i="26"/>
  <c r="BS91" i="26"/>
  <c r="BT91" i="26" s="1"/>
  <c r="EW73" i="26"/>
  <c r="EG75" i="26"/>
  <c r="CJ92" i="26"/>
  <c r="CZ76" i="26"/>
  <c r="HY37" i="26"/>
  <c r="DA70" i="26"/>
  <c r="BS90" i="26"/>
  <c r="BU90" i="26" s="1"/>
  <c r="DP83" i="26"/>
  <c r="BS70" i="26"/>
  <c r="BT70" i="26" s="1"/>
  <c r="BR93" i="26"/>
  <c r="DA92" i="26"/>
  <c r="EV84" i="26"/>
  <c r="DA89" i="26"/>
  <c r="EV76" i="26"/>
  <c r="DP84" i="26"/>
  <c r="EW70" i="26"/>
  <c r="EF89" i="26"/>
  <c r="CJ91" i="26"/>
  <c r="DQ92" i="26"/>
  <c r="DP72" i="26"/>
  <c r="EF71" i="26"/>
  <c r="DA73" i="26"/>
  <c r="EG76" i="26"/>
  <c r="DQ71" i="26"/>
  <c r="HX53" i="26"/>
  <c r="EW81" i="26"/>
  <c r="EV81" i="26"/>
  <c r="EV93" i="26"/>
  <c r="EW93" i="26"/>
  <c r="EV79" i="26"/>
  <c r="EW79" i="26"/>
  <c r="EW82" i="26"/>
  <c r="EV82" i="26"/>
  <c r="EW86" i="26"/>
  <c r="EV86" i="26"/>
  <c r="EV87" i="26"/>
  <c r="EW87" i="26"/>
  <c r="EW80" i="26"/>
  <c r="EV80" i="26"/>
  <c r="EV78" i="26"/>
  <c r="EW78" i="26"/>
  <c r="EW74" i="26"/>
  <c r="EV74" i="26"/>
  <c r="EW88" i="26"/>
  <c r="EV88" i="26"/>
  <c r="EW69" i="26"/>
  <c r="EV69" i="26"/>
  <c r="EW77" i="26"/>
  <c r="EV77" i="26"/>
  <c r="EF81" i="26"/>
  <c r="EG81" i="26"/>
  <c r="EG79" i="26"/>
  <c r="EF79" i="26"/>
  <c r="EF74" i="26"/>
  <c r="EG74" i="26"/>
  <c r="EG88" i="26"/>
  <c r="EF88" i="26"/>
  <c r="EF86" i="26"/>
  <c r="EG86" i="26"/>
  <c r="EG91" i="26"/>
  <c r="EF91" i="26"/>
  <c r="EG93" i="26"/>
  <c r="EF93" i="26"/>
  <c r="EF69" i="26"/>
  <c r="EG69" i="26"/>
  <c r="EF92" i="26"/>
  <c r="EG77" i="26"/>
  <c r="EF77" i="26"/>
  <c r="EF80" i="26"/>
  <c r="EG80" i="26"/>
  <c r="EF83" i="26"/>
  <c r="EG83" i="26"/>
  <c r="EG87" i="26"/>
  <c r="EF87" i="26"/>
  <c r="EG78" i="26"/>
  <c r="EF78" i="26"/>
  <c r="DQ81" i="26"/>
  <c r="DP81" i="26"/>
  <c r="DP88" i="26"/>
  <c r="DQ88" i="26"/>
  <c r="DP77" i="26"/>
  <c r="DQ77" i="26"/>
  <c r="DQ87" i="26"/>
  <c r="DP87" i="26"/>
  <c r="DQ78" i="26"/>
  <c r="DP78" i="26"/>
  <c r="DP79" i="26"/>
  <c r="DQ79" i="26"/>
  <c r="DQ86" i="26"/>
  <c r="DP86" i="26"/>
  <c r="DQ76" i="26"/>
  <c r="DP76" i="26"/>
  <c r="DP74" i="26"/>
  <c r="DQ74" i="26"/>
  <c r="DQ69" i="26"/>
  <c r="DP69" i="26"/>
  <c r="DP93" i="26"/>
  <c r="DQ93" i="26"/>
  <c r="DP80" i="26"/>
  <c r="DQ80" i="26"/>
  <c r="DQ90" i="26"/>
  <c r="DP90" i="26"/>
  <c r="CZ87" i="26"/>
  <c r="DA87" i="26"/>
  <c r="CZ79" i="26"/>
  <c r="DA79" i="26"/>
  <c r="CZ77" i="26"/>
  <c r="DA77" i="26"/>
  <c r="DA80" i="26"/>
  <c r="CZ80" i="26"/>
  <c r="CZ78" i="26"/>
  <c r="DA78" i="26"/>
  <c r="DA81" i="26"/>
  <c r="CZ81" i="26"/>
  <c r="CZ93" i="26"/>
  <c r="DA93" i="26"/>
  <c r="CZ69" i="26"/>
  <c r="DA69" i="26"/>
  <c r="DA86" i="26"/>
  <c r="CZ86" i="26"/>
  <c r="HY45" i="26"/>
  <c r="DA88" i="26"/>
  <c r="CZ88" i="26"/>
  <c r="DA74" i="26"/>
  <c r="CZ74" i="26"/>
  <c r="CJ70" i="26"/>
  <c r="CK70" i="26"/>
  <c r="CK93" i="26"/>
  <c r="CJ93" i="26"/>
  <c r="CK69" i="26"/>
  <c r="CJ69" i="26"/>
  <c r="CJ80" i="26"/>
  <c r="CK80" i="26"/>
  <c r="CK74" i="26"/>
  <c r="CJ74" i="26"/>
  <c r="CJ78" i="26"/>
  <c r="CK78" i="26"/>
  <c r="CJ79" i="26"/>
  <c r="CK79" i="26"/>
  <c r="CK81" i="26"/>
  <c r="CJ81" i="26"/>
  <c r="CK88" i="26"/>
  <c r="CJ88" i="26"/>
  <c r="CJ77" i="26"/>
  <c r="CK77" i="26"/>
  <c r="CJ86" i="26"/>
  <c r="CK86" i="26"/>
  <c r="CJ87" i="26"/>
  <c r="CK87" i="26"/>
  <c r="HY44" i="26"/>
  <c r="HY54" i="26"/>
  <c r="HY48" i="26"/>
  <c r="HX38" i="26"/>
  <c r="HX57" i="26"/>
  <c r="HX59" i="26"/>
  <c r="HY62" i="26"/>
  <c r="HX56" i="26"/>
  <c r="HY51" i="26"/>
  <c r="K4" i="30"/>
  <c r="B4" i="30"/>
  <c r="DQ68" i="26"/>
  <c r="DP68" i="26"/>
  <c r="DA68" i="26"/>
  <c r="CZ68" i="26"/>
  <c r="CK68" i="26"/>
  <c r="CJ68" i="26"/>
  <c r="EV68" i="26"/>
  <c r="EW68" i="26"/>
  <c r="EG68" i="26"/>
  <c r="EF68" i="26"/>
  <c r="J24" i="30"/>
  <c r="J26" i="30"/>
  <c r="K24" i="30"/>
  <c r="J19" i="30"/>
  <c r="J16" i="30"/>
  <c r="K27" i="30"/>
  <c r="K11" i="30"/>
  <c r="F20" i="30"/>
  <c r="F21" i="30"/>
  <c r="F12" i="30"/>
  <c r="F28" i="30"/>
  <c r="F13" i="30"/>
  <c r="F18" i="30"/>
  <c r="J10" i="30"/>
  <c r="K17" i="30"/>
  <c r="K20" i="30"/>
  <c r="K16" i="30"/>
  <c r="K26" i="30"/>
  <c r="J20" i="30"/>
  <c r="K30" i="30"/>
  <c r="J8" i="30"/>
  <c r="J17" i="30"/>
  <c r="F11" i="30"/>
  <c r="F16" i="30"/>
  <c r="F19" i="30"/>
  <c r="F26" i="30"/>
  <c r="F24" i="30"/>
  <c r="F17" i="30"/>
  <c r="J32" i="30"/>
  <c r="J23" i="30"/>
  <c r="K9" i="30"/>
  <c r="J22" i="30"/>
  <c r="K8" i="30"/>
  <c r="K25" i="30"/>
  <c r="J15" i="30"/>
  <c r="K12" i="30"/>
  <c r="J21" i="30"/>
  <c r="K13" i="30"/>
  <c r="J25" i="30"/>
  <c r="F10" i="30"/>
  <c r="F30" i="30"/>
  <c r="F23" i="30"/>
  <c r="F8" i="30"/>
  <c r="F15" i="30"/>
  <c r="F25" i="30"/>
  <c r="K32" i="30"/>
  <c r="J31" i="30"/>
  <c r="J14" i="30"/>
  <c r="K22" i="30"/>
  <c r="J9" i="30"/>
  <c r="J18" i="30"/>
  <c r="J29" i="30"/>
  <c r="K23" i="30"/>
  <c r="K31" i="30"/>
  <c r="J27" i="30"/>
  <c r="K18" i="30"/>
  <c r="J13" i="30"/>
  <c r="J12" i="30"/>
  <c r="F9" i="30"/>
  <c r="F7" i="30"/>
  <c r="F14" i="30"/>
  <c r="F22" i="30"/>
  <c r="F31" i="30"/>
  <c r="F29" i="30"/>
  <c r="J30" i="30"/>
  <c r="K21" i="30"/>
  <c r="K29" i="30"/>
  <c r="J11" i="30"/>
  <c r="K15" i="30"/>
  <c r="K10" i="30"/>
  <c r="K14" i="30"/>
  <c r="K19" i="30"/>
  <c r="H72" i="26"/>
  <c r="H75" i="26"/>
  <c r="H80" i="26"/>
  <c r="H70" i="26"/>
  <c r="H71" i="26"/>
  <c r="H82" i="26"/>
  <c r="I91" i="26"/>
  <c r="H74" i="26"/>
  <c r="I79" i="26"/>
  <c r="H81" i="26"/>
  <c r="I89" i="26"/>
  <c r="H76" i="26"/>
  <c r="H88" i="26"/>
  <c r="EX59" i="26"/>
  <c r="H37" i="26"/>
  <c r="EX48" i="26"/>
  <c r="EX58" i="26"/>
  <c r="EX49" i="26"/>
  <c r="EX44" i="26"/>
  <c r="AO92" i="26"/>
  <c r="AN92" i="26"/>
  <c r="FM47" i="26"/>
  <c r="FL47" i="26"/>
  <c r="GR37" i="26"/>
  <c r="GS37" i="26"/>
  <c r="EF62" i="26"/>
  <c r="EG62" i="26"/>
  <c r="AN90" i="26"/>
  <c r="AO90" i="26"/>
  <c r="HI55" i="26"/>
  <c r="HH55" i="26"/>
  <c r="EG45" i="26"/>
  <c r="EF45" i="26"/>
  <c r="CK61" i="26"/>
  <c r="CJ61" i="26"/>
  <c r="GB44" i="26"/>
  <c r="GC44" i="26"/>
  <c r="HI50" i="26"/>
  <c r="HH50" i="26"/>
  <c r="DA45" i="26"/>
  <c r="CZ45" i="26"/>
  <c r="FM55" i="26"/>
  <c r="FL55" i="26"/>
  <c r="GB49" i="26"/>
  <c r="GC49" i="26"/>
  <c r="GS53" i="26"/>
  <c r="GR53" i="26"/>
  <c r="BD42" i="26"/>
  <c r="BE42" i="26"/>
  <c r="GB43" i="26"/>
  <c r="GC43" i="26"/>
  <c r="FL43" i="26"/>
  <c r="FM43" i="26"/>
  <c r="BT81" i="26"/>
  <c r="BU81" i="26"/>
  <c r="HH46" i="26"/>
  <c r="HI46" i="26"/>
  <c r="GC47" i="26"/>
  <c r="GB47" i="26"/>
  <c r="AO42" i="26"/>
  <c r="AN42" i="26"/>
  <c r="CZ37" i="26"/>
  <c r="DA37" i="26"/>
  <c r="BE78" i="26"/>
  <c r="BD78" i="26"/>
  <c r="BT89" i="26"/>
  <c r="BU89" i="26"/>
  <c r="BU50" i="26"/>
  <c r="BT50" i="26"/>
  <c r="FL51" i="26"/>
  <c r="FM51" i="26"/>
  <c r="GB52" i="26"/>
  <c r="GC52" i="26"/>
  <c r="EF51" i="26"/>
  <c r="EG51" i="26"/>
  <c r="GB62" i="26"/>
  <c r="GC62" i="26"/>
  <c r="BD47" i="26"/>
  <c r="BE47" i="26"/>
  <c r="DA55" i="26"/>
  <c r="CZ55" i="26"/>
  <c r="GR51" i="26"/>
  <c r="GS51" i="26"/>
  <c r="BE46" i="26"/>
  <c r="BD46" i="26"/>
  <c r="CZ62" i="26"/>
  <c r="DA62" i="26"/>
  <c r="GB48" i="26"/>
  <c r="GC48" i="26"/>
  <c r="EG55" i="26"/>
  <c r="EF55" i="26"/>
  <c r="BU55" i="26"/>
  <c r="BT55" i="26"/>
  <c r="GC59" i="26"/>
  <c r="GB59" i="26"/>
  <c r="BD84" i="26"/>
  <c r="BE84" i="26"/>
  <c r="AO53" i="26"/>
  <c r="AN53" i="26"/>
  <c r="GS41" i="26"/>
  <c r="GR41" i="26"/>
  <c r="BD91" i="26"/>
  <c r="BE91" i="26"/>
  <c r="BD57" i="26"/>
  <c r="BE57" i="26"/>
  <c r="DA59" i="26"/>
  <c r="CZ59" i="26"/>
  <c r="FL40" i="26"/>
  <c r="FM40" i="26"/>
  <c r="DQ38" i="26"/>
  <c r="DP38" i="26"/>
  <c r="BU92" i="26"/>
  <c r="BT92" i="26"/>
  <c r="CK48" i="26"/>
  <c r="CJ48" i="26"/>
  <c r="AO59" i="26"/>
  <c r="AN59" i="26"/>
  <c r="BE85" i="26"/>
  <c r="BD85" i="26"/>
  <c r="CZ48" i="26"/>
  <c r="DA48" i="26"/>
  <c r="BT75" i="26"/>
  <c r="BU75" i="26"/>
  <c r="BU58" i="26"/>
  <c r="BT58" i="26"/>
  <c r="CK55" i="26"/>
  <c r="CJ55" i="26"/>
  <c r="EG60" i="26"/>
  <c r="EF60" i="26"/>
  <c r="AN87" i="26"/>
  <c r="AO87" i="26"/>
  <c r="HH37" i="26"/>
  <c r="HI37" i="26"/>
  <c r="DA58" i="26"/>
  <c r="CZ58" i="26"/>
  <c r="AN72" i="26"/>
  <c r="AO72" i="26"/>
  <c r="HH59" i="26"/>
  <c r="HI59" i="26"/>
  <c r="AO61" i="26"/>
  <c r="AN61" i="26"/>
  <c r="AN78" i="26"/>
  <c r="AO78" i="26"/>
  <c r="HH40" i="26"/>
  <c r="HI40" i="26"/>
  <c r="FL53" i="26"/>
  <c r="FM53" i="26"/>
  <c r="DP52" i="26"/>
  <c r="DQ52" i="26"/>
  <c r="BT93" i="26"/>
  <c r="BU93" i="26"/>
  <c r="BT48" i="26"/>
  <c r="BU48" i="26"/>
  <c r="CK57" i="26"/>
  <c r="CJ57" i="26"/>
  <c r="EF54" i="26"/>
  <c r="EG54" i="26"/>
  <c r="DA57" i="26"/>
  <c r="CZ57" i="26"/>
  <c r="DP54" i="26"/>
  <c r="DQ54" i="26"/>
  <c r="AN56" i="26"/>
  <c r="AO56" i="26"/>
  <c r="BE87" i="26"/>
  <c r="BD87" i="26"/>
  <c r="FM54" i="26"/>
  <c r="FL54" i="26"/>
  <c r="BE79" i="26"/>
  <c r="BD79" i="26"/>
  <c r="FM49" i="26"/>
  <c r="FL49" i="26"/>
  <c r="BU39" i="26"/>
  <c r="BT39" i="26"/>
  <c r="GS56" i="26"/>
  <c r="GR56" i="26"/>
  <c r="AN82" i="26"/>
  <c r="AO82" i="26"/>
  <c r="BD68" i="26"/>
  <c r="BE68" i="26"/>
  <c r="DA42" i="26"/>
  <c r="CZ42" i="26"/>
  <c r="HI62" i="26"/>
  <c r="HH62" i="26"/>
  <c r="FM45" i="26"/>
  <c r="FL45" i="26"/>
  <c r="BT68" i="26"/>
  <c r="BU68" i="26"/>
  <c r="EF40" i="26"/>
  <c r="EG40" i="26"/>
  <c r="BD77" i="26"/>
  <c r="BE77" i="26"/>
  <c r="BU45" i="26"/>
  <c r="BT45" i="26"/>
  <c r="AN40" i="26"/>
  <c r="AO40" i="26"/>
  <c r="AO73" i="26"/>
  <c r="AN73" i="26"/>
  <c r="BD90" i="26"/>
  <c r="BE90" i="26"/>
  <c r="HH57" i="26"/>
  <c r="HI57" i="26"/>
  <c r="DQ42" i="26"/>
  <c r="DP42" i="26"/>
  <c r="BU84" i="26"/>
  <c r="BT84" i="26"/>
  <c r="AN58" i="26"/>
  <c r="AO58" i="26"/>
  <c r="GR38" i="26"/>
  <c r="GS38" i="26"/>
  <c r="BE61" i="26"/>
  <c r="BD61" i="26"/>
  <c r="CK38" i="26"/>
  <c r="CJ38" i="26"/>
  <c r="FM58" i="26"/>
  <c r="FL58" i="26"/>
  <c r="EF56" i="26"/>
  <c r="EG56" i="26"/>
  <c r="GR61" i="26"/>
  <c r="GS61" i="26"/>
  <c r="HH61" i="26"/>
  <c r="HI61" i="26"/>
  <c r="EF49" i="26"/>
  <c r="EG49" i="26"/>
  <c r="EX47" i="26"/>
  <c r="EX43" i="26"/>
  <c r="EX53" i="26"/>
  <c r="EX56" i="26"/>
  <c r="EX55" i="26"/>
  <c r="DP48" i="26"/>
  <c r="DQ48" i="26"/>
  <c r="BT40" i="26"/>
  <c r="BU40" i="26"/>
  <c r="BD44" i="26"/>
  <c r="BE44" i="26"/>
  <c r="CK60" i="26"/>
  <c r="CJ60" i="26"/>
  <c r="AN51" i="26"/>
  <c r="AO51" i="26"/>
  <c r="CZ56" i="26"/>
  <c r="DA56" i="26"/>
  <c r="BD48" i="26"/>
  <c r="BE48" i="26"/>
  <c r="DA61" i="26"/>
  <c r="CZ61" i="26"/>
  <c r="GC53" i="26"/>
  <c r="GB53" i="26"/>
  <c r="GS39" i="26"/>
  <c r="GR39" i="26"/>
  <c r="DP47" i="26"/>
  <c r="DQ47" i="26"/>
  <c r="AN62" i="26"/>
  <c r="AO62" i="26"/>
  <c r="AN85" i="26"/>
  <c r="AO85" i="26"/>
  <c r="BE51" i="26"/>
  <c r="BD51" i="26"/>
  <c r="DA46" i="26"/>
  <c r="CZ46" i="26"/>
  <c r="HH42" i="26"/>
  <c r="HI42" i="26"/>
  <c r="DP40" i="26"/>
  <c r="DQ40" i="26"/>
  <c r="EF47" i="26"/>
  <c r="EG47" i="26"/>
  <c r="CJ52" i="26"/>
  <c r="CK52" i="26"/>
  <c r="GR44" i="26"/>
  <c r="GS44" i="26"/>
  <c r="AO68" i="26"/>
  <c r="AN68" i="26"/>
  <c r="DQ51" i="26"/>
  <c r="DP51" i="26"/>
  <c r="BU82" i="26"/>
  <c r="BT82" i="26"/>
  <c r="EG59" i="26"/>
  <c r="EF59" i="26"/>
  <c r="CJ42" i="26"/>
  <c r="CK42" i="26"/>
  <c r="AN52" i="26"/>
  <c r="AO52" i="26"/>
  <c r="BE55" i="26"/>
  <c r="BD55" i="26"/>
  <c r="BU46" i="26"/>
  <c r="BT46" i="26"/>
  <c r="GS46" i="26"/>
  <c r="GR46" i="26"/>
  <c r="DQ53" i="26"/>
  <c r="DP53" i="26"/>
  <c r="CZ60" i="26"/>
  <c r="DA60" i="26"/>
  <c r="GC61" i="26"/>
  <c r="GB61" i="26"/>
  <c r="DQ44" i="26"/>
  <c r="DP44" i="26"/>
  <c r="BT74" i="26"/>
  <c r="BU74" i="26"/>
  <c r="EG57" i="26"/>
  <c r="EF57" i="26"/>
  <c r="BT60" i="26"/>
  <c r="BU60" i="26"/>
  <c r="AO84" i="26"/>
  <c r="AN84" i="26"/>
  <c r="HH43" i="26"/>
  <c r="HI43" i="26"/>
  <c r="EG44" i="26"/>
  <c r="EF44" i="26"/>
  <c r="GR60" i="26"/>
  <c r="GS60" i="26"/>
  <c r="HH39" i="26"/>
  <c r="HI39" i="26"/>
  <c r="BD70" i="26"/>
  <c r="BE70" i="26"/>
  <c r="BE50" i="26"/>
  <c r="BD50" i="26"/>
  <c r="GC55" i="26"/>
  <c r="GB55" i="26"/>
  <c r="GR58" i="26"/>
  <c r="GS58" i="26"/>
  <c r="BT83" i="26"/>
  <c r="BU83" i="26"/>
  <c r="BT52" i="26"/>
  <c r="BU52" i="26"/>
  <c r="AN76" i="26"/>
  <c r="AO76" i="26"/>
  <c r="CZ41" i="26"/>
  <c r="DA41" i="26"/>
  <c r="HH52" i="26"/>
  <c r="HI52" i="26"/>
  <c r="DQ45" i="26"/>
  <c r="DP45" i="26"/>
  <c r="BU37" i="26"/>
  <c r="BT37" i="26"/>
  <c r="CJ44" i="26"/>
  <c r="CK44" i="26"/>
  <c r="BU49" i="26"/>
  <c r="BT49" i="26"/>
  <c r="AO70" i="26"/>
  <c r="AN70" i="26"/>
  <c r="HH51" i="26"/>
  <c r="HI51" i="26"/>
  <c r="EX62" i="26"/>
  <c r="EX39" i="26"/>
  <c r="DP55" i="26"/>
  <c r="DQ55" i="26"/>
  <c r="CK50" i="26"/>
  <c r="CJ50" i="26"/>
  <c r="AO93" i="26"/>
  <c r="AN93" i="26"/>
  <c r="FM42" i="26"/>
  <c r="FL42" i="26"/>
  <c r="GB39" i="26"/>
  <c r="GC39" i="26"/>
  <c r="BU43" i="26"/>
  <c r="BT43" i="26"/>
  <c r="AO39" i="26"/>
  <c r="AN39" i="26"/>
  <c r="AO75" i="26"/>
  <c r="AN75" i="26"/>
  <c r="FL50" i="26"/>
  <c r="FM50" i="26"/>
  <c r="AO57" i="26"/>
  <c r="AN57" i="26"/>
  <c r="BD52" i="26"/>
  <c r="BE52" i="26"/>
  <c r="AN43" i="26"/>
  <c r="AO43" i="26"/>
  <c r="AO60" i="26"/>
  <c r="AN60" i="26"/>
  <c r="GC46" i="26"/>
  <c r="GB46" i="26"/>
  <c r="BU69" i="26"/>
  <c r="BT69" i="26"/>
  <c r="AO46" i="26"/>
  <c r="AN46" i="26"/>
  <c r="HH58" i="26"/>
  <c r="HI58" i="26"/>
  <c r="BD71" i="26"/>
  <c r="BE71" i="26"/>
  <c r="BD59" i="26"/>
  <c r="BE59" i="26"/>
  <c r="BD74" i="26"/>
  <c r="BE74" i="26"/>
  <c r="CJ45" i="26"/>
  <c r="CK45" i="26"/>
  <c r="HI48" i="26"/>
  <c r="HH48" i="26"/>
  <c r="DP49" i="26"/>
  <c r="DQ49" i="26"/>
  <c r="EG58" i="26"/>
  <c r="EF58" i="26"/>
  <c r="FL39" i="26"/>
  <c r="FM39" i="26"/>
  <c r="DQ60" i="26"/>
  <c r="DP60" i="26"/>
  <c r="GR55" i="26"/>
  <c r="GS55" i="26"/>
  <c r="GC41" i="26"/>
  <c r="GB41" i="26"/>
  <c r="GR42" i="26"/>
  <c r="GS42" i="26"/>
  <c r="GB56" i="26"/>
  <c r="GC56" i="26"/>
  <c r="BU77" i="26"/>
  <c r="BT77" i="26"/>
  <c r="BT44" i="26"/>
  <c r="BU44" i="26"/>
  <c r="CK47" i="26"/>
  <c r="CJ47" i="26"/>
  <c r="BD92" i="26"/>
  <c r="BE92" i="26"/>
  <c r="BD38" i="26"/>
  <c r="BE38" i="26"/>
  <c r="HH45" i="26"/>
  <c r="HI45" i="26"/>
  <c r="FL44" i="26"/>
  <c r="FM44" i="26"/>
  <c r="GB40" i="26"/>
  <c r="GC40" i="26"/>
  <c r="CK40" i="26"/>
  <c r="CJ40" i="26"/>
  <c r="BU85" i="26"/>
  <c r="BT85" i="26"/>
  <c r="CZ40" i="26"/>
  <c r="DA40" i="26"/>
  <c r="DQ50" i="26"/>
  <c r="DP50" i="26"/>
  <c r="GC57" i="26"/>
  <c r="GB57" i="26"/>
  <c r="CZ44" i="26"/>
  <c r="DA44" i="26"/>
  <c r="AN48" i="26"/>
  <c r="AO48" i="26"/>
  <c r="GR49" i="26"/>
  <c r="GS49" i="26"/>
  <c r="AO88" i="26"/>
  <c r="AN88" i="26"/>
  <c r="BE73" i="26"/>
  <c r="BD73" i="26"/>
  <c r="BD41" i="26"/>
  <c r="BE41" i="26"/>
  <c r="FL48" i="26"/>
  <c r="FM48" i="26"/>
  <c r="BU80" i="26"/>
  <c r="BT80" i="26"/>
  <c r="CK54" i="26"/>
  <c r="CJ54" i="26"/>
  <c r="BE49" i="26"/>
  <c r="BD49" i="26"/>
  <c r="DP56" i="26"/>
  <c r="DQ56" i="26"/>
  <c r="BU62" i="26"/>
  <c r="BT62" i="26"/>
  <c r="EG43" i="26"/>
  <c r="EF43" i="26"/>
  <c r="AO37" i="26"/>
  <c r="AN37" i="26"/>
  <c r="AO81" i="26"/>
  <c r="AN81" i="26"/>
  <c r="HI56" i="26"/>
  <c r="HH56" i="26"/>
  <c r="FM52" i="26"/>
  <c r="FL52" i="26"/>
  <c r="DP41" i="26"/>
  <c r="DQ41" i="26"/>
  <c r="AO89" i="26"/>
  <c r="AN89" i="26"/>
  <c r="DP57" i="26"/>
  <c r="DQ57" i="26"/>
  <c r="BE45" i="26"/>
  <c r="BD45" i="26"/>
  <c r="GR48" i="26"/>
  <c r="GS48" i="26"/>
  <c r="BE88" i="26"/>
  <c r="BD88" i="26"/>
  <c r="BE37" i="26"/>
  <c r="BD37" i="26"/>
  <c r="FL38" i="26"/>
  <c r="FM38" i="26"/>
  <c r="BT71" i="26"/>
  <c r="BU71" i="26"/>
  <c r="EG61" i="26"/>
  <c r="EF61" i="26"/>
  <c r="GS40" i="26"/>
  <c r="GR40" i="26"/>
  <c r="BD76" i="26"/>
  <c r="BE76" i="26"/>
  <c r="GC50" i="26"/>
  <c r="GB50" i="26"/>
  <c r="DP39" i="26"/>
  <c r="DQ39" i="26"/>
  <c r="AO50" i="26"/>
  <c r="AN50" i="26"/>
  <c r="BE60" i="26"/>
  <c r="BD60" i="26"/>
  <c r="EG48" i="26"/>
  <c r="EF48" i="26"/>
  <c r="EX54" i="26"/>
  <c r="EX42" i="26"/>
  <c r="EX40" i="26"/>
  <c r="EX60" i="26"/>
  <c r="EX52" i="26"/>
  <c r="AN38" i="26"/>
  <c r="AO38" i="26"/>
  <c r="BD62" i="26"/>
  <c r="BE62" i="26"/>
  <c r="BT78" i="26"/>
  <c r="BU78" i="26"/>
  <c r="CZ47" i="26"/>
  <c r="DA47" i="26"/>
  <c r="EF37" i="26"/>
  <c r="EG37" i="26"/>
  <c r="AO83" i="26"/>
  <c r="AN83" i="26"/>
  <c r="BE72" i="26"/>
  <c r="BD72" i="26"/>
  <c r="FL57" i="26"/>
  <c r="FM57" i="26"/>
  <c r="EF50" i="26"/>
  <c r="EG50" i="26"/>
  <c r="CJ59" i="26"/>
  <c r="CK59" i="26"/>
  <c r="AN77" i="26"/>
  <c r="AO77" i="26"/>
  <c r="CK46" i="26"/>
  <c r="CJ46" i="26"/>
  <c r="HH49" i="26"/>
  <c r="HI49" i="26"/>
  <c r="AN49" i="26"/>
  <c r="AO49" i="26"/>
  <c r="HH44" i="26"/>
  <c r="HI44" i="26"/>
  <c r="BU53" i="26"/>
  <c r="BT53" i="26"/>
  <c r="BU59" i="26"/>
  <c r="BT59" i="26"/>
  <c r="BE53" i="26"/>
  <c r="BD53" i="26"/>
  <c r="GR45" i="26"/>
  <c r="GS45" i="26"/>
  <c r="BT56" i="26"/>
  <c r="BU56" i="26"/>
  <c r="FL61" i="26"/>
  <c r="FM61" i="26"/>
  <c r="CK39" i="26"/>
  <c r="CJ39" i="26"/>
  <c r="AO74" i="26"/>
  <c r="AN74" i="26"/>
  <c r="HH54" i="26"/>
  <c r="HI54" i="26"/>
  <c r="GS43" i="26"/>
  <c r="GR43" i="26"/>
  <c r="BU88" i="26"/>
  <c r="BT88" i="26"/>
  <c r="BE82" i="26"/>
  <c r="BD82" i="26"/>
  <c r="GS62" i="26"/>
  <c r="GR62" i="26"/>
  <c r="AN80" i="26"/>
  <c r="AO80" i="26"/>
  <c r="HH60" i="26"/>
  <c r="HI60" i="26"/>
  <c r="FL37" i="26"/>
  <c r="FM37" i="26"/>
  <c r="GC60" i="26"/>
  <c r="GB60" i="26"/>
  <c r="EF52" i="26"/>
  <c r="EG52" i="26"/>
  <c r="CJ53" i="26"/>
  <c r="CK53" i="26"/>
  <c r="DA43" i="26"/>
  <c r="CZ43" i="26"/>
  <c r="DQ61" i="26"/>
  <c r="DP61" i="26"/>
  <c r="BT86" i="26"/>
  <c r="BU86" i="26"/>
  <c r="EF46" i="26"/>
  <c r="EG46" i="26"/>
  <c r="BD93" i="26"/>
  <c r="BE93" i="26"/>
  <c r="GC38" i="26"/>
  <c r="GB38" i="26"/>
  <c r="AN44" i="26"/>
  <c r="AO44" i="26"/>
  <c r="GC45" i="26"/>
  <c r="GB45" i="26"/>
  <c r="GS54" i="26"/>
  <c r="GR54" i="26"/>
  <c r="AN79" i="26"/>
  <c r="AO79" i="26"/>
  <c r="BD81" i="26"/>
  <c r="BE81" i="26"/>
  <c r="CZ54" i="26"/>
  <c r="DA54" i="26"/>
  <c r="HI38" i="26"/>
  <c r="HH38" i="26"/>
  <c r="DQ37" i="26"/>
  <c r="DP37" i="26"/>
  <c r="CJ37" i="26"/>
  <c r="CK37" i="26"/>
  <c r="BT41" i="26"/>
  <c r="BU41" i="26"/>
  <c r="EG39" i="26"/>
  <c r="EF39" i="26"/>
  <c r="BE69" i="26"/>
  <c r="BD69" i="26"/>
  <c r="DA51" i="26"/>
  <c r="CZ51" i="26"/>
  <c r="HI47" i="26"/>
  <c r="HH47" i="26"/>
  <c r="GB37" i="26"/>
  <c r="GC37" i="26"/>
  <c r="DQ46" i="26"/>
  <c r="DP46" i="26"/>
  <c r="CK43" i="26"/>
  <c r="CJ43" i="26"/>
  <c r="FL41" i="26"/>
  <c r="FM41" i="26"/>
  <c r="AO54" i="26"/>
  <c r="AN54" i="26"/>
  <c r="AN91" i="26"/>
  <c r="AO91" i="26"/>
  <c r="GC51" i="26"/>
  <c r="GB51" i="26"/>
  <c r="EF41" i="26"/>
  <c r="EG41" i="26"/>
  <c r="BT51" i="26"/>
  <c r="BU51" i="26"/>
  <c r="CJ41" i="26"/>
  <c r="CK41" i="26"/>
  <c r="AN45" i="26"/>
  <c r="AO45" i="26"/>
  <c r="AO86" i="26"/>
  <c r="AN86" i="26"/>
  <c r="EF42" i="26"/>
  <c r="EG42" i="26"/>
  <c r="GR59" i="26"/>
  <c r="GS59" i="26"/>
  <c r="CJ49" i="26"/>
  <c r="CK49" i="26"/>
  <c r="BE86" i="26"/>
  <c r="BD86" i="26"/>
  <c r="EX51" i="26"/>
  <c r="EX45" i="26"/>
  <c r="EX46" i="26"/>
  <c r="EX57" i="26"/>
  <c r="EX37" i="26"/>
  <c r="DP62" i="26"/>
  <c r="DQ62" i="26"/>
  <c r="GC54" i="26"/>
  <c r="GB54" i="26"/>
  <c r="BT61" i="26"/>
  <c r="BU61" i="26"/>
  <c r="CJ58" i="26"/>
  <c r="CK58" i="26"/>
  <c r="CZ38" i="26"/>
  <c r="DA38" i="26"/>
  <c r="BE75" i="26"/>
  <c r="BD75" i="26"/>
  <c r="GS57" i="26"/>
  <c r="GR57" i="26"/>
  <c r="BT72" i="26"/>
  <c r="BU72" i="26"/>
  <c r="AN69" i="26"/>
  <c r="AO69" i="26"/>
  <c r="GS50" i="26"/>
  <c r="GR50" i="26"/>
  <c r="BE89" i="26"/>
  <c r="BD89" i="26"/>
  <c r="DA53" i="26"/>
  <c r="CZ53" i="26"/>
  <c r="BU73" i="26"/>
  <c r="BT73" i="26"/>
  <c r="BT57" i="26"/>
  <c r="BU57" i="26"/>
  <c r="BU42" i="26"/>
  <c r="BT42" i="26"/>
  <c r="AN47" i="26"/>
  <c r="AO47" i="26"/>
  <c r="BE80" i="26"/>
  <c r="BD80" i="26"/>
  <c r="BD58" i="26"/>
  <c r="BE58" i="26"/>
  <c r="FM56" i="26"/>
  <c r="FL56" i="26"/>
  <c r="GC42" i="26"/>
  <c r="GB42" i="26"/>
  <c r="BU54" i="26"/>
  <c r="BT54" i="26"/>
  <c r="CK51" i="26"/>
  <c r="CJ51" i="26"/>
  <c r="BU38" i="26"/>
  <c r="BT38" i="26"/>
  <c r="CJ62" i="26"/>
  <c r="CK62" i="26"/>
  <c r="BE83" i="26"/>
  <c r="BD83" i="26"/>
  <c r="FM60" i="26"/>
  <c r="FL60" i="26"/>
  <c r="EG38" i="26"/>
  <c r="EF38" i="26"/>
  <c r="BE54" i="26"/>
  <c r="BD54" i="26"/>
  <c r="CJ56" i="26"/>
  <c r="CK56" i="26"/>
  <c r="BD39" i="26"/>
  <c r="BE39" i="26"/>
  <c r="FL59" i="26"/>
  <c r="FM59" i="26"/>
  <c r="EG53" i="26"/>
  <c r="EF53" i="26"/>
  <c r="BU47" i="26"/>
  <c r="BT47" i="26"/>
  <c r="BE56" i="26"/>
  <c r="BD56" i="26"/>
  <c r="FL62" i="26"/>
  <c r="FM62" i="26"/>
  <c r="DA39" i="26"/>
  <c r="CZ39" i="26"/>
  <c r="BT79" i="26"/>
  <c r="BU79" i="26"/>
  <c r="AN41" i="26"/>
  <c r="AO41" i="26"/>
  <c r="DA49" i="26"/>
  <c r="CZ49" i="26"/>
  <c r="BT87" i="26"/>
  <c r="BU87" i="26"/>
  <c r="AO55" i="26"/>
  <c r="AN55" i="26"/>
  <c r="GR47" i="26"/>
  <c r="GS47" i="26"/>
  <c r="BE43" i="26"/>
  <c r="BD43" i="26"/>
  <c r="GC58" i="26"/>
  <c r="GB58" i="26"/>
  <c r="AN71" i="26"/>
  <c r="AO71" i="26"/>
  <c r="GS52" i="26"/>
  <c r="GR52" i="26"/>
  <c r="BE40" i="26"/>
  <c r="BD40" i="26"/>
  <c r="DA50" i="26"/>
  <c r="CZ50" i="26"/>
  <c r="HH41" i="26"/>
  <c r="HI41" i="26"/>
  <c r="FL46" i="26"/>
  <c r="FM46" i="26"/>
  <c r="DQ59" i="26"/>
  <c r="DP59" i="26"/>
  <c r="HI53" i="26"/>
  <c r="HH53" i="26"/>
  <c r="CZ52" i="26"/>
  <c r="DA52" i="26"/>
  <c r="DP58" i="26"/>
  <c r="DQ58" i="26"/>
  <c r="DQ43" i="26"/>
  <c r="DP43" i="26"/>
  <c r="EX41" i="26"/>
  <c r="EX50" i="26"/>
  <c r="EX38" i="26"/>
  <c r="EX61" i="26"/>
  <c r="X74" i="26"/>
  <c r="Y74" i="26"/>
  <c r="X71" i="26"/>
  <c r="Y71" i="26"/>
  <c r="X85" i="26"/>
  <c r="Y85" i="26"/>
  <c r="X89" i="26"/>
  <c r="Y89" i="26"/>
  <c r="X86" i="26"/>
  <c r="Y86" i="26"/>
  <c r="X88" i="26"/>
  <c r="Y88" i="26"/>
  <c r="X73" i="26"/>
  <c r="Y73" i="26"/>
  <c r="Z39" i="26"/>
  <c r="Z52" i="26"/>
  <c r="Z48" i="26"/>
  <c r="Z51" i="26"/>
  <c r="Z42" i="26"/>
  <c r="Z37" i="26"/>
  <c r="Z49" i="26"/>
  <c r="Z43" i="26"/>
  <c r="Z46" i="26"/>
  <c r="Z61" i="26"/>
  <c r="Z41" i="26"/>
  <c r="Z54" i="26"/>
  <c r="Z38" i="26"/>
  <c r="Z62" i="26"/>
  <c r="Z53" i="26"/>
  <c r="Z57" i="26"/>
  <c r="Z47" i="26"/>
  <c r="Z55" i="26"/>
  <c r="Z44" i="26"/>
  <c r="Z59" i="26"/>
  <c r="Z45" i="26"/>
  <c r="Z40" i="26"/>
  <c r="Z60" i="26"/>
  <c r="Z58" i="26"/>
  <c r="Z56" i="26"/>
  <c r="Z50" i="26"/>
  <c r="X40" i="26"/>
  <c r="X60" i="26"/>
  <c r="X58" i="26"/>
  <c r="I54" i="26"/>
  <c r="J37" i="26" s="1"/>
  <c r="H53" i="26"/>
  <c r="H49" i="26"/>
  <c r="H54" i="26"/>
  <c r="L21" i="29"/>
  <c r="AB21" i="29" s="1"/>
  <c r="AL21" i="29"/>
  <c r="X43" i="26"/>
  <c r="X75" i="26"/>
  <c r="K21" i="29"/>
  <c r="AA21" i="29" s="1"/>
  <c r="AH21" i="29"/>
  <c r="AJ21" i="29"/>
  <c r="AI21" i="29"/>
  <c r="AG21" i="29"/>
  <c r="X70" i="26"/>
  <c r="X59" i="26"/>
  <c r="H50" i="26"/>
  <c r="H42" i="26"/>
  <c r="X52" i="26"/>
  <c r="H38" i="26"/>
  <c r="X56" i="26"/>
  <c r="H40" i="26"/>
  <c r="X72" i="26"/>
  <c r="H47" i="26"/>
  <c r="X81" i="26"/>
  <c r="X68" i="26"/>
  <c r="X42" i="26"/>
  <c r="H56" i="26"/>
  <c r="X82" i="26"/>
  <c r="X62" i="26"/>
  <c r="X39" i="26"/>
  <c r="X93" i="26"/>
  <c r="X44" i="26"/>
  <c r="H59" i="26"/>
  <c r="X41" i="26"/>
  <c r="H39" i="26"/>
  <c r="H41" i="26"/>
  <c r="H44" i="26"/>
  <c r="H55" i="26"/>
  <c r="P11" i="21"/>
  <c r="R11" i="21" s="1"/>
  <c r="P18" i="21"/>
  <c r="R18" i="21" s="1"/>
  <c r="P29" i="21"/>
  <c r="U29" i="21" s="1"/>
  <c r="P28" i="21"/>
  <c r="Q28" i="21" s="1"/>
  <c r="P14" i="21"/>
  <c r="R14" i="21" s="1"/>
  <c r="P34" i="21"/>
  <c r="R34" i="21" s="1"/>
  <c r="P23" i="21"/>
  <c r="U23" i="21" s="1"/>
  <c r="P10" i="21"/>
  <c r="R10" i="21" s="1"/>
  <c r="P32" i="21"/>
  <c r="U32" i="21" s="1"/>
  <c r="P24" i="21"/>
  <c r="Q24" i="21" s="1"/>
  <c r="P31" i="21"/>
  <c r="Q31" i="21" s="1"/>
  <c r="P27" i="21"/>
  <c r="Q27" i="21" s="1"/>
  <c r="P20" i="21"/>
  <c r="T20" i="21" s="1"/>
  <c r="AC20" i="21" s="1"/>
  <c r="P16" i="21"/>
  <c r="R16" i="21" s="1"/>
  <c r="P12" i="21"/>
  <c r="R12" i="21" s="1"/>
  <c r="P13" i="21"/>
  <c r="R13" i="21" s="1"/>
  <c r="P9" i="21"/>
  <c r="Q9" i="21" s="1"/>
  <c r="P30" i="21"/>
  <c r="Q30" i="21" s="1"/>
  <c r="P26" i="21"/>
  <c r="Q26" i="21" s="1"/>
  <c r="P22" i="21"/>
  <c r="Q22" i="21" s="1"/>
  <c r="P33" i="21"/>
  <c r="T33" i="21" s="1"/>
  <c r="AC33" i="21" s="1"/>
  <c r="P25" i="21"/>
  <c r="Q25" i="21" s="1"/>
  <c r="P21" i="21"/>
  <c r="U21" i="21" s="1"/>
  <c r="P19" i="21"/>
  <c r="R19" i="21" s="1"/>
  <c r="P17" i="21"/>
  <c r="R17" i="21" s="1"/>
  <c r="P15" i="21"/>
  <c r="R15" i="21" s="1"/>
  <c r="BU76" i="26" l="1"/>
  <c r="BU91" i="26"/>
  <c r="BT90" i="26"/>
  <c r="BU70" i="26"/>
  <c r="EX84" i="26"/>
  <c r="EH71" i="26"/>
  <c r="CL71" i="26"/>
  <c r="HZ56" i="26"/>
  <c r="HZ58" i="26"/>
  <c r="HZ45" i="26"/>
  <c r="HZ51" i="26"/>
  <c r="HZ47" i="26"/>
  <c r="HZ39" i="26"/>
  <c r="HZ48" i="26"/>
  <c r="HZ38" i="26"/>
  <c r="HZ37" i="26"/>
  <c r="HZ57" i="26"/>
  <c r="HZ60" i="26"/>
  <c r="HZ55" i="26"/>
  <c r="HZ40" i="26"/>
  <c r="HZ62" i="26"/>
  <c r="HZ61" i="26"/>
  <c r="HZ49" i="26"/>
  <c r="HZ59" i="26"/>
  <c r="HZ46" i="26"/>
  <c r="HZ52" i="26"/>
  <c r="HZ43" i="26"/>
  <c r="HZ53" i="26"/>
  <c r="HZ54" i="26"/>
  <c r="HZ50" i="26"/>
  <c r="HZ41" i="26"/>
  <c r="HZ44" i="26"/>
  <c r="HZ42" i="26"/>
  <c r="AI32" i="21"/>
  <c r="AI29" i="21"/>
  <c r="AI21" i="21"/>
  <c r="AI23" i="21"/>
  <c r="Y30" i="21"/>
  <c r="X30" i="21"/>
  <c r="Y24" i="21"/>
  <c r="X24" i="21"/>
  <c r="Y26" i="21"/>
  <c r="X26" i="21"/>
  <c r="Y28" i="21"/>
  <c r="X28" i="21"/>
  <c r="Y27" i="21"/>
  <c r="X27" i="21"/>
  <c r="Y25" i="21"/>
  <c r="X25" i="21"/>
  <c r="X31" i="21"/>
  <c r="Y31" i="21"/>
  <c r="X22" i="21"/>
  <c r="Y22" i="21"/>
  <c r="X9" i="21"/>
  <c r="Y9" i="21"/>
  <c r="EX89" i="26"/>
  <c r="DR92" i="26"/>
  <c r="DR88" i="26"/>
  <c r="DR83" i="26"/>
  <c r="DR81" i="26"/>
  <c r="DR90" i="26"/>
  <c r="DR78" i="26"/>
  <c r="DR82" i="26"/>
  <c r="DR74" i="26"/>
  <c r="DR93" i="26"/>
  <c r="DR79" i="26"/>
  <c r="DR89" i="26"/>
  <c r="DR87" i="26"/>
  <c r="DR91" i="26"/>
  <c r="DR84" i="26"/>
  <c r="DR80" i="26"/>
  <c r="DR76" i="26"/>
  <c r="DR85" i="26"/>
  <c r="DR68" i="26"/>
  <c r="DR70" i="26"/>
  <c r="DR77" i="26"/>
  <c r="DR72" i="26"/>
  <c r="DR69" i="26"/>
  <c r="DR73" i="26"/>
  <c r="DR75" i="26"/>
  <c r="DR86" i="26"/>
  <c r="DB68" i="26"/>
  <c r="DB91" i="26"/>
  <c r="DB84" i="26"/>
  <c r="DB69" i="26"/>
  <c r="DB76" i="26"/>
  <c r="DB86" i="26"/>
  <c r="DB83" i="26"/>
  <c r="DB74" i="26"/>
  <c r="DB71" i="26"/>
  <c r="DB72" i="26"/>
  <c r="DB81" i="26"/>
  <c r="DB73" i="26"/>
  <c r="DB90" i="26"/>
  <c r="DB85" i="26"/>
  <c r="DB93" i="26"/>
  <c r="DB82" i="26"/>
  <c r="DB92" i="26"/>
  <c r="DB89" i="26"/>
  <c r="DB78" i="26"/>
  <c r="DB77" i="26"/>
  <c r="DB70" i="26"/>
  <c r="DB88" i="26"/>
  <c r="DB75" i="26"/>
  <c r="DB79" i="26"/>
  <c r="DB80" i="26"/>
  <c r="DB87" i="26"/>
  <c r="EH84" i="26"/>
  <c r="DR71" i="26"/>
  <c r="EH78" i="26"/>
  <c r="EH75" i="26"/>
  <c r="EH86" i="26"/>
  <c r="EH70" i="26"/>
  <c r="EH68" i="26"/>
  <c r="EH91" i="26"/>
  <c r="EH82" i="26"/>
  <c r="EH81" i="26"/>
  <c r="EH89" i="26"/>
  <c r="EH83" i="26"/>
  <c r="EH79" i="26"/>
  <c r="EH93" i="26"/>
  <c r="EH77" i="26"/>
  <c r="EH74" i="26"/>
  <c r="EH69" i="26"/>
  <c r="EH80" i="26"/>
  <c r="EH88" i="26"/>
  <c r="EH87" i="26"/>
  <c r="EH73" i="26"/>
  <c r="EH90" i="26"/>
  <c r="EH72" i="26"/>
  <c r="EH92" i="26"/>
  <c r="EH85" i="26"/>
  <c r="CL68" i="26"/>
  <c r="CL74" i="26"/>
  <c r="CL80" i="26"/>
  <c r="CL69" i="26"/>
  <c r="CL93" i="26"/>
  <c r="CL86" i="26"/>
  <c r="CL81" i="26"/>
  <c r="CL79" i="26"/>
  <c r="CL73" i="26"/>
  <c r="CL84" i="26"/>
  <c r="CL82" i="26"/>
  <c r="CL85" i="26"/>
  <c r="CL91" i="26"/>
  <c r="CL92" i="26"/>
  <c r="CL78" i="26"/>
  <c r="CL87" i="26"/>
  <c r="CL83" i="26"/>
  <c r="CL70" i="26"/>
  <c r="CL72" i="26"/>
  <c r="CL90" i="26"/>
  <c r="CL75" i="26"/>
  <c r="CL88" i="26"/>
  <c r="CL77" i="26"/>
  <c r="CL76" i="26"/>
  <c r="CL89" i="26"/>
  <c r="EH76" i="26"/>
  <c r="EX81" i="26"/>
  <c r="EX71" i="26"/>
  <c r="EX86" i="26"/>
  <c r="EX91" i="26"/>
  <c r="EX93" i="26"/>
  <c r="EX79" i="26"/>
  <c r="EX78" i="26"/>
  <c r="EX87" i="26"/>
  <c r="EX72" i="26"/>
  <c r="EX77" i="26"/>
  <c r="EX83" i="26"/>
  <c r="EX69" i="26"/>
  <c r="EX82" i="26"/>
  <c r="EX75" i="26"/>
  <c r="EX90" i="26"/>
  <c r="EX88" i="26"/>
  <c r="EX70" i="26"/>
  <c r="EX68" i="26"/>
  <c r="EX92" i="26"/>
  <c r="EX73" i="26"/>
  <c r="EX74" i="26"/>
  <c r="EX85" i="26"/>
  <c r="EX80" i="26"/>
  <c r="EX76" i="26"/>
  <c r="K7" i="30"/>
  <c r="J7" i="30"/>
  <c r="F6" i="30"/>
  <c r="E23" i="33"/>
  <c r="E32" i="33"/>
  <c r="C15" i="33"/>
  <c r="C18" i="33"/>
  <c r="E29" i="33"/>
  <c r="C16" i="33"/>
  <c r="C34" i="33"/>
  <c r="E21" i="33"/>
  <c r="C19" i="33"/>
  <c r="C13" i="33"/>
  <c r="C10" i="33"/>
  <c r="C12" i="33"/>
  <c r="C17" i="33"/>
  <c r="C11" i="33"/>
  <c r="B24" i="33"/>
  <c r="B26" i="33"/>
  <c r="B31" i="33"/>
  <c r="B28" i="33"/>
  <c r="B22" i="33"/>
  <c r="B27" i="33"/>
  <c r="B30" i="33"/>
  <c r="B25" i="33"/>
  <c r="J92" i="26"/>
  <c r="J86" i="26"/>
  <c r="J91" i="26"/>
  <c r="J68" i="26"/>
  <c r="J83" i="26"/>
  <c r="J70" i="26"/>
  <c r="J93" i="26"/>
  <c r="J76" i="26"/>
  <c r="J75" i="26"/>
  <c r="J79" i="26"/>
  <c r="J74" i="26"/>
  <c r="J80" i="26"/>
  <c r="J73" i="26"/>
  <c r="J89" i="26"/>
  <c r="J69" i="26"/>
  <c r="J84" i="26"/>
  <c r="J77" i="26"/>
  <c r="J78" i="26"/>
  <c r="J90" i="26"/>
  <c r="J82" i="26"/>
  <c r="J81" i="26"/>
  <c r="J71" i="26"/>
  <c r="J85" i="26"/>
  <c r="J87" i="26"/>
  <c r="J88" i="26"/>
  <c r="J72" i="26"/>
  <c r="EY44" i="26"/>
  <c r="EY48" i="26"/>
  <c r="EY61" i="26"/>
  <c r="EZ61" i="26" s="1"/>
  <c r="FA61" i="26" s="1"/>
  <c r="EY60" i="26"/>
  <c r="EY62" i="26"/>
  <c r="EZ62" i="26" s="1"/>
  <c r="FA62" i="26" s="1"/>
  <c r="EY45" i="26"/>
  <c r="EZ45" i="26" s="1"/>
  <c r="FA45" i="26" s="1"/>
  <c r="CL62" i="26"/>
  <c r="AP47" i="26"/>
  <c r="EH41" i="26"/>
  <c r="FN41" i="26"/>
  <c r="BV41" i="26"/>
  <c r="BF93" i="26"/>
  <c r="GT45" i="26"/>
  <c r="HJ44" i="26"/>
  <c r="AP77" i="26"/>
  <c r="DR41" i="26"/>
  <c r="BF41" i="26"/>
  <c r="DB40" i="26"/>
  <c r="GD39" i="26"/>
  <c r="EY52" i="26"/>
  <c r="EY58" i="26"/>
  <c r="FN37" i="26"/>
  <c r="EH59" i="26"/>
  <c r="GD53" i="26"/>
  <c r="CL48" i="26"/>
  <c r="EH55" i="26"/>
  <c r="HJ53" i="26"/>
  <c r="GD60" i="26"/>
  <c r="AP89" i="26"/>
  <c r="DR50" i="26"/>
  <c r="CL50" i="26"/>
  <c r="GT60" i="26"/>
  <c r="AP51" i="26"/>
  <c r="AP40" i="26"/>
  <c r="GD43" i="26"/>
  <c r="DB38" i="26"/>
  <c r="BV51" i="26"/>
  <c r="GT46" i="26"/>
  <c r="GT39" i="26"/>
  <c r="CL38" i="26"/>
  <c r="AP73" i="26"/>
  <c r="DB42" i="26"/>
  <c r="BV39" i="26"/>
  <c r="BF87" i="26"/>
  <c r="AP61" i="26"/>
  <c r="BV58" i="26"/>
  <c r="AP59" i="26"/>
  <c r="GT41" i="26"/>
  <c r="BV55" i="26"/>
  <c r="BF46" i="26"/>
  <c r="BV50" i="26"/>
  <c r="AP42" i="26"/>
  <c r="FN47" i="26"/>
  <c r="EY39" i="26"/>
  <c r="EY38" i="26"/>
  <c r="BF56" i="26"/>
  <c r="FN60" i="26"/>
  <c r="CL51" i="26"/>
  <c r="GT50" i="26"/>
  <c r="BF75" i="26"/>
  <c r="GD54" i="26"/>
  <c r="DR46" i="26"/>
  <c r="BF69" i="26"/>
  <c r="GT43" i="26"/>
  <c r="BV59" i="26"/>
  <c r="AP50" i="26"/>
  <c r="GT40" i="26"/>
  <c r="BF37" i="26"/>
  <c r="HJ56" i="26"/>
  <c r="BV62" i="26"/>
  <c r="AP88" i="26"/>
  <c r="GD57" i="26"/>
  <c r="CL40" i="26"/>
  <c r="AP39" i="26"/>
  <c r="AP93" i="26"/>
  <c r="CL44" i="26"/>
  <c r="DB41" i="26"/>
  <c r="GT58" i="26"/>
  <c r="HJ39" i="26"/>
  <c r="CL42" i="26"/>
  <c r="DR40" i="26"/>
  <c r="AP85" i="26"/>
  <c r="DB56" i="26"/>
  <c r="BV40" i="26"/>
  <c r="HJ61" i="26"/>
  <c r="EH40" i="26"/>
  <c r="EH54" i="26"/>
  <c r="DR52" i="26"/>
  <c r="HJ37" i="26"/>
  <c r="FN40" i="26"/>
  <c r="GD62" i="26"/>
  <c r="FN43" i="26"/>
  <c r="GD49" i="26"/>
  <c r="GD44" i="26"/>
  <c r="GT48" i="26"/>
  <c r="GT42" i="26"/>
  <c r="FN50" i="26"/>
  <c r="DR42" i="26"/>
  <c r="EY54" i="26"/>
  <c r="DR60" i="26"/>
  <c r="AP76" i="26"/>
  <c r="AP62" i="26"/>
  <c r="AP90" i="26"/>
  <c r="EY47" i="26"/>
  <c r="FN57" i="26"/>
  <c r="FN48" i="26"/>
  <c r="EY50" i="26"/>
  <c r="EY56" i="26"/>
  <c r="EZ56" i="26" s="1"/>
  <c r="FA56" i="26" s="1"/>
  <c r="EY59" i="26"/>
  <c r="EZ59" i="26" s="1"/>
  <c r="FA59" i="26" s="1"/>
  <c r="EY57" i="26"/>
  <c r="EZ57" i="26" s="1"/>
  <c r="FA57" i="26" s="1"/>
  <c r="DB52" i="26"/>
  <c r="HJ41" i="26"/>
  <c r="GT47" i="26"/>
  <c r="AP41" i="26"/>
  <c r="BF39" i="26"/>
  <c r="BF58" i="26"/>
  <c r="BV57" i="26"/>
  <c r="GT59" i="26"/>
  <c r="CL41" i="26"/>
  <c r="AP91" i="26"/>
  <c r="BF81" i="26"/>
  <c r="AP44" i="26"/>
  <c r="EH52" i="26"/>
  <c r="AP80" i="26"/>
  <c r="FN61" i="26"/>
  <c r="HJ49" i="26"/>
  <c r="EH50" i="26"/>
  <c r="EH37" i="26"/>
  <c r="AP38" i="26"/>
  <c r="DR57" i="26"/>
  <c r="BF38" i="26"/>
  <c r="GT55" i="26"/>
  <c r="DR49" i="26"/>
  <c r="BF59" i="26"/>
  <c r="BF52" i="26"/>
  <c r="BV49" i="26"/>
  <c r="DR53" i="26"/>
  <c r="DR51" i="26"/>
  <c r="BF51" i="26"/>
  <c r="FN58" i="26"/>
  <c r="HJ62" i="26"/>
  <c r="GT56" i="26"/>
  <c r="FN54" i="26"/>
  <c r="DB57" i="26"/>
  <c r="DB58" i="26"/>
  <c r="CL55" i="26"/>
  <c r="BF85" i="26"/>
  <c r="DR38" i="26"/>
  <c r="GD59" i="26"/>
  <c r="GT53" i="26"/>
  <c r="HJ50" i="26"/>
  <c r="EH45" i="26"/>
  <c r="AP48" i="26"/>
  <c r="CL45" i="26"/>
  <c r="DR55" i="26"/>
  <c r="GD55" i="26"/>
  <c r="BV46" i="26"/>
  <c r="CL57" i="26"/>
  <c r="DB59" i="26"/>
  <c r="AP92" i="26"/>
  <c r="EY55" i="26"/>
  <c r="BF83" i="26"/>
  <c r="DR37" i="26"/>
  <c r="DR61" i="26"/>
  <c r="BV53" i="26"/>
  <c r="BF88" i="26"/>
  <c r="HJ48" i="26"/>
  <c r="BV43" i="26"/>
  <c r="GT44" i="26"/>
  <c r="HJ42" i="26"/>
  <c r="GT61" i="26"/>
  <c r="BF68" i="26"/>
  <c r="FN53" i="26"/>
  <c r="EH51" i="26"/>
  <c r="CL56" i="26"/>
  <c r="DR62" i="26"/>
  <c r="GD37" i="26"/>
  <c r="HJ54" i="26"/>
  <c r="DR56" i="26"/>
  <c r="BF92" i="26"/>
  <c r="BF71" i="26"/>
  <c r="DR44" i="26"/>
  <c r="HJ55" i="26"/>
  <c r="EY42" i="26"/>
  <c r="EY51" i="26"/>
  <c r="EY49" i="26"/>
  <c r="EZ49" i="26" s="1"/>
  <c r="FA49" i="26" s="1"/>
  <c r="GT52" i="26"/>
  <c r="BF43" i="26"/>
  <c r="DB49" i="26"/>
  <c r="EH38" i="26"/>
  <c r="BV38" i="26"/>
  <c r="FN56" i="26"/>
  <c r="BV42" i="26"/>
  <c r="BF89" i="26"/>
  <c r="GT57" i="26"/>
  <c r="GD51" i="26"/>
  <c r="CL43" i="26"/>
  <c r="DB51" i="26"/>
  <c r="GD45" i="26"/>
  <c r="CL39" i="26"/>
  <c r="BF53" i="26"/>
  <c r="AP83" i="26"/>
  <c r="BF60" i="26"/>
  <c r="BF45" i="26"/>
  <c r="FN52" i="26"/>
  <c r="EH43" i="26"/>
  <c r="CL54" i="26"/>
  <c r="BF73" i="26"/>
  <c r="GD41" i="26"/>
  <c r="EH58" i="26"/>
  <c r="AP46" i="26"/>
  <c r="AP75" i="26"/>
  <c r="FN42" i="26"/>
  <c r="HJ52" i="26"/>
  <c r="BF70" i="26"/>
  <c r="HJ43" i="26"/>
  <c r="AP52" i="26"/>
  <c r="EH47" i="26"/>
  <c r="DR47" i="26"/>
  <c r="BF48" i="26"/>
  <c r="BF44" i="26"/>
  <c r="EH49" i="26"/>
  <c r="AP58" i="26"/>
  <c r="BF90" i="26"/>
  <c r="BF77" i="26"/>
  <c r="AP78" i="26"/>
  <c r="BF91" i="26"/>
  <c r="DB62" i="26"/>
  <c r="BF47" i="26"/>
  <c r="FN51" i="26"/>
  <c r="DB37" i="26"/>
  <c r="GT37" i="26"/>
  <c r="CL58" i="26"/>
  <c r="FN44" i="26"/>
  <c r="FN39" i="26"/>
  <c r="BV37" i="26"/>
  <c r="GD61" i="26"/>
  <c r="BF61" i="26"/>
  <c r="FN49" i="26"/>
  <c r="AP53" i="26"/>
  <c r="GD47" i="26"/>
  <c r="AP55" i="26"/>
  <c r="BV47" i="26"/>
  <c r="BF80" i="26"/>
  <c r="AP54" i="26"/>
  <c r="GT62" i="26"/>
  <c r="CL46" i="26"/>
  <c r="EH61" i="26"/>
  <c r="AP81" i="26"/>
  <c r="GD46" i="26"/>
  <c r="HJ51" i="26"/>
  <c r="AP56" i="26"/>
  <c r="AP87" i="26"/>
  <c r="GT51" i="26"/>
  <c r="AP71" i="26"/>
  <c r="EH42" i="26"/>
  <c r="AP79" i="26"/>
  <c r="BV56" i="26"/>
  <c r="DB47" i="26"/>
  <c r="DR39" i="26"/>
  <c r="GT49" i="26"/>
  <c r="GD40" i="26"/>
  <c r="GD56" i="26"/>
  <c r="AP84" i="26"/>
  <c r="AP68" i="26"/>
  <c r="EY53" i="26"/>
  <c r="EZ53" i="26" s="1"/>
  <c r="FA53" i="26" s="1"/>
  <c r="EY43" i="26"/>
  <c r="EY41" i="26"/>
  <c r="DR58" i="26"/>
  <c r="FN46" i="26"/>
  <c r="FN62" i="26"/>
  <c r="FN59" i="26"/>
  <c r="BV61" i="26"/>
  <c r="CL49" i="26"/>
  <c r="AP45" i="26"/>
  <c r="CL37" i="26"/>
  <c r="DB54" i="26"/>
  <c r="EH46" i="26"/>
  <c r="CL53" i="26"/>
  <c r="HJ60" i="26"/>
  <c r="AP49" i="26"/>
  <c r="CL59" i="26"/>
  <c r="BF62" i="26"/>
  <c r="BF76" i="26"/>
  <c r="FN38" i="26"/>
  <c r="DB44" i="26"/>
  <c r="HJ45" i="26"/>
  <c r="BV44" i="26"/>
  <c r="BF74" i="26"/>
  <c r="AP43" i="26"/>
  <c r="AP70" i="26"/>
  <c r="DR45" i="26"/>
  <c r="BF50" i="26"/>
  <c r="EH44" i="26"/>
  <c r="EH57" i="26"/>
  <c r="BF55" i="26"/>
  <c r="DB46" i="26"/>
  <c r="DB61" i="26"/>
  <c r="CL60" i="26"/>
  <c r="BV45" i="26"/>
  <c r="FN45" i="26"/>
  <c r="BF79" i="26"/>
  <c r="EH60" i="26"/>
  <c r="DB55" i="26"/>
  <c r="BF78" i="26"/>
  <c r="DB45" i="26"/>
  <c r="CL61" i="26"/>
  <c r="HJ58" i="26"/>
  <c r="FN55" i="26"/>
  <c r="DB50" i="26"/>
  <c r="BV54" i="26"/>
  <c r="EH39" i="26"/>
  <c r="GD38" i="26"/>
  <c r="AP57" i="26"/>
  <c r="BV60" i="26"/>
  <c r="DR48" i="26"/>
  <c r="HJ59" i="26"/>
  <c r="EY46" i="26"/>
  <c r="EZ46" i="26" s="1"/>
  <c r="FA46" i="26" s="1"/>
  <c r="AP69" i="26"/>
  <c r="EY37" i="26"/>
  <c r="EY40" i="26"/>
  <c r="DR43" i="26"/>
  <c r="DR59" i="26"/>
  <c r="BF40" i="26"/>
  <c r="GD58" i="26"/>
  <c r="DB39" i="26"/>
  <c r="EH53" i="26"/>
  <c r="BF54" i="26"/>
  <c r="GD42" i="26"/>
  <c r="DB53" i="26"/>
  <c r="BF86" i="26"/>
  <c r="AP86" i="26"/>
  <c r="HJ47" i="26"/>
  <c r="HJ38" i="26"/>
  <c r="GT54" i="26"/>
  <c r="DB43" i="26"/>
  <c r="BF82" i="26"/>
  <c r="AP74" i="26"/>
  <c r="BF72" i="26"/>
  <c r="EH48" i="26"/>
  <c r="GD50" i="26"/>
  <c r="AP37" i="26"/>
  <c r="BF49" i="26"/>
  <c r="CL47" i="26"/>
  <c r="AP60" i="26"/>
  <c r="BV52" i="26"/>
  <c r="DB60" i="26"/>
  <c r="CL52" i="26"/>
  <c r="EH56" i="26"/>
  <c r="GT38" i="26"/>
  <c r="HJ57" i="26"/>
  <c r="AP82" i="26"/>
  <c r="DR54" i="26"/>
  <c r="BV48" i="26"/>
  <c r="HJ40" i="26"/>
  <c r="AP72" i="26"/>
  <c r="DB48" i="26"/>
  <c r="BF57" i="26"/>
  <c r="BF84" i="26"/>
  <c r="GD48" i="26"/>
  <c r="GD52" i="26"/>
  <c r="HJ46" i="26"/>
  <c r="BF42" i="26"/>
  <c r="EH62" i="26"/>
  <c r="Z69" i="26"/>
  <c r="Z70" i="26"/>
  <c r="Z92" i="26"/>
  <c r="Z85" i="26"/>
  <c r="Z72" i="26"/>
  <c r="Z71" i="26"/>
  <c r="Z79" i="26"/>
  <c r="Z84" i="26"/>
  <c r="Z80" i="26"/>
  <c r="Z83" i="26"/>
  <c r="Z74" i="26"/>
  <c r="Z78" i="26"/>
  <c r="Z75" i="26"/>
  <c r="Z77" i="26"/>
  <c r="Z89" i="26"/>
  <c r="Z93" i="26"/>
  <c r="Z76" i="26"/>
  <c r="Z88" i="26"/>
  <c r="Z68" i="26"/>
  <c r="Z87" i="26"/>
  <c r="Z86" i="26"/>
  <c r="Z90" i="26"/>
  <c r="Z91" i="26"/>
  <c r="Z73" i="26"/>
  <c r="Z82" i="26"/>
  <c r="Z81" i="26"/>
  <c r="J50" i="26"/>
  <c r="J61" i="26"/>
  <c r="J60" i="26"/>
  <c r="J57" i="26"/>
  <c r="J40" i="26"/>
  <c r="J54" i="26"/>
  <c r="J43" i="26"/>
  <c r="J46" i="26"/>
  <c r="J55" i="26"/>
  <c r="J44" i="26"/>
  <c r="J49" i="26"/>
  <c r="J48" i="26"/>
  <c r="J42" i="26"/>
  <c r="J52" i="26"/>
  <c r="J53" i="26"/>
  <c r="J38" i="26"/>
  <c r="J41" i="26"/>
  <c r="J39" i="26"/>
  <c r="J51" i="26"/>
  <c r="J56" i="26"/>
  <c r="J58" i="26"/>
  <c r="J59" i="26"/>
  <c r="J62" i="26"/>
  <c r="J47" i="26"/>
  <c r="J45" i="26"/>
  <c r="Q32" i="21"/>
  <c r="U11" i="21"/>
  <c r="T11" i="21"/>
  <c r="AC11" i="21" s="1"/>
  <c r="Q11" i="21"/>
  <c r="T29" i="21"/>
  <c r="AC29" i="21" s="1"/>
  <c r="U14" i="21"/>
  <c r="U17" i="21"/>
  <c r="T26" i="21"/>
  <c r="AC26" i="21" s="1"/>
  <c r="Q23" i="21"/>
  <c r="B15" i="29"/>
  <c r="B16" i="29"/>
  <c r="T9" i="21"/>
  <c r="AC9" i="21" s="1"/>
  <c r="V9" i="21"/>
  <c r="T21" i="21"/>
  <c r="AC21" i="21" s="1"/>
  <c r="Q33" i="21"/>
  <c r="U12" i="21"/>
  <c r="R20" i="21"/>
  <c r="U31" i="21"/>
  <c r="U18" i="21"/>
  <c r="U9" i="21"/>
  <c r="T17" i="21"/>
  <c r="AC17" i="21" s="1"/>
  <c r="Q21" i="21"/>
  <c r="Q29" i="21"/>
  <c r="R33" i="21"/>
  <c r="U26" i="21"/>
  <c r="T12" i="21"/>
  <c r="AC12" i="21" s="1"/>
  <c r="T14" i="21"/>
  <c r="AC14" i="21" s="1"/>
  <c r="Q20" i="21"/>
  <c r="T23" i="21"/>
  <c r="AC23" i="21" s="1"/>
  <c r="R31" i="21"/>
  <c r="R32" i="21"/>
  <c r="T22" i="21"/>
  <c r="AC22" i="21" s="1"/>
  <c r="T34" i="21"/>
  <c r="AC34" i="21" s="1"/>
  <c r="T13" i="21"/>
  <c r="AC13" i="21" s="1"/>
  <c r="T10" i="21"/>
  <c r="AC10" i="21" s="1"/>
  <c r="R27" i="21"/>
  <c r="T28" i="21"/>
  <c r="AC28" i="21" s="1"/>
  <c r="U19" i="21"/>
  <c r="U10" i="21"/>
  <c r="U16" i="21"/>
  <c r="T18" i="21"/>
  <c r="AC18" i="21" s="1"/>
  <c r="U34" i="21"/>
  <c r="T24" i="21"/>
  <c r="AC24" i="21" s="1"/>
  <c r="U28" i="21"/>
  <c r="B14" i="29"/>
  <c r="R9" i="21"/>
  <c r="B9" i="33"/>
  <c r="W9" i="21"/>
  <c r="Q17" i="21"/>
  <c r="R21" i="21"/>
  <c r="R29" i="21"/>
  <c r="U33" i="21"/>
  <c r="R26" i="21"/>
  <c r="Q12" i="21"/>
  <c r="Q14" i="21"/>
  <c r="U20" i="21"/>
  <c r="R23" i="21"/>
  <c r="T31" i="21"/>
  <c r="AC31" i="21" s="1"/>
  <c r="T32" i="21"/>
  <c r="AC32" i="21" s="1"/>
  <c r="U13" i="21"/>
  <c r="U15" i="21"/>
  <c r="R25" i="21"/>
  <c r="T30" i="21"/>
  <c r="AC30" i="21" s="1"/>
  <c r="Q10" i="21"/>
  <c r="T16" i="21"/>
  <c r="AC16" i="21" s="1"/>
  <c r="Q18" i="21"/>
  <c r="U27" i="21"/>
  <c r="Q34" i="21"/>
  <c r="U24" i="21"/>
  <c r="R28" i="21"/>
  <c r="Q13" i="21"/>
  <c r="T15" i="21"/>
  <c r="AC15" i="21" s="1"/>
  <c r="T19" i="21"/>
  <c r="AC19" i="21" s="1"/>
  <c r="U25" i="21"/>
  <c r="U22" i="21"/>
  <c r="U30" i="21"/>
  <c r="Q16" i="21"/>
  <c r="T27" i="21"/>
  <c r="AC27" i="21" s="1"/>
  <c r="R24" i="21"/>
  <c r="Q15" i="21"/>
  <c r="Q19" i="21"/>
  <c r="T25" i="21"/>
  <c r="AC25" i="21" s="1"/>
  <c r="R22" i="21"/>
  <c r="R30" i="21"/>
  <c r="C14" i="33"/>
  <c r="W25" i="21"/>
  <c r="V25" i="21"/>
  <c r="W22" i="21"/>
  <c r="V22" i="21"/>
  <c r="W26" i="21"/>
  <c r="V26" i="21"/>
  <c r="W30" i="21"/>
  <c r="V30" i="21"/>
  <c r="W27" i="21"/>
  <c r="V27" i="21"/>
  <c r="W31" i="21"/>
  <c r="V31" i="21"/>
  <c r="W24" i="21"/>
  <c r="V24" i="21"/>
  <c r="W28" i="21"/>
  <c r="V28" i="21"/>
  <c r="B5" i="30" l="1"/>
  <c r="BV91" i="26"/>
  <c r="BV90" i="26"/>
  <c r="BV81" i="26"/>
  <c r="BV71" i="26"/>
  <c r="BV76" i="26"/>
  <c r="BV86" i="26"/>
  <c r="BV79" i="26"/>
  <c r="BV93" i="26"/>
  <c r="BV89" i="26"/>
  <c r="BV74" i="26"/>
  <c r="BV75" i="26"/>
  <c r="BV78" i="26"/>
  <c r="BV80" i="26"/>
  <c r="BV70" i="26"/>
  <c r="BV84" i="26"/>
  <c r="BV68" i="26"/>
  <c r="BV72" i="26"/>
  <c r="BV87" i="26"/>
  <c r="BV92" i="26"/>
  <c r="BV82" i="26"/>
  <c r="BV88" i="26"/>
  <c r="BV73" i="26"/>
  <c r="BV77" i="26"/>
  <c r="BV83" i="26"/>
  <c r="BV69" i="26"/>
  <c r="BV85" i="26"/>
  <c r="IA37" i="26"/>
  <c r="IB37" i="26" s="1"/>
  <c r="IA54" i="26"/>
  <c r="IB54" i="26" s="1"/>
  <c r="IA55" i="26"/>
  <c r="IB55" i="26" s="1"/>
  <c r="IA42" i="26"/>
  <c r="IB42" i="26" s="1"/>
  <c r="IA60" i="26"/>
  <c r="IB60" i="26" s="1"/>
  <c r="IA39" i="26"/>
  <c r="IB39" i="26" s="1"/>
  <c r="IA38" i="26"/>
  <c r="IB38" i="26" s="1"/>
  <c r="IA41" i="26"/>
  <c r="IB41" i="26" s="1"/>
  <c r="IA40" i="26"/>
  <c r="IB40" i="26" s="1"/>
  <c r="IA52" i="26"/>
  <c r="IB52" i="26" s="1"/>
  <c r="IA61" i="26"/>
  <c r="IB61" i="26" s="1"/>
  <c r="IA45" i="26"/>
  <c r="IB45" i="26" s="1"/>
  <c r="IA58" i="26"/>
  <c r="IB58" i="26" s="1"/>
  <c r="IA50" i="26"/>
  <c r="IB50" i="26" s="1"/>
  <c r="IA44" i="26"/>
  <c r="IB44" i="26" s="1"/>
  <c r="IC44" i="26" s="1"/>
  <c r="IA47" i="26"/>
  <c r="IB47" i="26" s="1"/>
  <c r="IC47" i="26" s="1"/>
  <c r="IA53" i="26"/>
  <c r="IB53" i="26" s="1"/>
  <c r="IA48" i="26"/>
  <c r="IB48" i="26" s="1"/>
  <c r="IA46" i="26"/>
  <c r="IB46" i="26" s="1"/>
  <c r="IA62" i="26"/>
  <c r="IB62" i="26" s="1"/>
  <c r="IA57" i="26"/>
  <c r="IB57" i="26" s="1"/>
  <c r="IA51" i="26"/>
  <c r="IB51" i="26" s="1"/>
  <c r="IA56" i="26"/>
  <c r="IB56" i="26" s="1"/>
  <c r="IA49" i="26"/>
  <c r="IB49" i="26" s="1"/>
  <c r="IA43" i="26"/>
  <c r="IB43" i="26" s="1"/>
  <c r="IA59" i="26"/>
  <c r="IB59" i="26" s="1"/>
  <c r="FC57" i="26"/>
  <c r="FC49" i="26"/>
  <c r="FC53" i="26"/>
  <c r="FC45" i="26"/>
  <c r="FC46" i="26"/>
  <c r="FC61" i="26"/>
  <c r="FC59" i="26"/>
  <c r="FC56" i="26"/>
  <c r="FC62" i="26"/>
  <c r="AJ24" i="21"/>
  <c r="AK24" i="21" s="1"/>
  <c r="AJ26" i="21"/>
  <c r="AK26" i="21" s="1"/>
  <c r="AI25" i="21"/>
  <c r="AI34" i="21"/>
  <c r="AI31" i="21"/>
  <c r="AI11" i="21"/>
  <c r="AJ28" i="21"/>
  <c r="AK28" i="21" s="1"/>
  <c r="AJ30" i="21"/>
  <c r="AK30" i="21" s="1"/>
  <c r="AI30" i="21"/>
  <c r="AI13" i="21"/>
  <c r="AI33" i="21"/>
  <c r="AI28" i="21"/>
  <c r="AI22" i="21"/>
  <c r="AI24" i="21"/>
  <c r="AI17" i="21"/>
  <c r="AI27" i="21"/>
  <c r="AI18" i="21"/>
  <c r="AJ27" i="21"/>
  <c r="AK27" i="21" s="1"/>
  <c r="AI19" i="21"/>
  <c r="AI14" i="21"/>
  <c r="AI10" i="21"/>
  <c r="AJ22" i="21"/>
  <c r="AK22" i="21" s="1"/>
  <c r="AI16" i="21"/>
  <c r="AI12" i="21"/>
  <c r="AI15" i="21"/>
  <c r="AJ25" i="21"/>
  <c r="AK25" i="21" s="1"/>
  <c r="AJ31" i="21"/>
  <c r="AK31" i="21" s="1"/>
  <c r="AI20" i="21"/>
  <c r="AI26" i="21"/>
  <c r="AJ9" i="21"/>
  <c r="AK9" i="21" s="1"/>
  <c r="AI9" i="21"/>
  <c r="Y19" i="21"/>
  <c r="X19" i="21"/>
  <c r="X34" i="21"/>
  <c r="Y34" i="21"/>
  <c r="Y20" i="21"/>
  <c r="X20" i="21"/>
  <c r="Y11" i="21"/>
  <c r="X11" i="21"/>
  <c r="Y10" i="21"/>
  <c r="X10" i="21"/>
  <c r="Y17" i="21"/>
  <c r="X17" i="21"/>
  <c r="Y23" i="21"/>
  <c r="X23" i="21"/>
  <c r="Y32" i="21"/>
  <c r="X32" i="21"/>
  <c r="Y16" i="21"/>
  <c r="X16" i="21"/>
  <c r="Y12" i="21"/>
  <c r="X12" i="21"/>
  <c r="Y21" i="21"/>
  <c r="X21" i="21"/>
  <c r="Y15" i="21"/>
  <c r="X15" i="21"/>
  <c r="Y18" i="21"/>
  <c r="X18" i="21"/>
  <c r="Y13" i="21"/>
  <c r="X13" i="21"/>
  <c r="Y14" i="21"/>
  <c r="X14" i="21"/>
  <c r="Y29" i="21"/>
  <c r="X29" i="21"/>
  <c r="Y33" i="21"/>
  <c r="X33" i="21"/>
  <c r="DC80" i="26"/>
  <c r="DC69" i="26"/>
  <c r="DC79" i="26"/>
  <c r="DC83" i="26"/>
  <c r="DC82" i="26"/>
  <c r="DC88" i="26"/>
  <c r="DC77" i="26"/>
  <c r="DC87" i="26"/>
  <c r="DC70" i="26"/>
  <c r="DC84" i="26"/>
  <c r="DC85" i="26"/>
  <c r="DC74" i="26"/>
  <c r="DC78" i="26"/>
  <c r="DC93" i="26"/>
  <c r="DC86" i="26"/>
  <c r="DC71" i="26"/>
  <c r="DC75" i="26"/>
  <c r="DC90" i="26"/>
  <c r="DC73" i="26"/>
  <c r="DC76" i="26"/>
  <c r="DC91" i="26"/>
  <c r="DC68" i="26"/>
  <c r="DC89" i="26"/>
  <c r="DC81" i="26"/>
  <c r="DC92" i="26"/>
  <c r="DC72" i="26"/>
  <c r="DS77" i="26"/>
  <c r="DS86" i="26"/>
  <c r="DS76" i="26"/>
  <c r="DS80" i="26"/>
  <c r="DS81" i="26"/>
  <c r="DS74" i="26"/>
  <c r="DS71" i="26"/>
  <c r="DS68" i="26"/>
  <c r="DS78" i="26"/>
  <c r="DS83" i="26"/>
  <c r="DS79" i="26"/>
  <c r="DS73" i="26"/>
  <c r="DS82" i="26"/>
  <c r="DS85" i="26"/>
  <c r="DS91" i="26"/>
  <c r="DS88" i="26"/>
  <c r="DS69" i="26"/>
  <c r="DS92" i="26"/>
  <c r="DS93" i="26"/>
  <c r="DS75" i="26"/>
  <c r="DS70" i="26"/>
  <c r="DS89" i="26"/>
  <c r="DS87" i="26"/>
  <c r="DS72" i="26"/>
  <c r="DS90" i="26"/>
  <c r="DS84" i="26"/>
  <c r="EI87" i="26"/>
  <c r="EI68" i="26"/>
  <c r="EI78" i="26"/>
  <c r="EI88" i="26"/>
  <c r="EI79" i="26"/>
  <c r="EI85" i="26"/>
  <c r="EI81" i="26"/>
  <c r="EI84" i="26"/>
  <c r="EI71" i="26"/>
  <c r="EI77" i="26"/>
  <c r="EI72" i="26"/>
  <c r="EI75" i="26"/>
  <c r="EI70" i="26"/>
  <c r="EI92" i="26"/>
  <c r="EI82" i="26"/>
  <c r="EI69" i="26"/>
  <c r="EI80" i="26"/>
  <c r="EI76" i="26"/>
  <c r="EI90" i="26"/>
  <c r="EI86" i="26"/>
  <c r="EI83" i="26"/>
  <c r="EI91" i="26"/>
  <c r="EI74" i="26"/>
  <c r="EI73" i="26"/>
  <c r="EI93" i="26"/>
  <c r="EI89" i="26"/>
  <c r="CM68" i="26"/>
  <c r="CM87" i="26"/>
  <c r="CM77" i="26"/>
  <c r="CM88" i="26"/>
  <c r="CM79" i="26"/>
  <c r="CM81" i="26"/>
  <c r="CM76" i="26"/>
  <c r="CM70" i="26"/>
  <c r="CM74" i="26"/>
  <c r="CM92" i="26"/>
  <c r="CM93" i="26"/>
  <c r="CM75" i="26"/>
  <c r="CM72" i="26"/>
  <c r="CM83" i="26"/>
  <c r="CM69" i="26"/>
  <c r="CM90" i="26"/>
  <c r="CM78" i="26"/>
  <c r="CM84" i="26"/>
  <c r="CM91" i="26"/>
  <c r="CM82" i="26"/>
  <c r="CM85" i="26"/>
  <c r="CM89" i="26"/>
  <c r="CM86" i="26"/>
  <c r="CM71" i="26"/>
  <c r="CM73" i="26"/>
  <c r="CM80" i="26"/>
  <c r="EY79" i="26"/>
  <c r="EY70" i="26"/>
  <c r="EY85" i="26"/>
  <c r="EY82" i="26"/>
  <c r="EY77" i="26"/>
  <c r="EY78" i="26"/>
  <c r="EY88" i="26"/>
  <c r="EY73" i="26"/>
  <c r="EY89" i="26"/>
  <c r="EY84" i="26"/>
  <c r="EY92" i="26"/>
  <c r="EY91" i="26"/>
  <c r="EY90" i="26"/>
  <c r="EY69" i="26"/>
  <c r="EY75" i="26"/>
  <c r="EY72" i="26"/>
  <c r="EY83" i="26"/>
  <c r="EY93" i="26"/>
  <c r="EY76" i="26"/>
  <c r="EY81" i="26"/>
  <c r="EY71" i="26"/>
  <c r="EY74" i="26"/>
  <c r="EY87" i="26"/>
  <c r="EY86" i="26"/>
  <c r="EY68" i="26"/>
  <c r="EY80" i="26"/>
  <c r="B17" i="29"/>
  <c r="R29" i="29" s="1"/>
  <c r="F24" i="33"/>
  <c r="F28" i="33"/>
  <c r="E33" i="33"/>
  <c r="C26" i="33"/>
  <c r="E10" i="33"/>
  <c r="C32" i="33"/>
  <c r="E17" i="33"/>
  <c r="E13" i="33"/>
  <c r="E15" i="33"/>
  <c r="C24" i="33"/>
  <c r="F31" i="33"/>
  <c r="F22" i="33"/>
  <c r="E20" i="33"/>
  <c r="E16" i="33"/>
  <c r="C33" i="33"/>
  <c r="E12" i="33"/>
  <c r="F26" i="33"/>
  <c r="E22" i="33"/>
  <c r="E30" i="33"/>
  <c r="C23" i="33"/>
  <c r="E26" i="33"/>
  <c r="C20" i="33"/>
  <c r="E25" i="33"/>
  <c r="C21" i="33"/>
  <c r="E34" i="33"/>
  <c r="E31" i="33"/>
  <c r="E11" i="33"/>
  <c r="E18" i="33"/>
  <c r="E27" i="33"/>
  <c r="C30" i="33"/>
  <c r="E28" i="33"/>
  <c r="C27" i="33"/>
  <c r="E9" i="33"/>
  <c r="C22" i="33"/>
  <c r="C29" i="33"/>
  <c r="F30" i="33"/>
  <c r="E24" i="33"/>
  <c r="F27" i="33"/>
  <c r="F25" i="33"/>
  <c r="C28" i="33"/>
  <c r="C25" i="33"/>
  <c r="E19" i="33"/>
  <c r="C31" i="33"/>
  <c r="E14" i="33"/>
  <c r="Z22" i="21"/>
  <c r="Z24" i="21"/>
  <c r="Z27" i="21"/>
  <c r="Z26" i="21"/>
  <c r="Z30" i="21"/>
  <c r="Z31" i="21"/>
  <c r="Z25" i="21"/>
  <c r="Z28" i="21"/>
  <c r="Z9" i="21"/>
  <c r="B18" i="33"/>
  <c r="B20" i="33"/>
  <c r="B34" i="33"/>
  <c r="B11" i="33"/>
  <c r="B21" i="33"/>
  <c r="B12" i="33"/>
  <c r="B33" i="33"/>
  <c r="B29" i="33"/>
  <c r="B23" i="33"/>
  <c r="B32" i="33"/>
  <c r="B15" i="33"/>
  <c r="V16" i="21"/>
  <c r="B19" i="33"/>
  <c r="K70" i="26"/>
  <c r="K78" i="26"/>
  <c r="K69" i="26"/>
  <c r="K72" i="26"/>
  <c r="K92" i="26"/>
  <c r="K80" i="26"/>
  <c r="K68" i="26"/>
  <c r="L68" i="26" s="1"/>
  <c r="M68" i="26" s="1"/>
  <c r="K84" i="26"/>
  <c r="K71" i="26"/>
  <c r="K82" i="26"/>
  <c r="K81" i="26"/>
  <c r="K74" i="26"/>
  <c r="K85" i="26"/>
  <c r="K75" i="26"/>
  <c r="K88" i="26"/>
  <c r="K90" i="26"/>
  <c r="K83" i="26"/>
  <c r="K86" i="26"/>
  <c r="K76" i="26"/>
  <c r="K87" i="26"/>
  <c r="K89" i="26"/>
  <c r="K79" i="26"/>
  <c r="K73" i="26"/>
  <c r="K77" i="26"/>
  <c r="K91" i="26"/>
  <c r="K93" i="26"/>
  <c r="EZ44" i="26"/>
  <c r="FA44" i="26" s="1"/>
  <c r="EZ37" i="26"/>
  <c r="FA37" i="26" s="1"/>
  <c r="EZ60" i="26"/>
  <c r="FA60" i="26" s="1"/>
  <c r="CK113" i="26"/>
  <c r="CK116" i="26"/>
  <c r="EZ58" i="26"/>
  <c r="FA58" i="26" s="1"/>
  <c r="EZ48" i="26"/>
  <c r="FA48" i="26" s="1"/>
  <c r="EZ47" i="26"/>
  <c r="FA47" i="26" s="1"/>
  <c r="EZ52" i="26"/>
  <c r="FA52" i="26" s="1"/>
  <c r="EZ50" i="26"/>
  <c r="FA50" i="26" s="1"/>
  <c r="EZ41" i="26"/>
  <c r="FA41" i="26" s="1"/>
  <c r="EZ42" i="26"/>
  <c r="FA42" i="26" s="1"/>
  <c r="EZ39" i="26"/>
  <c r="FA39" i="26" s="1"/>
  <c r="EZ38" i="26"/>
  <c r="FA38" i="26" s="1"/>
  <c r="EZ40" i="26"/>
  <c r="FA40" i="26" s="1"/>
  <c r="EZ51" i="26"/>
  <c r="FA51" i="26" s="1"/>
  <c r="BW49" i="26"/>
  <c r="BW46" i="26"/>
  <c r="BW48" i="26"/>
  <c r="BW44" i="26"/>
  <c r="BW40" i="26"/>
  <c r="BW57" i="26"/>
  <c r="BW54" i="26"/>
  <c r="BW43" i="26"/>
  <c r="BW39" i="26"/>
  <c r="BW37" i="26"/>
  <c r="BW41" i="26"/>
  <c r="BW62" i="26"/>
  <c r="BW51" i="26"/>
  <c r="BW47" i="26"/>
  <c r="BW59" i="26"/>
  <c r="BW55" i="26"/>
  <c r="BW56" i="26"/>
  <c r="BW42" i="26"/>
  <c r="BW58" i="26"/>
  <c r="BW61" i="26"/>
  <c r="BW38" i="26"/>
  <c r="BW50" i="26"/>
  <c r="BW52" i="26"/>
  <c r="BW60" i="26"/>
  <c r="BW53" i="26"/>
  <c r="BW45" i="26"/>
  <c r="EZ55" i="26"/>
  <c r="FA55" i="26" s="1"/>
  <c r="AQ77" i="26"/>
  <c r="AQ83" i="26"/>
  <c r="AQ89" i="26"/>
  <c r="AQ87" i="26"/>
  <c r="AQ85" i="26"/>
  <c r="AQ86" i="26"/>
  <c r="AQ68" i="26"/>
  <c r="AQ90" i="26"/>
  <c r="AQ79" i="26"/>
  <c r="AQ69" i="26"/>
  <c r="AQ93" i="26"/>
  <c r="AQ81" i="26"/>
  <c r="AQ76" i="26"/>
  <c r="AQ80" i="26"/>
  <c r="AQ91" i="26"/>
  <c r="AQ70" i="26"/>
  <c r="AQ73" i="26"/>
  <c r="AQ78" i="26"/>
  <c r="AQ74" i="26"/>
  <c r="AQ84" i="26"/>
  <c r="AQ88" i="26"/>
  <c r="AQ72" i="26"/>
  <c r="AQ82" i="26"/>
  <c r="AQ92" i="26"/>
  <c r="AQ71" i="26"/>
  <c r="AQ75" i="26"/>
  <c r="DC44" i="26"/>
  <c r="DC59" i="26"/>
  <c r="DC42" i="26"/>
  <c r="DC51" i="26"/>
  <c r="DC52" i="26"/>
  <c r="DC50" i="26"/>
  <c r="DC37" i="26"/>
  <c r="DC41" i="26"/>
  <c r="DC46" i="26"/>
  <c r="DC43" i="26"/>
  <c r="DC61" i="26"/>
  <c r="DC58" i="26"/>
  <c r="DC53" i="26"/>
  <c r="DC56" i="26"/>
  <c r="DC47" i="26"/>
  <c r="DC55" i="26"/>
  <c r="DC45" i="26"/>
  <c r="DC40" i="26"/>
  <c r="DC62" i="26"/>
  <c r="DC49" i="26"/>
  <c r="DC38" i="26"/>
  <c r="DC48" i="26"/>
  <c r="DC60" i="26"/>
  <c r="DC57" i="26"/>
  <c r="DC39" i="26"/>
  <c r="DC54" i="26"/>
  <c r="GU49" i="26"/>
  <c r="GU37" i="26"/>
  <c r="GU61" i="26"/>
  <c r="GU44" i="26"/>
  <c r="GU57" i="26"/>
  <c r="GU45" i="26"/>
  <c r="GU40" i="26"/>
  <c r="GU52" i="26"/>
  <c r="GU55" i="26"/>
  <c r="GU59" i="26"/>
  <c r="GU58" i="26"/>
  <c r="GU53" i="26"/>
  <c r="GU48" i="26"/>
  <c r="GU60" i="26"/>
  <c r="GU51" i="26"/>
  <c r="GU42" i="26"/>
  <c r="GU50" i="26"/>
  <c r="GU38" i="26"/>
  <c r="GU56" i="26"/>
  <c r="GU39" i="26"/>
  <c r="GU54" i="26"/>
  <c r="GU46" i="26"/>
  <c r="GU43" i="26"/>
  <c r="GU47" i="26"/>
  <c r="GU62" i="26"/>
  <c r="GU41" i="26"/>
  <c r="GE47" i="26"/>
  <c r="GE37" i="26"/>
  <c r="GE42" i="26"/>
  <c r="GE59" i="26"/>
  <c r="GE60" i="26"/>
  <c r="GE38" i="26"/>
  <c r="GE45" i="26"/>
  <c r="GE50" i="26"/>
  <c r="GE48" i="26"/>
  <c r="GE56" i="26"/>
  <c r="GE55" i="26"/>
  <c r="GE46" i="26"/>
  <c r="GE53" i="26"/>
  <c r="GE58" i="26"/>
  <c r="GE52" i="26"/>
  <c r="GE44" i="26"/>
  <c r="GE54" i="26"/>
  <c r="GE43" i="26"/>
  <c r="GE61" i="26"/>
  <c r="GE62" i="26"/>
  <c r="GE51" i="26"/>
  <c r="GE40" i="26"/>
  <c r="GE41" i="26"/>
  <c r="GE49" i="26"/>
  <c r="GE39" i="26"/>
  <c r="GE57" i="26"/>
  <c r="DS46" i="26"/>
  <c r="DS59" i="26"/>
  <c r="DS48" i="26"/>
  <c r="DS58" i="26"/>
  <c r="DS54" i="26"/>
  <c r="DS44" i="26"/>
  <c r="DS56" i="26"/>
  <c r="DS41" i="26"/>
  <c r="DS43" i="26"/>
  <c r="DS57" i="26"/>
  <c r="DS40" i="26"/>
  <c r="DS62" i="26"/>
  <c r="DS52" i="26"/>
  <c r="DS55" i="26"/>
  <c r="DS39" i="26"/>
  <c r="DS49" i="26"/>
  <c r="DS60" i="26"/>
  <c r="DS38" i="26"/>
  <c r="DS47" i="26"/>
  <c r="DS42" i="26"/>
  <c r="DS53" i="26"/>
  <c r="DS45" i="26"/>
  <c r="DS37" i="26"/>
  <c r="DS50" i="26"/>
  <c r="DS61" i="26"/>
  <c r="DS51" i="26"/>
  <c r="AQ52" i="26"/>
  <c r="AQ51" i="26"/>
  <c r="AQ42" i="26"/>
  <c r="AQ57" i="26"/>
  <c r="AQ55" i="26"/>
  <c r="AQ60" i="26"/>
  <c r="AQ59" i="26"/>
  <c r="AQ50" i="26"/>
  <c r="AQ41" i="26"/>
  <c r="AQ45" i="26"/>
  <c r="AQ62" i="26"/>
  <c r="AQ53" i="26"/>
  <c r="AQ58" i="26"/>
  <c r="AQ37" i="26"/>
  <c r="AQ61" i="26"/>
  <c r="AQ46" i="26"/>
  <c r="AQ54" i="26"/>
  <c r="AQ48" i="26"/>
  <c r="AQ43" i="26"/>
  <c r="AQ49" i="26"/>
  <c r="AQ38" i="26"/>
  <c r="AQ40" i="26"/>
  <c r="AQ39" i="26"/>
  <c r="AQ47" i="26"/>
  <c r="AQ56" i="26"/>
  <c r="AQ44" i="26"/>
  <c r="BG88" i="26"/>
  <c r="BG93" i="26"/>
  <c r="BG82" i="26"/>
  <c r="BG75" i="26"/>
  <c r="BG87" i="26"/>
  <c r="BG89" i="26"/>
  <c r="BG90" i="26"/>
  <c r="BG83" i="26"/>
  <c r="BG69" i="26"/>
  <c r="BG77" i="26"/>
  <c r="BG85" i="26"/>
  <c r="BG84" i="26"/>
  <c r="BG73" i="26"/>
  <c r="BG91" i="26"/>
  <c r="BG81" i="26"/>
  <c r="BG80" i="26"/>
  <c r="BG92" i="26"/>
  <c r="BG71" i="26"/>
  <c r="BG68" i="26"/>
  <c r="BG70" i="26"/>
  <c r="BG79" i="26"/>
  <c r="BG76" i="26"/>
  <c r="BG78" i="26"/>
  <c r="BG86" i="26"/>
  <c r="BG72" i="26"/>
  <c r="BG74" i="26"/>
  <c r="EI49" i="26"/>
  <c r="EI38" i="26"/>
  <c r="EI61" i="26"/>
  <c r="EI42" i="26"/>
  <c r="EI41" i="26"/>
  <c r="EI57" i="26"/>
  <c r="EI46" i="26"/>
  <c r="EI43" i="26"/>
  <c r="EI44" i="26"/>
  <c r="EI37" i="26"/>
  <c r="EI53" i="26"/>
  <c r="EI55" i="26"/>
  <c r="EI54" i="26"/>
  <c r="EI51" i="26"/>
  <c r="EI52" i="26"/>
  <c r="EI47" i="26"/>
  <c r="EI45" i="26"/>
  <c r="EI62" i="26"/>
  <c r="EI59" i="26"/>
  <c r="EI60" i="26"/>
  <c r="EI56" i="26"/>
  <c r="EI58" i="26"/>
  <c r="EI50" i="26"/>
  <c r="EI39" i="26"/>
  <c r="EI40" i="26"/>
  <c r="EI48" i="26"/>
  <c r="EZ54" i="26"/>
  <c r="FA54" i="26" s="1"/>
  <c r="CM59" i="26"/>
  <c r="CM61" i="26"/>
  <c r="CM42" i="26"/>
  <c r="CM39" i="26"/>
  <c r="CM47" i="26"/>
  <c r="CM41" i="26"/>
  <c r="CM38" i="26"/>
  <c r="CM50" i="26"/>
  <c r="CM37" i="26"/>
  <c r="CM45" i="26"/>
  <c r="CM51" i="26"/>
  <c r="CM49" i="26"/>
  <c r="CM46" i="26"/>
  <c r="CM58" i="26"/>
  <c r="CM44" i="26"/>
  <c r="CM54" i="26"/>
  <c r="CM52" i="26"/>
  <c r="CM56" i="26"/>
  <c r="CM55" i="26"/>
  <c r="CM57" i="26"/>
  <c r="CM40" i="26"/>
  <c r="CM62" i="26"/>
  <c r="CM48" i="26"/>
  <c r="CM60" i="26"/>
  <c r="CM43" i="26"/>
  <c r="CM53" i="26"/>
  <c r="EZ43" i="26"/>
  <c r="FA43" i="26" s="1"/>
  <c r="FO40" i="26"/>
  <c r="FO38" i="26"/>
  <c r="FO47" i="26"/>
  <c r="FO48" i="26"/>
  <c r="FO46" i="26"/>
  <c r="FO55" i="26"/>
  <c r="FO59" i="26"/>
  <c r="FO50" i="26"/>
  <c r="FO39" i="26"/>
  <c r="FO56" i="26"/>
  <c r="FO54" i="26"/>
  <c r="FO53" i="26"/>
  <c r="FO37" i="26"/>
  <c r="FO45" i="26"/>
  <c r="FO41" i="26"/>
  <c r="FO62" i="26"/>
  <c r="FO43" i="26"/>
  <c r="FO57" i="26"/>
  <c r="FO61" i="26"/>
  <c r="FO49" i="26"/>
  <c r="FO42" i="26"/>
  <c r="FO51" i="26"/>
  <c r="FO44" i="26"/>
  <c r="FO52" i="26"/>
  <c r="FO60" i="26"/>
  <c r="FO58" i="26"/>
  <c r="HK45" i="26"/>
  <c r="HK58" i="26"/>
  <c r="HK55" i="26"/>
  <c r="HK60" i="26"/>
  <c r="HK41" i="26"/>
  <c r="HK61" i="26"/>
  <c r="HK53" i="26"/>
  <c r="HK62" i="26"/>
  <c r="HK43" i="26"/>
  <c r="HK42" i="26"/>
  <c r="HK47" i="26"/>
  <c r="HK49" i="26"/>
  <c r="HK38" i="26"/>
  <c r="HK40" i="26"/>
  <c r="HK50" i="26"/>
  <c r="HK51" i="26"/>
  <c r="HK39" i="26"/>
  <c r="HK57" i="26"/>
  <c r="HK46" i="26"/>
  <c r="HK48" i="26"/>
  <c r="HK44" i="26"/>
  <c r="HK54" i="26"/>
  <c r="HK56" i="26"/>
  <c r="HK52" i="26"/>
  <c r="HK37" i="26"/>
  <c r="HK59" i="26"/>
  <c r="BG58" i="26"/>
  <c r="BG43" i="26"/>
  <c r="BG37" i="26"/>
  <c r="BG61" i="26"/>
  <c r="BG51" i="26"/>
  <c r="BG45" i="26"/>
  <c r="BG48" i="26"/>
  <c r="BG39" i="26"/>
  <c r="BG49" i="26"/>
  <c r="BG42" i="26"/>
  <c r="BG55" i="26"/>
  <c r="BG40" i="26"/>
  <c r="BG59" i="26"/>
  <c r="BG44" i="26"/>
  <c r="BG52" i="26"/>
  <c r="BG41" i="26"/>
  <c r="BG54" i="26"/>
  <c r="BG57" i="26"/>
  <c r="BG50" i="26"/>
  <c r="BG53" i="26"/>
  <c r="BG56" i="26"/>
  <c r="BG38" i="26"/>
  <c r="BG60" i="26"/>
  <c r="BG46" i="26"/>
  <c r="BG47" i="26"/>
  <c r="BG62" i="26"/>
  <c r="AA92" i="26"/>
  <c r="AA84" i="26"/>
  <c r="AA76" i="26"/>
  <c r="AA68" i="26"/>
  <c r="AA72" i="26"/>
  <c r="AA81" i="26"/>
  <c r="AA75" i="26"/>
  <c r="AA93" i="26"/>
  <c r="AA85" i="26"/>
  <c r="AA77" i="26"/>
  <c r="AA69" i="26"/>
  <c r="AA86" i="26"/>
  <c r="AA78" i="26"/>
  <c r="AA70" i="26"/>
  <c r="AA89" i="26"/>
  <c r="AA90" i="26"/>
  <c r="AA91" i="26"/>
  <c r="AA83" i="26"/>
  <c r="AA87" i="26"/>
  <c r="AA79" i="26"/>
  <c r="AA71" i="26"/>
  <c r="AA88" i="26"/>
  <c r="AA80" i="26"/>
  <c r="AA73" i="26"/>
  <c r="AA82" i="26"/>
  <c r="AA74" i="26"/>
  <c r="FE59" i="26"/>
  <c r="FD59" i="26"/>
  <c r="FD46" i="26"/>
  <c r="FE46" i="26"/>
  <c r="FD57" i="26"/>
  <c r="FE57" i="26"/>
  <c r="FD45" i="26"/>
  <c r="FE45" i="26"/>
  <c r="FD53" i="26"/>
  <c r="FE53" i="26"/>
  <c r="FD49" i="26"/>
  <c r="FE49" i="26"/>
  <c r="FD56" i="26"/>
  <c r="FE56" i="26"/>
  <c r="FD61" i="26"/>
  <c r="FE61" i="26"/>
  <c r="FD62" i="26"/>
  <c r="FE62" i="26"/>
  <c r="AA41" i="26"/>
  <c r="AB41" i="26" s="1"/>
  <c r="AC41" i="26" s="1"/>
  <c r="AA50" i="26"/>
  <c r="AA62" i="26"/>
  <c r="AA59" i="26"/>
  <c r="AA51" i="26"/>
  <c r="AA61" i="26"/>
  <c r="AA43" i="26"/>
  <c r="AB43" i="26" s="1"/>
  <c r="AC43" i="26" s="1"/>
  <c r="AA60" i="26"/>
  <c r="AA40" i="26"/>
  <c r="AA45" i="26"/>
  <c r="AB45" i="26" s="1"/>
  <c r="AC45" i="26" s="1"/>
  <c r="AA52" i="26"/>
  <c r="AA54" i="26"/>
  <c r="AB54" i="26" s="1"/>
  <c r="AC54" i="26" s="1"/>
  <c r="AA39" i="26"/>
  <c r="AA55" i="26"/>
  <c r="AA47" i="26"/>
  <c r="AA37" i="26"/>
  <c r="AB37" i="26" s="1"/>
  <c r="AC37" i="26" s="1"/>
  <c r="AA56" i="26"/>
  <c r="AA48" i="26"/>
  <c r="AA44" i="26"/>
  <c r="AA57" i="26"/>
  <c r="AA53" i="26"/>
  <c r="AA46" i="26"/>
  <c r="AB46" i="26" s="1"/>
  <c r="AC46" i="26" s="1"/>
  <c r="AA42" i="26"/>
  <c r="AA49" i="26"/>
  <c r="AA38" i="26"/>
  <c r="AA58" i="26"/>
  <c r="AB58" i="26" s="1"/>
  <c r="AC58" i="26" s="1"/>
  <c r="K42" i="26"/>
  <c r="K60" i="26"/>
  <c r="K38" i="26"/>
  <c r="K51" i="26"/>
  <c r="K53" i="26"/>
  <c r="K52" i="26"/>
  <c r="K41" i="26"/>
  <c r="K61" i="26"/>
  <c r="K40" i="26"/>
  <c r="K62" i="26"/>
  <c r="K54" i="26"/>
  <c r="K46" i="26"/>
  <c r="K56" i="26"/>
  <c r="K48" i="26"/>
  <c r="K43" i="26"/>
  <c r="K55" i="26"/>
  <c r="K47" i="26"/>
  <c r="K39" i="26"/>
  <c r="K57" i="26"/>
  <c r="K49" i="26"/>
  <c r="K50" i="26"/>
  <c r="K44" i="26"/>
  <c r="K37" i="26"/>
  <c r="K58" i="26"/>
  <c r="K45" i="26"/>
  <c r="K59" i="26"/>
  <c r="V32" i="21"/>
  <c r="W32" i="21"/>
  <c r="V11" i="21"/>
  <c r="B13" i="33"/>
  <c r="N25" i="29"/>
  <c r="O25" i="29" s="1"/>
  <c r="N29" i="29"/>
  <c r="O29" i="29" s="1"/>
  <c r="N33" i="29"/>
  <c r="O33" i="29" s="1"/>
  <c r="N37" i="29"/>
  <c r="O37" i="29" s="1"/>
  <c r="N41" i="29"/>
  <c r="O41" i="29" s="1"/>
  <c r="N45" i="29"/>
  <c r="O45" i="29" s="1"/>
  <c r="N24" i="29"/>
  <c r="O24" i="29" s="1"/>
  <c r="N28" i="29"/>
  <c r="O28" i="29" s="1"/>
  <c r="N32" i="29"/>
  <c r="O32" i="29" s="1"/>
  <c r="N36" i="29"/>
  <c r="O36" i="29" s="1"/>
  <c r="N40" i="29"/>
  <c r="O40" i="29" s="1"/>
  <c r="N44" i="29"/>
  <c r="O44" i="29" s="1"/>
  <c r="N23" i="29"/>
  <c r="O23" i="29" s="1"/>
  <c r="N27" i="29"/>
  <c r="O27" i="29" s="1"/>
  <c r="N31" i="29"/>
  <c r="O31" i="29" s="1"/>
  <c r="N35" i="29"/>
  <c r="O35" i="29" s="1"/>
  <c r="N39" i="29"/>
  <c r="O39" i="29" s="1"/>
  <c r="N43" i="29"/>
  <c r="O43" i="29" s="1"/>
  <c r="N22" i="29"/>
  <c r="O22" i="29" s="1"/>
  <c r="N26" i="29"/>
  <c r="O26" i="29" s="1"/>
  <c r="N30" i="29"/>
  <c r="O30" i="29" s="1"/>
  <c r="N34" i="29"/>
  <c r="O34" i="29" s="1"/>
  <c r="N38" i="29"/>
  <c r="O38" i="29" s="1"/>
  <c r="N42" i="29"/>
  <c r="O42" i="29" s="1"/>
  <c r="N46" i="29"/>
  <c r="O46" i="29" s="1"/>
  <c r="W11" i="21"/>
  <c r="N21" i="29"/>
  <c r="O21" i="29" s="1"/>
  <c r="X38" i="21"/>
  <c r="Y38" i="21" s="1"/>
  <c r="Z38" i="21" s="1"/>
  <c r="V20" i="21"/>
  <c r="W33" i="21"/>
  <c r="V21" i="21"/>
  <c r="W23" i="21"/>
  <c r="W20" i="21"/>
  <c r="W21" i="21"/>
  <c r="V13" i="21"/>
  <c r="V23" i="21"/>
  <c r="V33" i="21"/>
  <c r="W29" i="21"/>
  <c r="W18" i="21"/>
  <c r="W12" i="21"/>
  <c r="W10" i="21"/>
  <c r="V34" i="21"/>
  <c r="V12" i="21"/>
  <c r="V29" i="21"/>
  <c r="B10" i="33"/>
  <c r="W16" i="21"/>
  <c r="V14" i="21"/>
  <c r="V17" i="21"/>
  <c r="C9" i="33"/>
  <c r="B14" i="33"/>
  <c r="B17" i="33"/>
  <c r="F9" i="33"/>
  <c r="W14" i="21"/>
  <c r="V19" i="21"/>
  <c r="W17" i="21"/>
  <c r="W13" i="21"/>
  <c r="W34" i="21"/>
  <c r="V18" i="21"/>
  <c r="V10" i="21"/>
  <c r="W15" i="21"/>
  <c r="B16" i="33"/>
  <c r="V15" i="21"/>
  <c r="W19" i="21"/>
  <c r="CK126" i="26" l="1"/>
  <c r="N120" i="28" s="1"/>
  <c r="IC57" i="26"/>
  <c r="CK125" i="26"/>
  <c r="N119" i="28" s="1"/>
  <c r="IC56" i="26"/>
  <c r="CK118" i="26"/>
  <c r="N112" i="28" s="1"/>
  <c r="IC49" i="26"/>
  <c r="IC41" i="26"/>
  <c r="CK110" i="26" s="1"/>
  <c r="N104" i="28" s="1"/>
  <c r="IC43" i="26"/>
  <c r="CK112" i="26" s="1"/>
  <c r="N106" i="28" s="1"/>
  <c r="CK122" i="26"/>
  <c r="N116" i="28" s="1"/>
  <c r="IC53" i="26"/>
  <c r="IC40" i="26"/>
  <c r="CK109" i="26" s="1"/>
  <c r="N103" i="28" s="1"/>
  <c r="IC37" i="26"/>
  <c r="CK106" i="26" s="1"/>
  <c r="N100" i="28" s="1"/>
  <c r="CK129" i="26"/>
  <c r="N123" i="28" s="1"/>
  <c r="IC60" i="26"/>
  <c r="IC50" i="26"/>
  <c r="CK119" i="26" s="1"/>
  <c r="N113" i="28" s="1"/>
  <c r="IC38" i="26"/>
  <c r="CK107" i="26" s="1"/>
  <c r="N101" i="28" s="1"/>
  <c r="CK128" i="26"/>
  <c r="N122" i="28" s="1"/>
  <c r="IC59" i="26"/>
  <c r="CK117" i="26"/>
  <c r="N111" i="28" s="1"/>
  <c r="IC48" i="26"/>
  <c r="IC52" i="26"/>
  <c r="CK121" i="26" s="1"/>
  <c r="N115" i="28" s="1"/>
  <c r="IC54" i="26"/>
  <c r="CK123" i="26" s="1"/>
  <c r="N117" i="28" s="1"/>
  <c r="IC46" i="26"/>
  <c r="CK115" i="26" s="1"/>
  <c r="N109" i="28" s="1"/>
  <c r="IC61" i="26"/>
  <c r="CK130" i="26" s="1"/>
  <c r="N124" i="28" s="1"/>
  <c r="IC55" i="26"/>
  <c r="CK124" i="26" s="1"/>
  <c r="N118" i="28" s="1"/>
  <c r="IC58" i="26"/>
  <c r="CK127" i="26" s="1"/>
  <c r="N121" i="28" s="1"/>
  <c r="IC51" i="26"/>
  <c r="CK120" i="26" s="1"/>
  <c r="N114" i="28" s="1"/>
  <c r="IC39" i="26"/>
  <c r="CK108" i="26" s="1"/>
  <c r="N102" i="28" s="1"/>
  <c r="IC62" i="26"/>
  <c r="CK131" i="26" s="1"/>
  <c r="N125" i="28" s="1"/>
  <c r="IC45" i="26"/>
  <c r="CK114" i="26" s="1"/>
  <c r="N108" i="28" s="1"/>
  <c r="IC42" i="26"/>
  <c r="CK111" i="26" s="1"/>
  <c r="N105" i="28" s="1"/>
  <c r="IF44" i="26"/>
  <c r="CN113" i="26" s="1"/>
  <c r="BW90" i="26"/>
  <c r="BX90" i="26" s="1"/>
  <c r="BW80" i="26"/>
  <c r="BX80" i="26" s="1"/>
  <c r="BW78" i="26"/>
  <c r="BX78" i="26" s="1"/>
  <c r="BW79" i="26"/>
  <c r="BX79" i="26" s="1"/>
  <c r="BW71" i="26"/>
  <c r="BX71" i="26" s="1"/>
  <c r="BW86" i="26"/>
  <c r="BX86" i="26" s="1"/>
  <c r="BW68" i="26"/>
  <c r="BX68" i="26" s="1"/>
  <c r="BW70" i="26"/>
  <c r="BX70" i="26" s="1"/>
  <c r="BW81" i="26"/>
  <c r="BX81" i="26" s="1"/>
  <c r="BW92" i="26"/>
  <c r="BX92" i="26" s="1"/>
  <c r="BW84" i="26"/>
  <c r="BX84" i="26" s="1"/>
  <c r="BW76" i="26"/>
  <c r="BX76" i="26" s="1"/>
  <c r="BW88" i="26"/>
  <c r="BX88" i="26" s="1"/>
  <c r="BW77" i="26"/>
  <c r="BX77" i="26" s="1"/>
  <c r="BW87" i="26"/>
  <c r="BX87" i="26" s="1"/>
  <c r="BW72" i="26"/>
  <c r="BX72" i="26" s="1"/>
  <c r="BW83" i="26"/>
  <c r="BX83" i="26" s="1"/>
  <c r="BW93" i="26"/>
  <c r="BX93" i="26" s="1"/>
  <c r="BW85" i="26"/>
  <c r="BX85" i="26" s="1"/>
  <c r="BW69" i="26"/>
  <c r="BX69" i="26" s="1"/>
  <c r="BW82" i="26"/>
  <c r="BX82" i="26" s="1"/>
  <c r="BW89" i="26"/>
  <c r="BX89" i="26" s="1"/>
  <c r="BW91" i="26"/>
  <c r="BX91" i="26" s="1"/>
  <c r="BW75" i="26"/>
  <c r="BX75" i="26" s="1"/>
  <c r="BW73" i="26"/>
  <c r="BX73" i="26" s="1"/>
  <c r="IF41" i="26"/>
  <c r="CN110" i="26" s="1"/>
  <c r="BW74" i="26"/>
  <c r="BX74" i="26" s="1"/>
  <c r="IE42" i="26"/>
  <c r="CM111" i="26" s="1"/>
  <c r="ID61" i="26"/>
  <c r="CL130" i="26" s="1"/>
  <c r="IG42" i="26"/>
  <c r="CO111" i="26" s="1"/>
  <c r="IF61" i="26"/>
  <c r="CN130" i="26" s="1"/>
  <c r="IF42" i="26"/>
  <c r="CN111" i="26" s="1"/>
  <c r="IE61" i="26"/>
  <c r="CM130" i="26" s="1"/>
  <c r="IG61" i="26"/>
  <c r="CO130" i="26" s="1"/>
  <c r="IE47" i="26"/>
  <c r="CM116" i="26" s="1"/>
  <c r="IE41" i="26"/>
  <c r="CM110" i="26" s="1"/>
  <c r="IG41" i="26"/>
  <c r="CO110" i="26" s="1"/>
  <c r="IG44" i="26"/>
  <c r="CO113" i="26" s="1"/>
  <c r="IG47" i="26"/>
  <c r="CO116" i="26" s="1"/>
  <c r="IF47" i="26"/>
  <c r="CN116" i="26" s="1"/>
  <c r="IE44" i="26"/>
  <c r="CM113" i="26" s="1"/>
  <c r="IF45" i="26"/>
  <c r="CN114" i="26" s="1"/>
  <c r="IG45" i="26"/>
  <c r="CO114" i="26" s="1"/>
  <c r="IE45" i="26"/>
  <c r="CM114" i="26" s="1"/>
  <c r="FB62" i="26"/>
  <c r="AE43" i="26"/>
  <c r="M112" i="26" s="1"/>
  <c r="K112" i="26"/>
  <c r="AE37" i="26"/>
  <c r="M106" i="26" s="1"/>
  <c r="K106" i="26"/>
  <c r="AE45" i="26"/>
  <c r="M114" i="26" s="1"/>
  <c r="K114" i="26"/>
  <c r="AE46" i="26"/>
  <c r="M115" i="26" s="1"/>
  <c r="K115" i="26"/>
  <c r="AE41" i="26"/>
  <c r="M110" i="26" s="1"/>
  <c r="K110" i="26"/>
  <c r="L87" i="26"/>
  <c r="L79" i="26"/>
  <c r="M79" i="26" s="1"/>
  <c r="L75" i="26"/>
  <c r="M75" i="26" s="1"/>
  <c r="L74" i="26"/>
  <c r="M74" i="26" s="1"/>
  <c r="L89" i="26"/>
  <c r="M89" i="26" s="1"/>
  <c r="L83" i="26"/>
  <c r="M83" i="26" s="1"/>
  <c r="L85" i="26"/>
  <c r="M85" i="26" s="1"/>
  <c r="L88" i="26"/>
  <c r="L93" i="26"/>
  <c r="M93" i="26" s="1"/>
  <c r="L86" i="26"/>
  <c r="M86" i="26" s="1"/>
  <c r="L78" i="26"/>
  <c r="M78" i="26" s="1"/>
  <c r="L73" i="26"/>
  <c r="M73" i="26" s="1"/>
  <c r="L76" i="26"/>
  <c r="M76" i="26" s="1"/>
  <c r="L81" i="26"/>
  <c r="M81" i="26" s="1"/>
  <c r="L69" i="26"/>
  <c r="O68" i="26"/>
  <c r="CS106" i="26" s="1"/>
  <c r="IG51" i="26"/>
  <c r="CO120" i="26" s="1"/>
  <c r="IE51" i="26"/>
  <c r="CM120" i="26" s="1"/>
  <c r="IG46" i="26"/>
  <c r="CO115" i="26" s="1"/>
  <c r="IE46" i="26"/>
  <c r="CM115" i="26" s="1"/>
  <c r="IG54" i="26"/>
  <c r="CO123" i="26" s="1"/>
  <c r="ID54" i="26"/>
  <c r="IE54" i="26"/>
  <c r="CM123" i="26" s="1"/>
  <c r="IG37" i="26"/>
  <c r="CO106" i="26" s="1"/>
  <c r="IE37" i="26"/>
  <c r="CM106" i="26" s="1"/>
  <c r="IE48" i="26"/>
  <c r="CM117" i="26" s="1"/>
  <c r="IG43" i="26"/>
  <c r="CO112" i="26" s="1"/>
  <c r="IE43" i="26"/>
  <c r="CM112" i="26" s="1"/>
  <c r="ID62" i="26"/>
  <c r="CL131" i="26" s="1"/>
  <c r="IE62" i="26"/>
  <c r="CM131" i="26" s="1"/>
  <c r="IE38" i="26"/>
  <c r="CM107" i="26" s="1"/>
  <c r="IF49" i="26"/>
  <c r="CN118" i="26" s="1"/>
  <c r="IE49" i="26"/>
  <c r="CM118" i="26" s="1"/>
  <c r="IF53" i="26"/>
  <c r="CN122" i="26" s="1"/>
  <c r="IE53" i="26"/>
  <c r="CM122" i="26" s="1"/>
  <c r="IG56" i="26"/>
  <c r="CO125" i="26" s="1"/>
  <c r="IE56" i="26"/>
  <c r="CM125" i="26" s="1"/>
  <c r="ID56" i="26"/>
  <c r="IG57" i="26"/>
  <c r="CO126" i="26" s="1"/>
  <c r="IE57" i="26"/>
  <c r="CM126" i="26" s="1"/>
  <c r="ID57" i="26"/>
  <c r="IG58" i="26"/>
  <c r="CO127" i="26" s="1"/>
  <c r="ID58" i="26"/>
  <c r="CL127" i="26" s="1"/>
  <c r="IE58" i="26"/>
  <c r="CM127" i="26" s="1"/>
  <c r="IG52" i="26"/>
  <c r="CO121" i="26" s="1"/>
  <c r="IE52" i="26"/>
  <c r="CM121" i="26" s="1"/>
  <c r="IF59" i="26"/>
  <c r="CN128" i="26" s="1"/>
  <c r="ID59" i="26"/>
  <c r="CL128" i="26" s="1"/>
  <c r="IE59" i="26"/>
  <c r="CM128" i="26" s="1"/>
  <c r="IG60" i="26"/>
  <c r="CO129" i="26" s="1"/>
  <c r="ID60" i="26"/>
  <c r="CL129" i="26" s="1"/>
  <c r="IE60" i="26"/>
  <c r="CM129" i="26" s="1"/>
  <c r="IG55" i="26"/>
  <c r="CO124" i="26" s="1"/>
  <c r="ID55" i="26"/>
  <c r="IE55" i="26"/>
  <c r="CM124" i="26" s="1"/>
  <c r="IF39" i="26"/>
  <c r="CN108" i="26" s="1"/>
  <c r="IE39" i="26"/>
  <c r="CM108" i="26" s="1"/>
  <c r="IF50" i="26"/>
  <c r="CN119" i="26" s="1"/>
  <c r="IE50" i="26"/>
  <c r="CM119" i="26" s="1"/>
  <c r="IG40" i="26"/>
  <c r="CO109" i="26" s="1"/>
  <c r="IE40" i="26"/>
  <c r="CM109" i="26" s="1"/>
  <c r="FD54" i="26"/>
  <c r="FC54" i="26"/>
  <c r="FC55" i="26"/>
  <c r="FC40" i="26"/>
  <c r="FE60" i="26"/>
  <c r="FC60" i="26"/>
  <c r="FE47" i="26"/>
  <c r="FC47" i="26"/>
  <c r="FE58" i="26"/>
  <c r="FC58" i="26"/>
  <c r="FD41" i="26"/>
  <c r="FC41" i="26"/>
  <c r="FE39" i="26"/>
  <c r="FC39" i="26"/>
  <c r="FE52" i="26"/>
  <c r="FC52" i="26"/>
  <c r="FD51" i="26"/>
  <c r="FC51" i="26"/>
  <c r="FE44" i="26"/>
  <c r="FC44" i="26"/>
  <c r="FE48" i="26"/>
  <c r="FC48" i="26"/>
  <c r="FE42" i="26"/>
  <c r="FC42" i="26"/>
  <c r="FD43" i="26"/>
  <c r="FC43" i="26"/>
  <c r="FD38" i="26"/>
  <c r="FC38" i="26"/>
  <c r="FE50" i="26"/>
  <c r="FC50" i="26"/>
  <c r="FD37" i="26"/>
  <c r="FC37" i="26"/>
  <c r="L58" i="26"/>
  <c r="M58" i="26" s="1"/>
  <c r="L55" i="26"/>
  <c r="M55" i="26" s="1"/>
  <c r="L61" i="26"/>
  <c r="M61" i="26" s="1"/>
  <c r="L47" i="26"/>
  <c r="L59" i="26"/>
  <c r="L54" i="26"/>
  <c r="L62" i="26"/>
  <c r="L60" i="26"/>
  <c r="L46" i="26"/>
  <c r="M46" i="26" s="1"/>
  <c r="L53" i="26"/>
  <c r="M53" i="26" s="1"/>
  <c r="AE58" i="26"/>
  <c r="M127" i="26" s="1"/>
  <c r="AE54" i="26"/>
  <c r="M123" i="26" s="1"/>
  <c r="AJ13" i="21"/>
  <c r="AK13" i="21" s="1"/>
  <c r="AJ12" i="21"/>
  <c r="AK12" i="21" s="1"/>
  <c r="AJ23" i="21"/>
  <c r="AK23" i="21" s="1"/>
  <c r="AJ17" i="21"/>
  <c r="AK17" i="21" s="1"/>
  <c r="AJ20" i="21"/>
  <c r="AK20" i="21" s="1"/>
  <c r="AJ32" i="21"/>
  <c r="AK32" i="21" s="1"/>
  <c r="AJ16" i="21"/>
  <c r="AK16" i="21" s="1"/>
  <c r="AJ19" i="21"/>
  <c r="AK19" i="21" s="1"/>
  <c r="AJ34" i="21"/>
  <c r="AK34" i="21" s="1"/>
  <c r="AJ11" i="21"/>
  <c r="AK11" i="21" s="1"/>
  <c r="AJ21" i="21"/>
  <c r="AK21" i="21" s="1"/>
  <c r="AJ15" i="21"/>
  <c r="AK15" i="21" s="1"/>
  <c r="AJ29" i="21"/>
  <c r="AK29" i="21" s="1"/>
  <c r="AJ18" i="21"/>
  <c r="AK18" i="21" s="1"/>
  <c r="AJ10" i="21"/>
  <c r="AK10" i="21" s="1"/>
  <c r="AJ14" i="21"/>
  <c r="AK14" i="21" s="1"/>
  <c r="AJ33" i="21"/>
  <c r="AK33" i="21" s="1"/>
  <c r="EZ83" i="26"/>
  <c r="EZ79" i="26"/>
  <c r="CN93" i="26"/>
  <c r="EJ83" i="26"/>
  <c r="EJ79" i="26"/>
  <c r="DT91" i="26"/>
  <c r="DT71" i="26"/>
  <c r="DD75" i="26"/>
  <c r="DD70" i="26"/>
  <c r="EZ93" i="26"/>
  <c r="CN82" i="26"/>
  <c r="CN88" i="26"/>
  <c r="EJ92" i="26"/>
  <c r="DT88" i="26"/>
  <c r="DD90" i="26"/>
  <c r="DD69" i="26"/>
  <c r="EZ76" i="26"/>
  <c r="EZ92" i="26"/>
  <c r="EZ85" i="26"/>
  <c r="CN85" i="26"/>
  <c r="CN72" i="26"/>
  <c r="CN79" i="26"/>
  <c r="EJ74" i="26"/>
  <c r="EJ82" i="26"/>
  <c r="EJ81" i="26"/>
  <c r="DT90" i="26"/>
  <c r="DT69" i="26"/>
  <c r="DT78" i="26"/>
  <c r="DT77" i="26"/>
  <c r="DD73" i="26"/>
  <c r="DD85" i="26"/>
  <c r="DD79" i="26"/>
  <c r="EZ68" i="26"/>
  <c r="EZ89" i="26"/>
  <c r="CN91" i="26"/>
  <c r="CN77" i="26"/>
  <c r="EJ70" i="26"/>
  <c r="DT87" i="26"/>
  <c r="DD92" i="26"/>
  <c r="DD80" i="26"/>
  <c r="EZ80" i="26"/>
  <c r="EZ84" i="26"/>
  <c r="EZ70" i="26"/>
  <c r="CN75" i="26"/>
  <c r="EJ91" i="26"/>
  <c r="EJ85" i="26"/>
  <c r="DT72" i="26"/>
  <c r="DT68" i="26"/>
  <c r="DD72" i="26"/>
  <c r="DD84" i="26"/>
  <c r="EZ81" i="26"/>
  <c r="EZ91" i="26"/>
  <c r="EZ82" i="26"/>
  <c r="CN89" i="26"/>
  <c r="CN83" i="26"/>
  <c r="CN81" i="26"/>
  <c r="EJ73" i="26"/>
  <c r="EJ69" i="26"/>
  <c r="EJ84" i="26"/>
  <c r="DT84" i="26"/>
  <c r="DT92" i="26"/>
  <c r="DT83" i="26"/>
  <c r="DT86" i="26"/>
  <c r="DD76" i="26"/>
  <c r="DD74" i="26"/>
  <c r="DD83" i="26"/>
  <c r="EZ71" i="26"/>
  <c r="EZ90" i="26"/>
  <c r="EZ77" i="26"/>
  <c r="CN86" i="26"/>
  <c r="CN69" i="26"/>
  <c r="CN76" i="26"/>
  <c r="EJ93" i="26"/>
  <c r="EJ80" i="26"/>
  <c r="EJ71" i="26"/>
  <c r="EJ87" i="26"/>
  <c r="DT93" i="26"/>
  <c r="DT79" i="26"/>
  <c r="DT76" i="26"/>
  <c r="DD91" i="26"/>
  <c r="DD78" i="26"/>
  <c r="DD82" i="26"/>
  <c r="EZ74" i="26"/>
  <c r="EZ69" i="26"/>
  <c r="EZ78" i="26"/>
  <c r="CN71" i="26"/>
  <c r="CN90" i="26"/>
  <c r="CN70" i="26"/>
  <c r="EJ89" i="26"/>
  <c r="EJ76" i="26"/>
  <c r="EJ77" i="26"/>
  <c r="EJ68" i="26"/>
  <c r="DT75" i="26"/>
  <c r="DT73" i="26"/>
  <c r="DT80" i="26"/>
  <c r="DD68" i="26"/>
  <c r="DD93" i="26"/>
  <c r="DD88" i="26"/>
  <c r="EZ87" i="26"/>
  <c r="EZ75" i="26"/>
  <c r="EZ88" i="26"/>
  <c r="CN73" i="26"/>
  <c r="CN78" i="26"/>
  <c r="CN74" i="26"/>
  <c r="CN68" i="26"/>
  <c r="EJ90" i="26"/>
  <c r="EJ72" i="26"/>
  <c r="EJ78" i="26"/>
  <c r="DT70" i="26"/>
  <c r="DT82" i="26"/>
  <c r="DT81" i="26"/>
  <c r="DD89" i="26"/>
  <c r="DD86" i="26"/>
  <c r="DD77" i="26"/>
  <c r="EZ86" i="26"/>
  <c r="EZ72" i="26"/>
  <c r="EZ73" i="26"/>
  <c r="CN80" i="26"/>
  <c r="CN84" i="26"/>
  <c r="CN92" i="26"/>
  <c r="CN87" i="26"/>
  <c r="EJ86" i="26"/>
  <c r="EJ75" i="26"/>
  <c r="EJ88" i="26"/>
  <c r="DT89" i="26"/>
  <c r="DT85" i="26"/>
  <c r="DT74" i="26"/>
  <c r="DD81" i="26"/>
  <c r="DD71" i="26"/>
  <c r="DD87" i="26"/>
  <c r="R25" i="29"/>
  <c r="W23" i="29" s="1"/>
  <c r="N107" i="28"/>
  <c r="N110" i="28"/>
  <c r="F14" i="33"/>
  <c r="F33" i="33"/>
  <c r="F16" i="33"/>
  <c r="F29" i="33"/>
  <c r="F15" i="33"/>
  <c r="F19" i="33"/>
  <c r="F17" i="33"/>
  <c r="F18" i="33"/>
  <c r="F12" i="33"/>
  <c r="F23" i="33"/>
  <c r="F34" i="33"/>
  <c r="F10" i="33"/>
  <c r="F20" i="33"/>
  <c r="F11" i="33"/>
  <c r="F32" i="33"/>
  <c r="F13" i="33"/>
  <c r="F21" i="33"/>
  <c r="Z19" i="21"/>
  <c r="Z17" i="21"/>
  <c r="Z11" i="21"/>
  <c r="Z15" i="21"/>
  <c r="Z33" i="21"/>
  <c r="Z21" i="21"/>
  <c r="Z18" i="21"/>
  <c r="Z14" i="21"/>
  <c r="Z10" i="21"/>
  <c r="Z29" i="21"/>
  <c r="Z32" i="21"/>
  <c r="Z12" i="21"/>
  <c r="Z20" i="21"/>
  <c r="Z16" i="21"/>
  <c r="Z23" i="21"/>
  <c r="Z13" i="21"/>
  <c r="Z34" i="21"/>
  <c r="S25" i="21"/>
  <c r="S26" i="21"/>
  <c r="L80" i="26"/>
  <c r="M80" i="26" s="1"/>
  <c r="L92" i="26"/>
  <c r="M92" i="26" s="1"/>
  <c r="CQ106" i="26"/>
  <c r="L70" i="26"/>
  <c r="M70" i="26" s="1"/>
  <c r="L71" i="26"/>
  <c r="M71" i="26" s="1"/>
  <c r="L72" i="26"/>
  <c r="M72" i="26" s="1"/>
  <c r="L84" i="26"/>
  <c r="M84" i="26" s="1"/>
  <c r="L82" i="26"/>
  <c r="M82" i="26" s="1"/>
  <c r="L90" i="26"/>
  <c r="M90" i="26" s="1"/>
  <c r="L91" i="26"/>
  <c r="M91" i="26" s="1"/>
  <c r="L77" i="26"/>
  <c r="M77" i="26" s="1"/>
  <c r="FE37" i="26"/>
  <c r="FD44" i="26"/>
  <c r="IG50" i="26"/>
  <c r="CO119" i="26" s="1"/>
  <c r="IF40" i="26"/>
  <c r="FD48" i="26"/>
  <c r="IF57" i="26"/>
  <c r="CN126" i="26" s="1"/>
  <c r="IF37" i="26"/>
  <c r="CN106" i="26" s="1"/>
  <c r="FD50" i="26"/>
  <c r="IG62" i="26"/>
  <c r="IF62" i="26"/>
  <c r="FD60" i="26"/>
  <c r="FB60" i="26" s="1"/>
  <c r="FE41" i="26"/>
  <c r="IG53" i="26"/>
  <c r="CO122" i="26" s="1"/>
  <c r="IF52" i="26"/>
  <c r="CN121" i="26" s="1"/>
  <c r="IF43" i="26"/>
  <c r="FE51" i="26"/>
  <c r="FD42" i="26"/>
  <c r="FD58" i="26"/>
  <c r="IF60" i="26"/>
  <c r="CN129" i="26" s="1"/>
  <c r="FE38" i="26"/>
  <c r="IF54" i="26"/>
  <c r="IF58" i="26"/>
  <c r="CN127" i="26" s="1"/>
  <c r="IF56" i="26"/>
  <c r="FD47" i="26"/>
  <c r="IF48" i="26"/>
  <c r="IG48" i="26"/>
  <c r="CO117" i="26" s="1"/>
  <c r="IG49" i="26"/>
  <c r="CO118" i="26" s="1"/>
  <c r="IG39" i="26"/>
  <c r="CO108" i="26" s="1"/>
  <c r="FE54" i="26"/>
  <c r="FD52" i="26"/>
  <c r="IG59" i="26"/>
  <c r="CO128" i="26" s="1"/>
  <c r="IF55" i="26"/>
  <c r="CN124" i="26" s="1"/>
  <c r="FE43" i="26"/>
  <c r="IF51" i="26"/>
  <c r="CN120" i="26" s="1"/>
  <c r="FD40" i="26"/>
  <c r="IF46" i="26"/>
  <c r="FD39" i="26"/>
  <c r="FE40" i="26"/>
  <c r="BH55" i="26"/>
  <c r="FP44" i="26"/>
  <c r="EJ60" i="26"/>
  <c r="EK60" i="26" s="1"/>
  <c r="BH50" i="26"/>
  <c r="HL38" i="26"/>
  <c r="BH89" i="26"/>
  <c r="DT38" i="26"/>
  <c r="DU38" i="26" s="1"/>
  <c r="GV60" i="26"/>
  <c r="BX41" i="26"/>
  <c r="BH37" i="26"/>
  <c r="FP41" i="26"/>
  <c r="CN46" i="26"/>
  <c r="CO46" i="26" s="1"/>
  <c r="CN47" i="26"/>
  <c r="CO47" i="26" s="1"/>
  <c r="EJ55" i="26"/>
  <c r="EK55" i="26" s="1"/>
  <c r="BH91" i="26"/>
  <c r="AR50" i="26"/>
  <c r="DT57" i="26"/>
  <c r="DU57" i="26" s="1"/>
  <c r="GF62" i="26"/>
  <c r="GF46" i="26"/>
  <c r="GV46" i="26"/>
  <c r="GV45" i="26"/>
  <c r="DD41" i="26"/>
  <c r="DE41" i="26" s="1"/>
  <c r="AR88" i="26"/>
  <c r="AR85" i="26"/>
  <c r="BX48" i="26"/>
  <c r="HL44" i="26"/>
  <c r="FP59" i="26"/>
  <c r="CN40" i="26"/>
  <c r="CO40" i="26" s="1"/>
  <c r="EJ42" i="26"/>
  <c r="EK42" i="26" s="1"/>
  <c r="BH76" i="26"/>
  <c r="AR46" i="26"/>
  <c r="DT51" i="26"/>
  <c r="DU51" i="26" s="1"/>
  <c r="DT59" i="26"/>
  <c r="DU59" i="26" s="1"/>
  <c r="GF59" i="26"/>
  <c r="DD57" i="26"/>
  <c r="DE57" i="26" s="1"/>
  <c r="DD55" i="26"/>
  <c r="DE55" i="26" s="1"/>
  <c r="IF38" i="26"/>
  <c r="IG38" i="26"/>
  <c r="CO107" i="26" s="1"/>
  <c r="AR76" i="26"/>
  <c r="BX58" i="26"/>
  <c r="HL41" i="26"/>
  <c r="AR47" i="26"/>
  <c r="FE55" i="26"/>
  <c r="FD55" i="26"/>
  <c r="FB56" i="26" s="1"/>
  <c r="BH47" i="26"/>
  <c r="BH54" i="26"/>
  <c r="BH49" i="26"/>
  <c r="BH58" i="26"/>
  <c r="HL46" i="26"/>
  <c r="HL47" i="26"/>
  <c r="HL55" i="26"/>
  <c r="FP42" i="26"/>
  <c r="FP37" i="26"/>
  <c r="FP46" i="26"/>
  <c r="CN55" i="26"/>
  <c r="CO55" i="26" s="1"/>
  <c r="CN51" i="26"/>
  <c r="CO51" i="26" s="1"/>
  <c r="CN42" i="26"/>
  <c r="CO42" i="26" s="1"/>
  <c r="EJ48" i="26"/>
  <c r="EK48" i="26" s="1"/>
  <c r="EJ62" i="26"/>
  <c r="EK62" i="26" s="1"/>
  <c r="EJ37" i="26"/>
  <c r="EK37" i="26" s="1"/>
  <c r="EJ38" i="26"/>
  <c r="EK38" i="26" s="1"/>
  <c r="BH70" i="26"/>
  <c r="BH84" i="26"/>
  <c r="BH75" i="26"/>
  <c r="AR40" i="26"/>
  <c r="AR37" i="26"/>
  <c r="AR60" i="26"/>
  <c r="DT50" i="26"/>
  <c r="DU50" i="26" s="1"/>
  <c r="DT49" i="26"/>
  <c r="DU49" i="26" s="1"/>
  <c r="DT41" i="26"/>
  <c r="DU41" i="26" s="1"/>
  <c r="GF57" i="26"/>
  <c r="GF43" i="26"/>
  <c r="GF56" i="26"/>
  <c r="GF37" i="26"/>
  <c r="GV39" i="26"/>
  <c r="GV53" i="26"/>
  <c r="GV44" i="26"/>
  <c r="DD48" i="26"/>
  <c r="DE48" i="26" s="1"/>
  <c r="DD56" i="26"/>
  <c r="DE56" i="26" s="1"/>
  <c r="DD50" i="26"/>
  <c r="DE50" i="26" s="1"/>
  <c r="AR74" i="26"/>
  <c r="AR93" i="26"/>
  <c r="AR89" i="26"/>
  <c r="BX53" i="26"/>
  <c r="BX56" i="26"/>
  <c r="BX39" i="26"/>
  <c r="BX49" i="26"/>
  <c r="BH62" i="26"/>
  <c r="BH57" i="26"/>
  <c r="BH42" i="26"/>
  <c r="BH43" i="26"/>
  <c r="HL48" i="26"/>
  <c r="HL49" i="26"/>
  <c r="HL60" i="26"/>
  <c r="FP51" i="26"/>
  <c r="FP45" i="26"/>
  <c r="FP55" i="26"/>
  <c r="CN57" i="26"/>
  <c r="CO57" i="26" s="1"/>
  <c r="CN49" i="26"/>
  <c r="CO49" i="26" s="1"/>
  <c r="CN39" i="26"/>
  <c r="CO39" i="26" s="1"/>
  <c r="EJ59" i="26"/>
  <c r="EK59" i="26" s="1"/>
  <c r="EJ53" i="26"/>
  <c r="EK53" i="26" s="1"/>
  <c r="EJ61" i="26"/>
  <c r="EK61" i="26" s="1"/>
  <c r="BH79" i="26"/>
  <c r="BH73" i="26"/>
  <c r="BH87" i="26"/>
  <c r="AR39" i="26"/>
  <c r="AR61" i="26"/>
  <c r="AR59" i="26"/>
  <c r="DT61" i="26"/>
  <c r="DU61" i="26" s="1"/>
  <c r="DT60" i="26"/>
  <c r="DU60" i="26" s="1"/>
  <c r="DT43" i="26"/>
  <c r="DU43" i="26" s="1"/>
  <c r="DT46" i="26"/>
  <c r="DU46" i="26" s="1"/>
  <c r="GF61" i="26"/>
  <c r="GF55" i="26"/>
  <c r="GF42" i="26"/>
  <c r="GV54" i="26"/>
  <c r="GV48" i="26"/>
  <c r="GV57" i="26"/>
  <c r="DD60" i="26"/>
  <c r="DE60" i="26" s="1"/>
  <c r="DD47" i="26"/>
  <c r="DE47" i="26" s="1"/>
  <c r="DD37" i="26"/>
  <c r="DE37" i="26" s="1"/>
  <c r="AR84" i="26"/>
  <c r="AR81" i="26"/>
  <c r="AR87" i="26"/>
  <c r="BX45" i="26"/>
  <c r="BX42" i="26"/>
  <c r="BX37" i="26"/>
  <c r="BX46" i="26"/>
  <c r="FP62" i="26"/>
  <c r="BH78" i="26"/>
  <c r="DT47" i="26"/>
  <c r="DU47" i="26" s="1"/>
  <c r="GV51" i="26"/>
  <c r="BX61" i="26"/>
  <c r="BH56" i="26"/>
  <c r="BH59" i="26"/>
  <c r="BH51" i="26"/>
  <c r="HL56" i="26"/>
  <c r="HL50" i="26"/>
  <c r="HL53" i="26"/>
  <c r="FP60" i="26"/>
  <c r="FP43" i="26"/>
  <c r="FP39" i="26"/>
  <c r="FP40" i="26"/>
  <c r="CN48" i="26"/>
  <c r="CO48" i="26" s="1"/>
  <c r="CN44" i="26"/>
  <c r="CO44" i="26" s="1"/>
  <c r="CN38" i="26"/>
  <c r="CO38" i="26" s="1"/>
  <c r="EJ58" i="26"/>
  <c r="EK58" i="26" s="1"/>
  <c r="EJ51" i="26"/>
  <c r="EK51" i="26" s="1"/>
  <c r="EJ57" i="26"/>
  <c r="EK57" i="26" s="1"/>
  <c r="BH86" i="26"/>
  <c r="BH80" i="26"/>
  <c r="BH83" i="26"/>
  <c r="AR44" i="26"/>
  <c r="AR48" i="26"/>
  <c r="AR45" i="26"/>
  <c r="AR51" i="26"/>
  <c r="DT42" i="26"/>
  <c r="DU42" i="26" s="1"/>
  <c r="DT62" i="26"/>
  <c r="DU62" i="26" s="1"/>
  <c r="DT58" i="26"/>
  <c r="DU58" i="26" s="1"/>
  <c r="GF40" i="26"/>
  <c r="GF58" i="26"/>
  <c r="GF38" i="26"/>
  <c r="GV47" i="26"/>
  <c r="GV42" i="26"/>
  <c r="GV52" i="26"/>
  <c r="DD54" i="26"/>
  <c r="DE54" i="26" s="1"/>
  <c r="DD40" i="26"/>
  <c r="DE40" i="26" s="1"/>
  <c r="DD43" i="26"/>
  <c r="DE43" i="26" s="1"/>
  <c r="DD59" i="26"/>
  <c r="DE59" i="26" s="1"/>
  <c r="AR82" i="26"/>
  <c r="AR91" i="26"/>
  <c r="AR68" i="26"/>
  <c r="BX38" i="26"/>
  <c r="BX51" i="26"/>
  <c r="BX40" i="26"/>
  <c r="BH53" i="26"/>
  <c r="BH61" i="26"/>
  <c r="HL61" i="26"/>
  <c r="FP50" i="26"/>
  <c r="CN58" i="26"/>
  <c r="CO58" i="26" s="1"/>
  <c r="EJ56" i="26"/>
  <c r="EK56" i="26" s="1"/>
  <c r="EJ41" i="26"/>
  <c r="EK41" i="26" s="1"/>
  <c r="BH90" i="26"/>
  <c r="AR41" i="26"/>
  <c r="DT40" i="26"/>
  <c r="DU40" i="26" s="1"/>
  <c r="GF51" i="26"/>
  <c r="GF53" i="26"/>
  <c r="GV43" i="26"/>
  <c r="GV40" i="26"/>
  <c r="DD45" i="26"/>
  <c r="DE45" i="26" s="1"/>
  <c r="AR72" i="26"/>
  <c r="AR86" i="26"/>
  <c r="BX44" i="26"/>
  <c r="BH38" i="26"/>
  <c r="BH44" i="26"/>
  <c r="BH45" i="26"/>
  <c r="HL52" i="26"/>
  <c r="HL51" i="26"/>
  <c r="HL62" i="26"/>
  <c r="FP58" i="26"/>
  <c r="FP57" i="26"/>
  <c r="FP56" i="26"/>
  <c r="FP38" i="26"/>
  <c r="CN60" i="26"/>
  <c r="CO60" i="26" s="1"/>
  <c r="CN54" i="26"/>
  <c r="CO54" i="26" s="1"/>
  <c r="CN50" i="26"/>
  <c r="CO50" i="26" s="1"/>
  <c r="EJ50" i="26"/>
  <c r="EK50" i="26" s="1"/>
  <c r="EJ52" i="26"/>
  <c r="EK52" i="26" s="1"/>
  <c r="EJ46" i="26"/>
  <c r="EK46" i="26" s="1"/>
  <c r="BH72" i="26"/>
  <c r="BH92" i="26"/>
  <c r="BH69" i="26"/>
  <c r="BH88" i="26"/>
  <c r="AR43" i="26"/>
  <c r="AR62" i="26"/>
  <c r="AR42" i="26"/>
  <c r="DT53" i="26"/>
  <c r="DU53" i="26" s="1"/>
  <c r="DT52" i="26"/>
  <c r="DU52" i="26" s="1"/>
  <c r="DT54" i="26"/>
  <c r="DU54" i="26" s="1"/>
  <c r="GF41" i="26"/>
  <c r="GF52" i="26"/>
  <c r="GF45" i="26"/>
  <c r="GV62" i="26"/>
  <c r="GV50" i="26"/>
  <c r="GV55" i="26"/>
  <c r="GV49" i="26"/>
  <c r="DD62" i="26"/>
  <c r="DE62" i="26" s="1"/>
  <c r="DD61" i="26"/>
  <c r="DE61" i="26" s="1"/>
  <c r="DD42" i="26"/>
  <c r="DE42" i="26" s="1"/>
  <c r="AR92" i="26"/>
  <c r="AR70" i="26"/>
  <c r="AR90" i="26"/>
  <c r="BX50" i="26"/>
  <c r="BX47" i="26"/>
  <c r="BX57" i="26"/>
  <c r="BH40" i="26"/>
  <c r="HL54" i="26"/>
  <c r="HL40" i="26"/>
  <c r="FP52" i="26"/>
  <c r="CN62" i="26"/>
  <c r="CO62" i="26" s="1"/>
  <c r="CN41" i="26"/>
  <c r="CO41" i="26" s="1"/>
  <c r="EJ54" i="26"/>
  <c r="EK54" i="26" s="1"/>
  <c r="BH81" i="26"/>
  <c r="AR56" i="26"/>
  <c r="AR54" i="26"/>
  <c r="AR52" i="26"/>
  <c r="DT48" i="26"/>
  <c r="DU48" i="26" s="1"/>
  <c r="GF60" i="26"/>
  <c r="DD39" i="26"/>
  <c r="DE39" i="26" s="1"/>
  <c r="DD46" i="26"/>
  <c r="DE46" i="26" s="1"/>
  <c r="DD44" i="26"/>
  <c r="DE44" i="26" s="1"/>
  <c r="AR80" i="26"/>
  <c r="BX62" i="26"/>
  <c r="BH60" i="26"/>
  <c r="BH52" i="26"/>
  <c r="BH48" i="26"/>
  <c r="HL37" i="26"/>
  <c r="HL39" i="26"/>
  <c r="HL43" i="26"/>
  <c r="HL45" i="26"/>
  <c r="FP61" i="26"/>
  <c r="FP54" i="26"/>
  <c r="FP47" i="26"/>
  <c r="CN43" i="26"/>
  <c r="CO43" i="26" s="1"/>
  <c r="CN52" i="26"/>
  <c r="CO52" i="26" s="1"/>
  <c r="CN37" i="26"/>
  <c r="CO37" i="26" s="1"/>
  <c r="CN59" i="26"/>
  <c r="CO59" i="26" s="1"/>
  <c r="EJ39" i="26"/>
  <c r="EK39" i="26" s="1"/>
  <c r="EJ47" i="26"/>
  <c r="EK47" i="26" s="1"/>
  <c r="EJ43" i="26"/>
  <c r="EK43" i="26" s="1"/>
  <c r="BH74" i="26"/>
  <c r="BH71" i="26"/>
  <c r="BH77" i="26"/>
  <c r="BH93" i="26"/>
  <c r="AR49" i="26"/>
  <c r="AR53" i="26"/>
  <c r="AR57" i="26"/>
  <c r="DT45" i="26"/>
  <c r="DU45" i="26" s="1"/>
  <c r="DT55" i="26"/>
  <c r="DU55" i="26" s="1"/>
  <c r="DT44" i="26"/>
  <c r="DU44" i="26" s="1"/>
  <c r="GF49" i="26"/>
  <c r="GF44" i="26"/>
  <c r="GF50" i="26"/>
  <c r="GV41" i="26"/>
  <c r="GV38" i="26"/>
  <c r="GV59" i="26"/>
  <c r="GV37" i="26"/>
  <c r="DD49" i="26"/>
  <c r="DE49" i="26" s="1"/>
  <c r="DD58" i="26"/>
  <c r="DE58" i="26" s="1"/>
  <c r="DD51" i="26"/>
  <c r="DE51" i="26" s="1"/>
  <c r="AR71" i="26"/>
  <c r="AR73" i="26"/>
  <c r="AR79" i="26"/>
  <c r="AR77" i="26"/>
  <c r="BX52" i="26"/>
  <c r="BX59" i="26"/>
  <c r="BX54" i="26"/>
  <c r="BH46" i="26"/>
  <c r="BH41" i="26"/>
  <c r="BH39" i="26"/>
  <c r="HL59" i="26"/>
  <c r="HL57" i="26"/>
  <c r="HL42" i="26"/>
  <c r="HL58" i="26"/>
  <c r="FP49" i="26"/>
  <c r="FP53" i="26"/>
  <c r="FP48" i="26"/>
  <c r="CN53" i="26"/>
  <c r="CO53" i="26" s="1"/>
  <c r="CN56" i="26"/>
  <c r="CO56" i="26" s="1"/>
  <c r="CN45" i="26"/>
  <c r="CO45" i="26" s="1"/>
  <c r="CN61" i="26"/>
  <c r="CO61" i="26" s="1"/>
  <c r="EJ40" i="26"/>
  <c r="EK40" i="26" s="1"/>
  <c r="EJ45" i="26"/>
  <c r="EK45" i="26" s="1"/>
  <c r="EJ44" i="26"/>
  <c r="EK44" i="26" s="1"/>
  <c r="EJ49" i="26"/>
  <c r="EK49" i="26" s="1"/>
  <c r="BH68" i="26"/>
  <c r="BH85" i="26"/>
  <c r="BH82" i="26"/>
  <c r="AR38" i="26"/>
  <c r="AR58" i="26"/>
  <c r="AR55" i="26"/>
  <c r="DT37" i="26"/>
  <c r="DU37" i="26" s="1"/>
  <c r="DT39" i="26"/>
  <c r="DU39" i="26" s="1"/>
  <c r="DT56" i="26"/>
  <c r="DU56" i="26" s="1"/>
  <c r="GF39" i="26"/>
  <c r="GF54" i="26"/>
  <c r="GF48" i="26"/>
  <c r="GF47" i="26"/>
  <c r="GV56" i="26"/>
  <c r="GV58" i="26"/>
  <c r="GV61" i="26"/>
  <c r="DD38" i="26"/>
  <c r="DE38" i="26" s="1"/>
  <c r="DD53" i="26"/>
  <c r="DE53" i="26" s="1"/>
  <c r="DD52" i="26"/>
  <c r="DE52" i="26" s="1"/>
  <c r="AR75" i="26"/>
  <c r="AR78" i="26"/>
  <c r="AR69" i="26"/>
  <c r="AR83" i="26"/>
  <c r="BX60" i="26"/>
  <c r="BX55" i="26"/>
  <c r="BX43" i="26"/>
  <c r="AB91" i="26"/>
  <c r="AB76" i="26"/>
  <c r="AB79" i="26"/>
  <c r="AB86" i="26"/>
  <c r="AB68" i="26"/>
  <c r="AB85" i="26"/>
  <c r="AB83" i="26"/>
  <c r="AB71" i="26"/>
  <c r="AB78" i="26"/>
  <c r="AB72" i="26"/>
  <c r="AB92" i="26"/>
  <c r="AB77" i="26"/>
  <c r="AB87" i="26"/>
  <c r="AB88" i="26"/>
  <c r="AB70" i="26"/>
  <c r="AB81" i="26"/>
  <c r="AB84" i="26"/>
  <c r="AB69" i="26"/>
  <c r="AB80" i="26"/>
  <c r="AB89" i="26"/>
  <c r="AB75" i="26"/>
  <c r="AB82" i="26"/>
  <c r="AB74" i="26"/>
  <c r="AB73" i="26"/>
  <c r="AB90" i="26"/>
  <c r="AB93" i="26"/>
  <c r="S27" i="21"/>
  <c r="AB59" i="26"/>
  <c r="AC59" i="26" s="1"/>
  <c r="L38" i="26"/>
  <c r="AB62" i="26"/>
  <c r="AC62" i="26" s="1"/>
  <c r="AB47" i="26"/>
  <c r="AC47" i="26" s="1"/>
  <c r="AB51" i="26"/>
  <c r="AC51" i="26" s="1"/>
  <c r="AB52" i="26"/>
  <c r="AC52" i="26" s="1"/>
  <c r="AB42" i="26"/>
  <c r="AC42" i="26" s="1"/>
  <c r="L51" i="26"/>
  <c r="AB49" i="26"/>
  <c r="AC49" i="26" s="1"/>
  <c r="K123" i="26"/>
  <c r="AB57" i="26"/>
  <c r="AC57" i="26" s="1"/>
  <c r="AB40" i="26"/>
  <c r="AC40" i="26" s="1"/>
  <c r="AB50" i="26"/>
  <c r="AC50" i="26" s="1"/>
  <c r="AB60" i="26"/>
  <c r="AC60" i="26" s="1"/>
  <c r="AB44" i="26"/>
  <c r="AC44" i="26" s="1"/>
  <c r="L52" i="26"/>
  <c r="K127" i="26"/>
  <c r="AB61" i="26"/>
  <c r="AC61" i="26" s="1"/>
  <c r="AB38" i="26"/>
  <c r="AC38" i="26" s="1"/>
  <c r="L48" i="26"/>
  <c r="AB56" i="26"/>
  <c r="AC56" i="26" s="1"/>
  <c r="AB55" i="26"/>
  <c r="AC55" i="26" s="1"/>
  <c r="L45" i="26"/>
  <c r="AB39" i="26"/>
  <c r="AC39" i="26" s="1"/>
  <c r="AB53" i="26"/>
  <c r="AC53" i="26" s="1"/>
  <c r="AB48" i="26"/>
  <c r="AC48" i="26" s="1"/>
  <c r="L42" i="26"/>
  <c r="L40" i="26"/>
  <c r="L39" i="26"/>
  <c r="L57" i="26"/>
  <c r="L49" i="26"/>
  <c r="L56" i="26"/>
  <c r="L44" i="26"/>
  <c r="L50" i="26"/>
  <c r="L41" i="26"/>
  <c r="L37" i="26"/>
  <c r="L43" i="26"/>
  <c r="S31" i="21"/>
  <c r="S10" i="21"/>
  <c r="AF46" i="26"/>
  <c r="AG46" i="26"/>
  <c r="O115" i="26" s="1"/>
  <c r="AF54" i="26"/>
  <c r="N123" i="26" s="1"/>
  <c r="AG54" i="26"/>
  <c r="O123" i="26" s="1"/>
  <c r="AF58" i="26"/>
  <c r="N127" i="26" s="1"/>
  <c r="AG58" i="26"/>
  <c r="O127" i="26" s="1"/>
  <c r="Q29" i="29"/>
  <c r="Q25" i="29"/>
  <c r="X39" i="21"/>
  <c r="Y39" i="21" s="1"/>
  <c r="Z39" i="21" s="1"/>
  <c r="S29" i="21"/>
  <c r="S32" i="21"/>
  <c r="S9" i="21"/>
  <c r="S23" i="21"/>
  <c r="S30" i="21"/>
  <c r="S24" i="21"/>
  <c r="S28" i="21"/>
  <c r="S34" i="21"/>
  <c r="S21" i="21"/>
  <c r="S22" i="21"/>
  <c r="S20" i="21"/>
  <c r="X44" i="21"/>
  <c r="Y44" i="21" s="1"/>
  <c r="Z44" i="21" s="1"/>
  <c r="X45" i="21"/>
  <c r="Y45" i="21" s="1"/>
  <c r="Z45" i="21" s="1"/>
  <c r="S18" i="21"/>
  <c r="X40" i="21"/>
  <c r="Y40" i="21" s="1"/>
  <c r="Z40" i="21" s="1"/>
  <c r="X46" i="21"/>
  <c r="Y46" i="21" s="1"/>
  <c r="Z46" i="21" s="1"/>
  <c r="X43" i="21"/>
  <c r="Y43" i="21" s="1"/>
  <c r="Z43" i="21" s="1"/>
  <c r="S11" i="21"/>
  <c r="X41" i="21"/>
  <c r="Y41" i="21" s="1"/>
  <c r="Z41" i="21" s="1"/>
  <c r="X42" i="21"/>
  <c r="Y42" i="21" s="1"/>
  <c r="Z42" i="21" s="1"/>
  <c r="S33" i="21"/>
  <c r="S19" i="21"/>
  <c r="S13" i="21"/>
  <c r="S16" i="21"/>
  <c r="AC3" i="21"/>
  <c r="S17" i="21"/>
  <c r="S12" i="21"/>
  <c r="S15" i="21"/>
  <c r="S14" i="21"/>
  <c r="AC6" i="21"/>
  <c r="X47" i="21"/>
  <c r="Y47" i="21" s="1"/>
  <c r="Z47" i="21" s="1"/>
  <c r="AC7" i="21"/>
  <c r="AC5" i="21"/>
  <c r="AC4" i="21"/>
  <c r="AF41" i="26"/>
  <c r="AG41" i="26"/>
  <c r="O110" i="26" s="1"/>
  <c r="AG43" i="26"/>
  <c r="O112" i="26" s="1"/>
  <c r="AF43" i="26"/>
  <c r="N112" i="26" s="1"/>
  <c r="AF37" i="26"/>
  <c r="AG37" i="26"/>
  <c r="O106" i="26" s="1"/>
  <c r="AF45" i="26"/>
  <c r="N114" i="26" s="1"/>
  <c r="AG45" i="26"/>
  <c r="O114" i="26" s="1"/>
  <c r="Q68" i="26"/>
  <c r="CU106" i="26" s="1"/>
  <c r="P68" i="26"/>
  <c r="CT106" i="26" s="1"/>
  <c r="U29" i="29"/>
  <c r="T29" i="29"/>
  <c r="S29" i="29"/>
  <c r="ES106" i="26" l="1"/>
  <c r="B193" i="28" s="1"/>
  <c r="FA68" i="26"/>
  <c r="ES122" i="26"/>
  <c r="B209" i="28" s="1"/>
  <c r="FA84" i="26"/>
  <c r="ES127" i="26"/>
  <c r="B214" i="28" s="1"/>
  <c r="FA89" i="26"/>
  <c r="FA92" i="26"/>
  <c r="ES130" i="26" s="1"/>
  <c r="B217" i="28" s="1"/>
  <c r="FA93" i="26"/>
  <c r="ES131" i="26" s="1"/>
  <c r="B218" i="28" s="1"/>
  <c r="ES117" i="26"/>
  <c r="B204" i="28" s="1"/>
  <c r="FA79" i="26"/>
  <c r="FA76" i="26"/>
  <c r="ES114" i="26" s="1"/>
  <c r="B201" i="28" s="1"/>
  <c r="ES124" i="26"/>
  <c r="B211" i="28" s="1"/>
  <c r="FA86" i="26"/>
  <c r="FA87" i="26"/>
  <c r="ES125" i="26" s="1"/>
  <c r="B212" i="28" s="1"/>
  <c r="FA74" i="26"/>
  <c r="ES112" i="26" s="1"/>
  <c r="B199" i="28" s="1"/>
  <c r="FA71" i="26"/>
  <c r="ES109" i="26" s="1"/>
  <c r="B196" i="28" s="1"/>
  <c r="ES119" i="26"/>
  <c r="B206" i="28" s="1"/>
  <c r="FA81" i="26"/>
  <c r="FA70" i="26"/>
  <c r="ES108" i="26" s="1"/>
  <c r="B195" i="28" s="1"/>
  <c r="ES123" i="26"/>
  <c r="B210" i="28" s="1"/>
  <c r="FA85" i="26"/>
  <c r="FA80" i="26"/>
  <c r="ES118" i="26" s="1"/>
  <c r="B205" i="28" s="1"/>
  <c r="FA72" i="26"/>
  <c r="ES110" i="26" s="1"/>
  <c r="B197" i="28" s="1"/>
  <c r="FA75" i="26"/>
  <c r="ES113" i="26" s="1"/>
  <c r="B200" i="28" s="1"/>
  <c r="ES107" i="26"/>
  <c r="B194" i="28" s="1"/>
  <c r="FA69" i="26"/>
  <c r="FA90" i="26"/>
  <c r="ES128" i="26" s="1"/>
  <c r="B215" i="28" s="1"/>
  <c r="ES129" i="26"/>
  <c r="B216" i="28" s="1"/>
  <c r="FA91" i="26"/>
  <c r="FA83" i="26"/>
  <c r="ES121" i="26" s="1"/>
  <c r="B208" i="28" s="1"/>
  <c r="FA73" i="26"/>
  <c r="ES111" i="26" s="1"/>
  <c r="B198" i="28" s="1"/>
  <c r="FA88" i="26"/>
  <c r="ES126" i="26" s="1"/>
  <c r="B213" i="28" s="1"/>
  <c r="ES116" i="26"/>
  <c r="B203" i="28" s="1"/>
  <c r="FA78" i="26"/>
  <c r="FA77" i="26"/>
  <c r="ES115" i="26" s="1"/>
  <c r="B202" i="28" s="1"/>
  <c r="FA82" i="26"/>
  <c r="ES120" i="26" s="1"/>
  <c r="B207" i="28" s="1"/>
  <c r="EK82" i="26"/>
  <c r="EM120" i="26" s="1"/>
  <c r="T176" i="28" s="1"/>
  <c r="EK89" i="26"/>
  <c r="EM127" i="26" s="1"/>
  <c r="T183" i="28" s="1"/>
  <c r="EK86" i="26"/>
  <c r="EM124" i="26" s="1"/>
  <c r="T180" i="28" s="1"/>
  <c r="EK90" i="26"/>
  <c r="EM128" i="26" s="1"/>
  <c r="T184" i="28" s="1"/>
  <c r="EK76" i="26"/>
  <c r="EM114" i="26" s="1"/>
  <c r="T170" i="28" s="1"/>
  <c r="EK80" i="26"/>
  <c r="EM118" i="26" s="1"/>
  <c r="T174" i="28" s="1"/>
  <c r="EK69" i="26"/>
  <c r="EM107" i="26" s="1"/>
  <c r="T163" i="28" s="1"/>
  <c r="EK75" i="26"/>
  <c r="EM113" i="26" s="1"/>
  <c r="T169" i="28" s="1"/>
  <c r="EK72" i="26"/>
  <c r="EM110" i="26" s="1"/>
  <c r="T166" i="28" s="1"/>
  <c r="EK77" i="26"/>
  <c r="EM115" i="26" s="1"/>
  <c r="T171" i="28" s="1"/>
  <c r="EK71" i="26"/>
  <c r="EM109" i="26" s="1"/>
  <c r="T165" i="28" s="1"/>
  <c r="EK84" i="26"/>
  <c r="EM122" i="26" s="1"/>
  <c r="T178" i="28" s="1"/>
  <c r="EK93" i="26"/>
  <c r="EM131" i="26" s="1"/>
  <c r="T187" i="28" s="1"/>
  <c r="EK88" i="26"/>
  <c r="EM126" i="26" s="1"/>
  <c r="T182" i="28" s="1"/>
  <c r="EK78" i="26"/>
  <c r="EM116" i="26" s="1"/>
  <c r="T172" i="28" s="1"/>
  <c r="EK68" i="26"/>
  <c r="EM106" i="26" s="1"/>
  <c r="T162" i="28" s="1"/>
  <c r="EK87" i="26"/>
  <c r="EM125" i="26" s="1"/>
  <c r="T181" i="28" s="1"/>
  <c r="EK83" i="26"/>
  <c r="EM121" i="26" s="1"/>
  <c r="T177" i="28" s="1"/>
  <c r="EK74" i="26"/>
  <c r="EM112" i="26" s="1"/>
  <c r="T168" i="28" s="1"/>
  <c r="EK73" i="26"/>
  <c r="EM111" i="26" s="1"/>
  <c r="T167" i="28" s="1"/>
  <c r="EK81" i="26"/>
  <c r="EM119" i="26" s="1"/>
  <c r="T175" i="28" s="1"/>
  <c r="EK91" i="26"/>
  <c r="EM129" i="26" s="1"/>
  <c r="T185" i="28" s="1"/>
  <c r="EK70" i="26"/>
  <c r="EM108" i="26" s="1"/>
  <c r="T164" i="28" s="1"/>
  <c r="EK92" i="26"/>
  <c r="EM130" i="26" s="1"/>
  <c r="T186" i="28" s="1"/>
  <c r="EK79" i="26"/>
  <c r="EM117" i="26" s="1"/>
  <c r="T173" i="28" s="1"/>
  <c r="EK85" i="26"/>
  <c r="EM123" i="26" s="1"/>
  <c r="T179" i="28" s="1"/>
  <c r="DU81" i="26"/>
  <c r="EG119" i="26" s="1"/>
  <c r="N175" i="28" s="1"/>
  <c r="DU76" i="26"/>
  <c r="EG114" i="26" s="1"/>
  <c r="N170" i="28" s="1"/>
  <c r="DU72" i="26"/>
  <c r="EG110" i="26" s="1"/>
  <c r="N166" i="28" s="1"/>
  <c r="DU68" i="26"/>
  <c r="EG106" i="26" s="1"/>
  <c r="N162" i="28" s="1"/>
  <c r="DU69" i="26"/>
  <c r="EG107" i="26" s="1"/>
  <c r="N163" i="28" s="1"/>
  <c r="DU74" i="26"/>
  <c r="EG112" i="26" s="1"/>
  <c r="N168" i="28" s="1"/>
  <c r="DU84" i="26"/>
  <c r="EG122" i="26" s="1"/>
  <c r="N178" i="28" s="1"/>
  <c r="EG116" i="26"/>
  <c r="N172" i="28" s="1"/>
  <c r="DU78" i="26"/>
  <c r="DU71" i="26"/>
  <c r="EG109" i="26" s="1"/>
  <c r="N165" i="28" s="1"/>
  <c r="DU90" i="26"/>
  <c r="EG128" i="26" s="1"/>
  <c r="N184" i="28" s="1"/>
  <c r="EG127" i="26"/>
  <c r="N183" i="28" s="1"/>
  <c r="DU89" i="26"/>
  <c r="DU70" i="26"/>
  <c r="EG108" i="26" s="1"/>
  <c r="N164" i="28" s="1"/>
  <c r="DU75" i="26"/>
  <c r="EG113" i="26" s="1"/>
  <c r="N169" i="28" s="1"/>
  <c r="EG131" i="26"/>
  <c r="N187" i="28" s="1"/>
  <c r="DU93" i="26"/>
  <c r="DU92" i="26"/>
  <c r="EG130" i="26" s="1"/>
  <c r="N186" i="28" s="1"/>
  <c r="DU77" i="26"/>
  <c r="EG115" i="26" s="1"/>
  <c r="N171" i="28" s="1"/>
  <c r="DU80" i="26"/>
  <c r="EG118" i="26" s="1"/>
  <c r="N174" i="28" s="1"/>
  <c r="DU86" i="26"/>
  <c r="EG124" i="26" s="1"/>
  <c r="N180" i="28" s="1"/>
  <c r="DU85" i="26"/>
  <c r="EG123" i="26" s="1"/>
  <c r="N179" i="28" s="1"/>
  <c r="DU82" i="26"/>
  <c r="EG120" i="26" s="1"/>
  <c r="N176" i="28" s="1"/>
  <c r="DU73" i="26"/>
  <c r="EG111" i="26" s="1"/>
  <c r="N167" i="28" s="1"/>
  <c r="DU79" i="26"/>
  <c r="EG117" i="26" s="1"/>
  <c r="N173" i="28" s="1"/>
  <c r="DU83" i="26"/>
  <c r="EG121" i="26" s="1"/>
  <c r="N177" i="28" s="1"/>
  <c r="DU87" i="26"/>
  <c r="EG125" i="26" s="1"/>
  <c r="N181" i="28" s="1"/>
  <c r="DU88" i="26"/>
  <c r="EG126" i="26" s="1"/>
  <c r="N182" i="28" s="1"/>
  <c r="DU91" i="26"/>
  <c r="EG129" i="26" s="1"/>
  <c r="N185" i="28" s="1"/>
  <c r="DE91" i="26"/>
  <c r="EA129" i="26" s="1"/>
  <c r="H185" i="28" s="1"/>
  <c r="DE79" i="26"/>
  <c r="EA117" i="26" s="1"/>
  <c r="H173" i="28" s="1"/>
  <c r="DE69" i="26"/>
  <c r="EA107" i="26" s="1"/>
  <c r="H163" i="28" s="1"/>
  <c r="DE86" i="26"/>
  <c r="EA124" i="26" s="1"/>
  <c r="H180" i="28" s="1"/>
  <c r="EA110" i="26"/>
  <c r="H166" i="28" s="1"/>
  <c r="DE72" i="26"/>
  <c r="DE70" i="26"/>
  <c r="EA108" i="26" s="1"/>
  <c r="H164" i="28" s="1"/>
  <c r="DE87" i="26"/>
  <c r="EA125" i="26" s="1"/>
  <c r="H181" i="28" s="1"/>
  <c r="DE77" i="26"/>
  <c r="EA115" i="26" s="1"/>
  <c r="H171" i="28" s="1"/>
  <c r="DE88" i="26"/>
  <c r="EA126" i="26" s="1"/>
  <c r="H182" i="28" s="1"/>
  <c r="DE82" i="26"/>
  <c r="EA120" i="26" s="1"/>
  <c r="H176" i="28" s="1"/>
  <c r="DE83" i="26"/>
  <c r="EA121" i="26" s="1"/>
  <c r="H177" i="28" s="1"/>
  <c r="DE84" i="26"/>
  <c r="EA122" i="26" s="1"/>
  <c r="H178" i="28" s="1"/>
  <c r="DE90" i="26"/>
  <c r="EA128" i="26" s="1"/>
  <c r="H184" i="28" s="1"/>
  <c r="DE68" i="26"/>
  <c r="EA106" i="26" s="1"/>
  <c r="H162" i="28" s="1"/>
  <c r="DE80" i="26"/>
  <c r="EA118" i="26" s="1"/>
  <c r="H174" i="28" s="1"/>
  <c r="DE81" i="26"/>
  <c r="EA119" i="26" s="1"/>
  <c r="H175" i="28" s="1"/>
  <c r="DE76" i="26"/>
  <c r="EA114" i="26" s="1"/>
  <c r="H170" i="28" s="1"/>
  <c r="DE71" i="26"/>
  <c r="EA109" i="26" s="1"/>
  <c r="H165" i="28" s="1"/>
  <c r="DE93" i="26"/>
  <c r="EA131" i="26" s="1"/>
  <c r="H187" i="28" s="1"/>
  <c r="DE92" i="26"/>
  <c r="EA130" i="26" s="1"/>
  <c r="H186" i="28" s="1"/>
  <c r="DE89" i="26"/>
  <c r="EA127" i="26" s="1"/>
  <c r="H183" i="28" s="1"/>
  <c r="DE75" i="26"/>
  <c r="EA113" i="26" s="1"/>
  <c r="H169" i="28" s="1"/>
  <c r="DE78" i="26"/>
  <c r="EA116" i="26" s="1"/>
  <c r="H172" i="28" s="1"/>
  <c r="DE74" i="26"/>
  <c r="EA112" i="26" s="1"/>
  <c r="H168" i="28" s="1"/>
  <c r="DE85" i="26"/>
  <c r="EA123" i="26" s="1"/>
  <c r="H179" i="28" s="1"/>
  <c r="EA111" i="26"/>
  <c r="H167" i="28" s="1"/>
  <c r="DE73" i="26"/>
  <c r="CO84" i="26"/>
  <c r="DU122" i="26" s="1"/>
  <c r="B178" i="28" s="1"/>
  <c r="CO90" i="26"/>
  <c r="DU128" i="26" s="1"/>
  <c r="B184" i="28" s="1"/>
  <c r="CO87" i="26"/>
  <c r="DU125" i="26" s="1"/>
  <c r="B181" i="28" s="1"/>
  <c r="CO91" i="26"/>
  <c r="DU129" i="26" s="1"/>
  <c r="B185" i="28" s="1"/>
  <c r="CO82" i="26"/>
  <c r="DU120" i="26" s="1"/>
  <c r="B176" i="28" s="1"/>
  <c r="CO93" i="26"/>
  <c r="DU131" i="26" s="1"/>
  <c r="B187" i="28" s="1"/>
  <c r="CO83" i="26"/>
  <c r="DU121" i="26" s="1"/>
  <c r="B177" i="28" s="1"/>
  <c r="CO76" i="26"/>
  <c r="DU114" i="26" s="1"/>
  <c r="B170" i="28" s="1"/>
  <c r="CO68" i="26"/>
  <c r="DU106" i="26" s="1"/>
  <c r="B162" i="28" s="1"/>
  <c r="CO75" i="26"/>
  <c r="DU113" i="26" s="1"/>
  <c r="B169" i="28" s="1"/>
  <c r="CO77" i="26"/>
  <c r="DU115" i="26" s="1"/>
  <c r="B171" i="28" s="1"/>
  <c r="CO85" i="26"/>
  <c r="DU123" i="26" s="1"/>
  <c r="B179" i="28" s="1"/>
  <c r="CO88" i="26"/>
  <c r="DU126" i="26" s="1"/>
  <c r="B182" i="28" s="1"/>
  <c r="CO78" i="26"/>
  <c r="DU116" i="26" s="1"/>
  <c r="B172" i="28" s="1"/>
  <c r="CO69" i="26"/>
  <c r="DU107" i="26" s="1"/>
  <c r="B163" i="28" s="1"/>
  <c r="CO92" i="26"/>
  <c r="DU130" i="26" s="1"/>
  <c r="B186" i="28" s="1"/>
  <c r="CO74" i="26"/>
  <c r="DU112" i="26" s="1"/>
  <c r="B168" i="28" s="1"/>
  <c r="CO81" i="26"/>
  <c r="DU119" i="26" s="1"/>
  <c r="B175" i="28" s="1"/>
  <c r="CO72" i="26"/>
  <c r="DU110" i="26" s="1"/>
  <c r="B166" i="28" s="1"/>
  <c r="CO70" i="26"/>
  <c r="DU108" i="26" s="1"/>
  <c r="B164" i="28" s="1"/>
  <c r="CO80" i="26"/>
  <c r="DU118" i="26" s="1"/>
  <c r="B174" i="28" s="1"/>
  <c r="CO73" i="26"/>
  <c r="DU111" i="26" s="1"/>
  <c r="B167" i="28" s="1"/>
  <c r="CO71" i="26"/>
  <c r="DU109" i="26" s="1"/>
  <c r="B165" i="28" s="1"/>
  <c r="CO86" i="26"/>
  <c r="DU124" i="26" s="1"/>
  <c r="B180" i="28" s="1"/>
  <c r="CO89" i="26"/>
  <c r="DU127" i="26" s="1"/>
  <c r="B183" i="28" s="1"/>
  <c r="CO79" i="26"/>
  <c r="DU117" i="26" s="1"/>
  <c r="B173" i="28" s="1"/>
  <c r="BY75" i="26"/>
  <c r="DO113" i="26" s="1"/>
  <c r="T138" i="28" s="1"/>
  <c r="BY81" i="26"/>
  <c r="DO119" i="26" s="1"/>
  <c r="T144" i="28" s="1"/>
  <c r="BY93" i="26"/>
  <c r="DO131" i="26" s="1"/>
  <c r="T156" i="28" s="1"/>
  <c r="BY80" i="26"/>
  <c r="DO118" i="26" s="1"/>
  <c r="T143" i="28" s="1"/>
  <c r="BY74" i="26"/>
  <c r="DO112" i="26" s="1"/>
  <c r="T137" i="28" s="1"/>
  <c r="BY85" i="26"/>
  <c r="DO123" i="26" s="1"/>
  <c r="T148" i="28" s="1"/>
  <c r="BY84" i="26"/>
  <c r="DO122" i="26" s="1"/>
  <c r="T147" i="28" s="1"/>
  <c r="BY78" i="26"/>
  <c r="DO116" i="26" s="1"/>
  <c r="T141" i="28" s="1"/>
  <c r="BY70" i="26"/>
  <c r="DO108" i="26" s="1"/>
  <c r="T133" i="28" s="1"/>
  <c r="BY73" i="26"/>
  <c r="DO111" i="26" s="1"/>
  <c r="T136" i="28" s="1"/>
  <c r="BY92" i="26"/>
  <c r="DO130" i="26" s="1"/>
  <c r="T155" i="28" s="1"/>
  <c r="BY69" i="26"/>
  <c r="DO107" i="26" s="1"/>
  <c r="T132" i="28" s="1"/>
  <c r="DO114" i="26"/>
  <c r="T139" i="28" s="1"/>
  <c r="BY76" i="26"/>
  <c r="BY79" i="26"/>
  <c r="DO117" i="26" s="1"/>
  <c r="T142" i="28" s="1"/>
  <c r="BY91" i="26"/>
  <c r="DO129" i="26" s="1"/>
  <c r="T154" i="28" s="1"/>
  <c r="BY82" i="26"/>
  <c r="DO120" i="26" s="1"/>
  <c r="T145" i="28" s="1"/>
  <c r="BY88" i="26"/>
  <c r="DO126" i="26" s="1"/>
  <c r="T151" i="28" s="1"/>
  <c r="BY71" i="26"/>
  <c r="DO109" i="26" s="1"/>
  <c r="T134" i="28" s="1"/>
  <c r="BY72" i="26"/>
  <c r="DO110" i="26" s="1"/>
  <c r="T135" i="28" s="1"/>
  <c r="BY83" i="26"/>
  <c r="DO121" i="26" s="1"/>
  <c r="T146" i="28" s="1"/>
  <c r="BY89" i="26"/>
  <c r="DO127" i="26" s="1"/>
  <c r="T152" i="28" s="1"/>
  <c r="BY77" i="26"/>
  <c r="DO115" i="26" s="1"/>
  <c r="T140" i="28" s="1"/>
  <c r="BY86" i="26"/>
  <c r="DO124" i="26" s="1"/>
  <c r="T149" i="28" s="1"/>
  <c r="BY90" i="26"/>
  <c r="DO128" i="26" s="1"/>
  <c r="T153" i="28" s="1"/>
  <c r="BY87" i="26"/>
  <c r="DO125" i="26" s="1"/>
  <c r="T150" i="28" s="1"/>
  <c r="BY68" i="26"/>
  <c r="DO106" i="26" s="1"/>
  <c r="T131" i="28" s="1"/>
  <c r="BI90" i="26"/>
  <c r="DI128" i="26" s="1"/>
  <c r="N153" i="28" s="1"/>
  <c r="BI77" i="26"/>
  <c r="DI115" i="26" s="1"/>
  <c r="N140" i="28" s="1"/>
  <c r="BI72" i="26"/>
  <c r="DI110" i="26" s="1"/>
  <c r="N135" i="28" s="1"/>
  <c r="BI78" i="26"/>
  <c r="DI116" i="26" s="1"/>
  <c r="N141" i="28" s="1"/>
  <c r="BI93" i="26"/>
  <c r="DI131" i="26" s="1"/>
  <c r="N156" i="28" s="1"/>
  <c r="BI81" i="26"/>
  <c r="DI119" i="26" s="1"/>
  <c r="N144" i="28" s="1"/>
  <c r="BI92" i="26"/>
  <c r="DI130" i="26" s="1"/>
  <c r="N155" i="28" s="1"/>
  <c r="BI82" i="26"/>
  <c r="DI120" i="26" s="1"/>
  <c r="N145" i="28" s="1"/>
  <c r="BI73" i="26"/>
  <c r="DI111" i="26" s="1"/>
  <c r="N136" i="28" s="1"/>
  <c r="BI87" i="26"/>
  <c r="DI125" i="26" s="1"/>
  <c r="N150" i="28" s="1"/>
  <c r="BI69" i="26"/>
  <c r="DI107" i="26" s="1"/>
  <c r="N132" i="28" s="1"/>
  <c r="BI70" i="26"/>
  <c r="DI108" i="26" s="1"/>
  <c r="N133" i="28" s="1"/>
  <c r="BI76" i="26"/>
  <c r="DI114" i="26" s="1"/>
  <c r="N139" i="28" s="1"/>
  <c r="BI89" i="26"/>
  <c r="DI127" i="26" s="1"/>
  <c r="N152" i="28" s="1"/>
  <c r="BI80" i="26"/>
  <c r="DI118" i="26" s="1"/>
  <c r="N143" i="28" s="1"/>
  <c r="BI74" i="26"/>
  <c r="DI112" i="26" s="1"/>
  <c r="N137" i="28" s="1"/>
  <c r="BI83" i="26"/>
  <c r="DI121" i="26" s="1"/>
  <c r="N146" i="28" s="1"/>
  <c r="BI71" i="26"/>
  <c r="DI109" i="26" s="1"/>
  <c r="N134" i="28" s="1"/>
  <c r="BI68" i="26"/>
  <c r="DI106" i="26" s="1"/>
  <c r="N131" i="28" s="1"/>
  <c r="BI88" i="26"/>
  <c r="DI126" i="26" s="1"/>
  <c r="N151" i="28" s="1"/>
  <c r="BI84" i="26"/>
  <c r="DI122" i="26" s="1"/>
  <c r="N147" i="28" s="1"/>
  <c r="BI91" i="26"/>
  <c r="DI129" i="26" s="1"/>
  <c r="N154" i="28" s="1"/>
  <c r="BI85" i="26"/>
  <c r="DI123" i="26" s="1"/>
  <c r="N148" i="28" s="1"/>
  <c r="BI86" i="26"/>
  <c r="DI124" i="26" s="1"/>
  <c r="N149" i="28" s="1"/>
  <c r="BI79" i="26"/>
  <c r="DI117" i="26" s="1"/>
  <c r="N142" i="28" s="1"/>
  <c r="BI75" i="26"/>
  <c r="DI113" i="26" s="1"/>
  <c r="N138" i="28" s="1"/>
  <c r="AS78" i="26"/>
  <c r="DC116" i="26" s="1"/>
  <c r="H141" i="28" s="1"/>
  <c r="AS84" i="26"/>
  <c r="DC122" i="26" s="1"/>
  <c r="H147" i="28" s="1"/>
  <c r="AS89" i="26"/>
  <c r="DC127" i="26" s="1"/>
  <c r="H152" i="28" s="1"/>
  <c r="AS72" i="26"/>
  <c r="DC110" i="26" s="1"/>
  <c r="H135" i="28" s="1"/>
  <c r="AS74" i="26"/>
  <c r="DC112" i="26" s="1"/>
  <c r="H137" i="28" s="1"/>
  <c r="AS90" i="26"/>
  <c r="DC128" i="26" s="1"/>
  <c r="H153" i="28" s="1"/>
  <c r="AS82" i="26"/>
  <c r="DC120" i="26" s="1"/>
  <c r="H145" i="28" s="1"/>
  <c r="AS83" i="26"/>
  <c r="DC121" i="26" s="1"/>
  <c r="H146" i="28" s="1"/>
  <c r="AS91" i="26"/>
  <c r="DC129" i="26" s="1"/>
  <c r="H154" i="28" s="1"/>
  <c r="AS87" i="26"/>
  <c r="DC125" i="26" s="1"/>
  <c r="H150" i="28" s="1"/>
  <c r="AS69" i="26"/>
  <c r="DC107" i="26" s="1"/>
  <c r="H132" i="28" s="1"/>
  <c r="AS81" i="26"/>
  <c r="DC119" i="26" s="1"/>
  <c r="H144" i="28" s="1"/>
  <c r="AS71" i="26"/>
  <c r="DC109" i="26" s="1"/>
  <c r="H134" i="28" s="1"/>
  <c r="DC118" i="26"/>
  <c r="H143" i="28" s="1"/>
  <c r="AS80" i="26"/>
  <c r="AS68" i="26"/>
  <c r="DC106" i="26" s="1"/>
  <c r="H131" i="28" s="1"/>
  <c r="AS70" i="26"/>
  <c r="DC108" i="26" s="1"/>
  <c r="H133" i="28" s="1"/>
  <c r="AS75" i="26"/>
  <c r="DC113" i="26" s="1"/>
  <c r="H138" i="28" s="1"/>
  <c r="AS86" i="26"/>
  <c r="DC124" i="26" s="1"/>
  <c r="H149" i="28" s="1"/>
  <c r="AS93" i="26"/>
  <c r="DC131" i="26" s="1"/>
  <c r="H156" i="28" s="1"/>
  <c r="AS73" i="26"/>
  <c r="DC111" i="26" s="1"/>
  <c r="H136" i="28" s="1"/>
  <c r="AS76" i="26"/>
  <c r="DC114" i="26" s="1"/>
  <c r="H139" i="28" s="1"/>
  <c r="AS88" i="26"/>
  <c r="DC126" i="26" s="1"/>
  <c r="H151" i="28" s="1"/>
  <c r="AS77" i="26"/>
  <c r="DC115" i="26" s="1"/>
  <c r="H140" i="28" s="1"/>
  <c r="AS79" i="26"/>
  <c r="DC117" i="26" s="1"/>
  <c r="H142" i="28" s="1"/>
  <c r="AS92" i="26"/>
  <c r="DC130" i="26" s="1"/>
  <c r="H155" i="28" s="1"/>
  <c r="AS85" i="26"/>
  <c r="DC123" i="26" s="1"/>
  <c r="H148" i="28" s="1"/>
  <c r="AC73" i="26"/>
  <c r="CW111" i="26" s="1"/>
  <c r="B136" i="28" s="1"/>
  <c r="AC84" i="26"/>
  <c r="CW122" i="26" s="1"/>
  <c r="B147" i="28" s="1"/>
  <c r="AC76" i="26"/>
  <c r="CW114" i="26" s="1"/>
  <c r="B139" i="28" s="1"/>
  <c r="AC80" i="26"/>
  <c r="CW118" i="26" s="1"/>
  <c r="B143" i="28" s="1"/>
  <c r="AC92" i="26"/>
  <c r="CW130" i="26" s="1"/>
  <c r="B155" i="28" s="1"/>
  <c r="AC79" i="26"/>
  <c r="CW117" i="26" s="1"/>
  <c r="B142" i="28" s="1"/>
  <c r="AC81" i="26"/>
  <c r="CW119" i="26" s="1"/>
  <c r="B144" i="28" s="1"/>
  <c r="AC78" i="26"/>
  <c r="CW116" i="26" s="1"/>
  <c r="B141" i="28" s="1"/>
  <c r="AC93" i="26"/>
  <c r="CW131" i="26" s="1"/>
  <c r="B156" i="28" s="1"/>
  <c r="AC89" i="26"/>
  <c r="CW127" i="26" s="1"/>
  <c r="B152" i="28" s="1"/>
  <c r="AC77" i="26"/>
  <c r="CW115" i="26" s="1"/>
  <c r="B140" i="28" s="1"/>
  <c r="AC86" i="26"/>
  <c r="CW124" i="26" s="1"/>
  <c r="B149" i="28" s="1"/>
  <c r="AC91" i="26"/>
  <c r="CW129" i="26" s="1"/>
  <c r="B154" i="28" s="1"/>
  <c r="AC72" i="26"/>
  <c r="CW110" i="26" s="1"/>
  <c r="B135" i="28" s="1"/>
  <c r="AC75" i="26"/>
  <c r="CW113" i="26" s="1"/>
  <c r="B138" i="28" s="1"/>
  <c r="AC87" i="26"/>
  <c r="CW125" i="26" s="1"/>
  <c r="B150" i="28" s="1"/>
  <c r="AC68" i="26"/>
  <c r="CW106" i="26" s="1"/>
  <c r="B131" i="28" s="1"/>
  <c r="AC71" i="26"/>
  <c r="CW109" i="26" s="1"/>
  <c r="B134" i="28" s="1"/>
  <c r="AC90" i="26"/>
  <c r="CW128" i="26" s="1"/>
  <c r="B153" i="28" s="1"/>
  <c r="AC69" i="26"/>
  <c r="CW107" i="26" s="1"/>
  <c r="B132" i="28" s="1"/>
  <c r="AC82" i="26"/>
  <c r="CW120" i="26" s="1"/>
  <c r="B145" i="28" s="1"/>
  <c r="AC88" i="26"/>
  <c r="CW126" i="26" s="1"/>
  <c r="B151" i="28" s="1"/>
  <c r="AC85" i="26"/>
  <c r="CW123" i="26" s="1"/>
  <c r="B148" i="28" s="1"/>
  <c r="AC74" i="26"/>
  <c r="CW112" i="26" s="1"/>
  <c r="B137" i="28" s="1"/>
  <c r="AC70" i="26"/>
  <c r="CW108" i="26" s="1"/>
  <c r="B133" i="28" s="1"/>
  <c r="AC83" i="26"/>
  <c r="CW121" i="26" s="1"/>
  <c r="B146" i="28" s="1"/>
  <c r="M87" i="26"/>
  <c r="CQ125" i="26" s="1"/>
  <c r="T119" i="28" s="1"/>
  <c r="M69" i="26"/>
  <c r="CQ107" i="26" s="1"/>
  <c r="T101" i="28" s="1"/>
  <c r="M88" i="26"/>
  <c r="CQ126" i="26" s="1"/>
  <c r="T120" i="28" s="1"/>
  <c r="HM38" i="26"/>
  <c r="CE107" i="26" s="1"/>
  <c r="H101" i="28" s="1"/>
  <c r="HM59" i="26"/>
  <c r="CE128" i="26" s="1"/>
  <c r="H122" i="28" s="1"/>
  <c r="HM40" i="26"/>
  <c r="CE109" i="26" s="1"/>
  <c r="H103" i="28" s="1"/>
  <c r="HM51" i="26"/>
  <c r="CE120" i="26" s="1"/>
  <c r="H114" i="28" s="1"/>
  <c r="CE122" i="26"/>
  <c r="H116" i="28" s="1"/>
  <c r="HM53" i="26"/>
  <c r="CE114" i="26"/>
  <c r="H108" i="28" s="1"/>
  <c r="HM45" i="26"/>
  <c r="HM52" i="26"/>
  <c r="CE121" i="26" s="1"/>
  <c r="H115" i="28" s="1"/>
  <c r="HM57" i="26"/>
  <c r="CE126" i="26" s="1"/>
  <c r="H120" i="28" s="1"/>
  <c r="CE131" i="26"/>
  <c r="H125" i="28" s="1"/>
  <c r="HM62" i="26"/>
  <c r="HM46" i="26"/>
  <c r="CE115" i="26" s="1"/>
  <c r="H109" i="28" s="1"/>
  <c r="HM41" i="26"/>
  <c r="CE110" i="26" s="1"/>
  <c r="H104" i="28" s="1"/>
  <c r="HM54" i="26"/>
  <c r="CE123" i="26" s="1"/>
  <c r="H117" i="28" s="1"/>
  <c r="HM42" i="26"/>
  <c r="CE111" i="26" s="1"/>
  <c r="H105" i="28" s="1"/>
  <c r="HM47" i="26"/>
  <c r="CE116" i="26" s="1"/>
  <c r="H110" i="28" s="1"/>
  <c r="HM44" i="26"/>
  <c r="CE113" i="26" s="1"/>
  <c r="H107" i="28" s="1"/>
  <c r="HM43" i="26"/>
  <c r="CE112" i="26" s="1"/>
  <c r="H106" i="28" s="1"/>
  <c r="HM60" i="26"/>
  <c r="CE129" i="26" s="1"/>
  <c r="H123" i="28" s="1"/>
  <c r="HM58" i="26"/>
  <c r="CE127" i="26" s="1"/>
  <c r="H121" i="28" s="1"/>
  <c r="HM37" i="26"/>
  <c r="CE106" i="26" s="1"/>
  <c r="H100" i="28" s="1"/>
  <c r="HM56" i="26"/>
  <c r="CE125" i="26" s="1"/>
  <c r="H119" i="28" s="1"/>
  <c r="HM55" i="26"/>
  <c r="CE124" i="26" s="1"/>
  <c r="H118" i="28" s="1"/>
  <c r="HM49" i="26"/>
  <c r="CE118" i="26" s="1"/>
  <c r="H112" i="28" s="1"/>
  <c r="HM39" i="26"/>
  <c r="CE108" i="26" s="1"/>
  <c r="H102" i="28" s="1"/>
  <c r="HM61" i="26"/>
  <c r="CE130" i="26" s="1"/>
  <c r="H124" i="28" s="1"/>
  <c r="HM50" i="26"/>
  <c r="CE119" i="26" s="1"/>
  <c r="H113" i="28" s="1"/>
  <c r="HM48" i="26"/>
  <c r="CE117" i="26" s="1"/>
  <c r="H111" i="28" s="1"/>
  <c r="GW54" i="26"/>
  <c r="BY123" i="26" s="1"/>
  <c r="B117" i="28" s="1"/>
  <c r="GW44" i="26"/>
  <c r="BY113" i="26" s="1"/>
  <c r="B107" i="28" s="1"/>
  <c r="GW42" i="26"/>
  <c r="BY111" i="26" s="1"/>
  <c r="B105" i="28" s="1"/>
  <c r="GW51" i="26"/>
  <c r="BY120" i="26" s="1"/>
  <c r="B114" i="28" s="1"/>
  <c r="GW41" i="26"/>
  <c r="BY110" i="26" s="1"/>
  <c r="B104" i="28" s="1"/>
  <c r="GW38" i="26"/>
  <c r="BY107" i="26" s="1"/>
  <c r="B101" i="28" s="1"/>
  <c r="GW60" i="26"/>
  <c r="BY129" i="26" s="1"/>
  <c r="B123" i="28" s="1"/>
  <c r="GW48" i="26"/>
  <c r="BY117" i="26" s="1"/>
  <c r="B111" i="28" s="1"/>
  <c r="GW59" i="26"/>
  <c r="BY128" i="26" s="1"/>
  <c r="B122" i="28" s="1"/>
  <c r="GW62" i="26"/>
  <c r="BY131" i="26" s="1"/>
  <c r="B125" i="28" s="1"/>
  <c r="GW61" i="26"/>
  <c r="BY130" i="26" s="1"/>
  <c r="B124" i="28" s="1"/>
  <c r="GW43" i="26"/>
  <c r="BY112" i="26" s="1"/>
  <c r="B106" i="28" s="1"/>
  <c r="GW40" i="26"/>
  <c r="BY109" i="26" s="1"/>
  <c r="B103" i="28" s="1"/>
  <c r="GW52" i="26"/>
  <c r="BY121" i="26" s="1"/>
  <c r="B115" i="28" s="1"/>
  <c r="GW37" i="26"/>
  <c r="BY106" i="26" s="1"/>
  <c r="B100" i="28" s="1"/>
  <c r="GW50" i="26"/>
  <c r="BY119" i="26" s="1"/>
  <c r="B113" i="28" s="1"/>
  <c r="GW47" i="26"/>
  <c r="BY116" i="26" s="1"/>
  <c r="B110" i="28" s="1"/>
  <c r="GW45" i="26"/>
  <c r="BY114" i="26" s="1"/>
  <c r="B108" i="28" s="1"/>
  <c r="GW57" i="26"/>
  <c r="BY126" i="26" s="1"/>
  <c r="B120" i="28" s="1"/>
  <c r="GW55" i="26"/>
  <c r="BY124" i="26" s="1"/>
  <c r="B118" i="28" s="1"/>
  <c r="GW39" i="26"/>
  <c r="BY108" i="26" s="1"/>
  <c r="B102" i="28" s="1"/>
  <c r="GW58" i="26"/>
  <c r="BY127" i="26" s="1"/>
  <c r="B121" i="28" s="1"/>
  <c r="GW56" i="26"/>
  <c r="BY125" i="26" s="1"/>
  <c r="B119" i="28" s="1"/>
  <c r="GW49" i="26"/>
  <c r="BY118" i="26" s="1"/>
  <c r="B112" i="28" s="1"/>
  <c r="GW53" i="26"/>
  <c r="BY122" i="26" s="1"/>
  <c r="B116" i="28" s="1"/>
  <c r="GW46" i="26"/>
  <c r="BY115" i="26" s="1"/>
  <c r="B109" i="28" s="1"/>
  <c r="GG50" i="26"/>
  <c r="BS119" i="26" s="1"/>
  <c r="T82" i="28" s="1"/>
  <c r="GG41" i="26"/>
  <c r="BS110" i="26" s="1"/>
  <c r="T73" i="28" s="1"/>
  <c r="GG52" i="26"/>
  <c r="BS121" i="26" s="1"/>
  <c r="T84" i="28" s="1"/>
  <c r="GG57" i="26"/>
  <c r="BS126" i="26" s="1"/>
  <c r="T89" i="28" s="1"/>
  <c r="GG56" i="26"/>
  <c r="BS125" i="26" s="1"/>
  <c r="T88" i="28" s="1"/>
  <c r="GG48" i="26"/>
  <c r="BS117" i="26" s="1"/>
  <c r="T80" i="28" s="1"/>
  <c r="GG60" i="26"/>
  <c r="BS129" i="26" s="1"/>
  <c r="T92" i="28" s="1"/>
  <c r="GG40" i="26"/>
  <c r="BS109" i="26" s="1"/>
  <c r="T72" i="28" s="1"/>
  <c r="GG61" i="26"/>
  <c r="BS130" i="26" s="1"/>
  <c r="T93" i="28" s="1"/>
  <c r="GG37" i="26"/>
  <c r="BS106" i="26" s="1"/>
  <c r="T69" i="28" s="1"/>
  <c r="GG59" i="26"/>
  <c r="BS128" i="26" s="1"/>
  <c r="T91" i="28" s="1"/>
  <c r="GG62" i="26"/>
  <c r="BS131" i="26" s="1"/>
  <c r="T94" i="28" s="1"/>
  <c r="GG44" i="26"/>
  <c r="BS113" i="26" s="1"/>
  <c r="T76" i="28" s="1"/>
  <c r="GG53" i="26"/>
  <c r="BS122" i="26" s="1"/>
  <c r="T85" i="28" s="1"/>
  <c r="GG43" i="26"/>
  <c r="BS112" i="26" s="1"/>
  <c r="T75" i="28" s="1"/>
  <c r="GG54" i="26"/>
  <c r="BS123" i="26" s="1"/>
  <c r="T86" i="28" s="1"/>
  <c r="GG47" i="26"/>
  <c r="BS116" i="26" s="1"/>
  <c r="T79" i="28" s="1"/>
  <c r="GG58" i="26"/>
  <c r="BS127" i="26" s="1"/>
  <c r="T90" i="28" s="1"/>
  <c r="GG55" i="26"/>
  <c r="BS124" i="26" s="1"/>
  <c r="T87" i="28" s="1"/>
  <c r="GG46" i="26"/>
  <c r="BS115" i="26" s="1"/>
  <c r="T78" i="28" s="1"/>
  <c r="GG39" i="26"/>
  <c r="BS108" i="26" s="1"/>
  <c r="T71" i="28" s="1"/>
  <c r="GG45" i="26"/>
  <c r="BS114" i="26" s="1"/>
  <c r="T77" i="28" s="1"/>
  <c r="GG49" i="26"/>
  <c r="BS118" i="26" s="1"/>
  <c r="T81" i="28" s="1"/>
  <c r="GG51" i="26"/>
  <c r="BS120" i="26" s="1"/>
  <c r="T83" i="28" s="1"/>
  <c r="GG38" i="26"/>
  <c r="BS107" i="26" s="1"/>
  <c r="T70" i="28" s="1"/>
  <c r="GG42" i="26"/>
  <c r="BS111" i="26" s="1"/>
  <c r="T74" i="28" s="1"/>
  <c r="FQ38" i="26"/>
  <c r="BM107" i="26" s="1"/>
  <c r="N70" i="28" s="1"/>
  <c r="FQ48" i="26"/>
  <c r="BM117" i="26" s="1"/>
  <c r="N80" i="28" s="1"/>
  <c r="FQ43" i="26"/>
  <c r="BM112" i="26" s="1"/>
  <c r="N75" i="28" s="1"/>
  <c r="FQ54" i="26"/>
  <c r="BM123" i="26" s="1"/>
  <c r="N86" i="28" s="1"/>
  <c r="FQ39" i="26"/>
  <c r="BM108" i="26" s="1"/>
  <c r="N71" i="28" s="1"/>
  <c r="FQ45" i="26"/>
  <c r="BM114" i="26" s="1"/>
  <c r="N77" i="28" s="1"/>
  <c r="FQ40" i="26"/>
  <c r="BM109" i="26" s="1"/>
  <c r="N72" i="28" s="1"/>
  <c r="FQ55" i="26"/>
  <c r="BM124" i="26" s="1"/>
  <c r="N87" i="28" s="1"/>
  <c r="FQ53" i="26"/>
  <c r="BM122" i="26" s="1"/>
  <c r="N85" i="28" s="1"/>
  <c r="FQ50" i="26"/>
  <c r="BM119" i="26" s="1"/>
  <c r="N82" i="28" s="1"/>
  <c r="FQ61" i="26"/>
  <c r="BM130" i="26" s="1"/>
  <c r="N93" i="28" s="1"/>
  <c r="FQ47" i="26"/>
  <c r="BM116" i="26" s="1"/>
  <c r="N79" i="28" s="1"/>
  <c r="FQ52" i="26"/>
  <c r="BM121" i="26" s="1"/>
  <c r="N84" i="28" s="1"/>
  <c r="FQ58" i="26"/>
  <c r="BM127" i="26" s="1"/>
  <c r="N90" i="28" s="1"/>
  <c r="FQ62" i="26"/>
  <c r="BM131" i="26" s="1"/>
  <c r="N94" i="28" s="1"/>
  <c r="FQ44" i="26"/>
  <c r="BM113" i="26" s="1"/>
  <c r="N76" i="28" s="1"/>
  <c r="FQ37" i="26"/>
  <c r="BM106" i="26" s="1"/>
  <c r="N69" i="28" s="1"/>
  <c r="FQ60" i="26"/>
  <c r="BM129" i="26" s="1"/>
  <c r="N92" i="28" s="1"/>
  <c r="FQ46" i="26"/>
  <c r="BM115" i="26" s="1"/>
  <c r="N78" i="28" s="1"/>
  <c r="FQ51" i="26"/>
  <c r="BM120" i="26" s="1"/>
  <c r="N83" i="28" s="1"/>
  <c r="FQ57" i="26"/>
  <c r="BM126" i="26" s="1"/>
  <c r="N89" i="28" s="1"/>
  <c r="FQ59" i="26"/>
  <c r="BM128" i="26" s="1"/>
  <c r="N91" i="28" s="1"/>
  <c r="FQ41" i="26"/>
  <c r="BM110" i="26" s="1"/>
  <c r="N73" i="28" s="1"/>
  <c r="FQ49" i="26"/>
  <c r="BM118" i="26" s="1"/>
  <c r="N81" i="28" s="1"/>
  <c r="FQ56" i="26"/>
  <c r="BM125" i="26" s="1"/>
  <c r="N88" i="28" s="1"/>
  <c r="FQ42" i="26"/>
  <c r="BM111" i="26" s="1"/>
  <c r="N74" i="28" s="1"/>
  <c r="BY61" i="26"/>
  <c r="AC130" i="26" s="1"/>
  <c r="B62" i="28" s="1"/>
  <c r="BY40" i="26"/>
  <c r="AC109" i="26" s="1"/>
  <c r="B41" i="28" s="1"/>
  <c r="BY46" i="26"/>
  <c r="AC115" i="26" s="1"/>
  <c r="B47" i="28" s="1"/>
  <c r="BY48" i="26"/>
  <c r="AC117" i="26" s="1"/>
  <c r="B49" i="28" s="1"/>
  <c r="BY41" i="26"/>
  <c r="AC110" i="26" s="1"/>
  <c r="B42" i="28" s="1"/>
  <c r="BY57" i="26"/>
  <c r="AC126" i="26" s="1"/>
  <c r="B58" i="28" s="1"/>
  <c r="BY62" i="26"/>
  <c r="AC131" i="26" s="1"/>
  <c r="B63" i="28" s="1"/>
  <c r="BY42" i="26"/>
  <c r="AC111" i="26" s="1"/>
  <c r="B43" i="28" s="1"/>
  <c r="BY43" i="26"/>
  <c r="AC112" i="26" s="1"/>
  <c r="B44" i="28" s="1"/>
  <c r="BY51" i="26"/>
  <c r="AC120" i="26" s="1"/>
  <c r="B52" i="28" s="1"/>
  <c r="BY58" i="26"/>
  <c r="AC127" i="26" s="1"/>
  <c r="B59" i="28" s="1"/>
  <c r="BY52" i="26"/>
  <c r="AC121" i="26" s="1"/>
  <c r="B53" i="28" s="1"/>
  <c r="BY39" i="26"/>
  <c r="AC108" i="26" s="1"/>
  <c r="B40" i="28" s="1"/>
  <c r="BY55" i="26"/>
  <c r="AC124" i="26" s="1"/>
  <c r="B56" i="28" s="1"/>
  <c r="BY38" i="26"/>
  <c r="AC107" i="26" s="1"/>
  <c r="B39" i="28" s="1"/>
  <c r="BY49" i="26"/>
  <c r="AC118" i="26" s="1"/>
  <c r="B50" i="28" s="1"/>
  <c r="BY37" i="26"/>
  <c r="AC106" i="26" s="1"/>
  <c r="B38" i="28" s="1"/>
  <c r="BY59" i="26"/>
  <c r="AC128" i="26" s="1"/>
  <c r="B60" i="28" s="1"/>
  <c r="BY50" i="26"/>
  <c r="AC119" i="26" s="1"/>
  <c r="B51" i="28" s="1"/>
  <c r="BY44" i="26"/>
  <c r="AC113" i="26" s="1"/>
  <c r="B45" i="28" s="1"/>
  <c r="BY56" i="26"/>
  <c r="AC125" i="26" s="1"/>
  <c r="B57" i="28" s="1"/>
  <c r="BY60" i="26"/>
  <c r="AC129" i="26" s="1"/>
  <c r="B61" i="28" s="1"/>
  <c r="BY45" i="26"/>
  <c r="AC114" i="26" s="1"/>
  <c r="B46" i="28" s="1"/>
  <c r="BY54" i="26"/>
  <c r="AC123" i="26" s="1"/>
  <c r="B55" i="28" s="1"/>
  <c r="BY47" i="26"/>
  <c r="AC116" i="26" s="1"/>
  <c r="B48" i="28" s="1"/>
  <c r="BY53" i="26"/>
  <c r="AC122" i="26" s="1"/>
  <c r="B54" i="28" s="1"/>
  <c r="BI39" i="26"/>
  <c r="W108" i="26" s="1"/>
  <c r="T9" i="28" s="1"/>
  <c r="BI60" i="26"/>
  <c r="W129" i="26" s="1"/>
  <c r="T30" i="28" s="1"/>
  <c r="BI56" i="26"/>
  <c r="W125" i="26" s="1"/>
  <c r="T26" i="28" s="1"/>
  <c r="BI62" i="26"/>
  <c r="W131" i="26" s="1"/>
  <c r="T32" i="28" s="1"/>
  <c r="BI58" i="26"/>
  <c r="W127" i="26" s="1"/>
  <c r="T28" i="28" s="1"/>
  <c r="BI47" i="26"/>
  <c r="W116" i="26" s="1"/>
  <c r="T17" i="28" s="1"/>
  <c r="BI49" i="26"/>
  <c r="W118" i="26" s="1"/>
  <c r="T19" i="28" s="1"/>
  <c r="BI52" i="26"/>
  <c r="W121" i="26" s="1"/>
  <c r="T22" i="28" s="1"/>
  <c r="BI59" i="26"/>
  <c r="W128" i="26" s="1"/>
  <c r="T29" i="28" s="1"/>
  <c r="BI57" i="26"/>
  <c r="W126" i="26" s="1"/>
  <c r="T27" i="28" s="1"/>
  <c r="BI55" i="26"/>
  <c r="W124" i="26" s="1"/>
  <c r="T25" i="28" s="1"/>
  <c r="BI44" i="26"/>
  <c r="W113" i="26" s="1"/>
  <c r="T14" i="28" s="1"/>
  <c r="BI41" i="26"/>
  <c r="W110" i="26" s="1"/>
  <c r="T11" i="28" s="1"/>
  <c r="BI54" i="26"/>
  <c r="W123" i="26" s="1"/>
  <c r="T24" i="28" s="1"/>
  <c r="BI48" i="26"/>
  <c r="W117" i="26" s="1"/>
  <c r="T18" i="28" s="1"/>
  <c r="BI53" i="26"/>
  <c r="W122" i="26" s="1"/>
  <c r="T23" i="28" s="1"/>
  <c r="BI51" i="26"/>
  <c r="W120" i="26" s="1"/>
  <c r="T21" i="28" s="1"/>
  <c r="BI42" i="26"/>
  <c r="W111" i="26" s="1"/>
  <c r="T12" i="28" s="1"/>
  <c r="BI37" i="26"/>
  <c r="W106" i="26" s="1"/>
  <c r="T7" i="28" s="1"/>
  <c r="BI46" i="26"/>
  <c r="W115" i="26" s="1"/>
  <c r="T16" i="28" s="1"/>
  <c r="BI45" i="26"/>
  <c r="W114" i="26" s="1"/>
  <c r="T15" i="28" s="1"/>
  <c r="BI61" i="26"/>
  <c r="W130" i="26" s="1"/>
  <c r="T31" i="28" s="1"/>
  <c r="BI43" i="26"/>
  <c r="W112" i="26" s="1"/>
  <c r="T13" i="28" s="1"/>
  <c r="BI40" i="26"/>
  <c r="W109" i="26" s="1"/>
  <c r="T10" i="28" s="1"/>
  <c r="BI38" i="26"/>
  <c r="W107" i="26" s="1"/>
  <c r="T8" i="28" s="1"/>
  <c r="BI50" i="26"/>
  <c r="W119" i="26" s="1"/>
  <c r="T20" i="28" s="1"/>
  <c r="AS45" i="26"/>
  <c r="Q114" i="26" s="1"/>
  <c r="N15" i="28" s="1"/>
  <c r="AS53" i="26"/>
  <c r="Q122" i="26" s="1"/>
  <c r="N23" i="28" s="1"/>
  <c r="AS57" i="26"/>
  <c r="Q126" i="26" s="1"/>
  <c r="N27" i="28" s="1"/>
  <c r="AS52" i="26"/>
  <c r="Q121" i="26" s="1"/>
  <c r="N22" i="28" s="1"/>
  <c r="AS43" i="26"/>
  <c r="Q112" i="26" s="1"/>
  <c r="N13" i="28" s="1"/>
  <c r="AS50" i="26"/>
  <c r="Q119" i="26" s="1"/>
  <c r="N20" i="28" s="1"/>
  <c r="AS46" i="26"/>
  <c r="Q115" i="26" s="1"/>
  <c r="N16" i="28" s="1"/>
  <c r="AS62" i="26"/>
  <c r="Q131" i="26" s="1"/>
  <c r="N32" i="28" s="1"/>
  <c r="AS40" i="26"/>
  <c r="Q109" i="26" s="1"/>
  <c r="N10" i="28" s="1"/>
  <c r="AS59" i="26"/>
  <c r="Q128" i="26" s="1"/>
  <c r="N29" i="28" s="1"/>
  <c r="AS54" i="26"/>
  <c r="Q123" i="26" s="1"/>
  <c r="N24" i="28" s="1"/>
  <c r="AS38" i="26"/>
  <c r="Q107" i="26" s="1"/>
  <c r="N8" i="28" s="1"/>
  <c r="AS42" i="26"/>
  <c r="Q111" i="26" s="1"/>
  <c r="N12" i="28" s="1"/>
  <c r="AS41" i="26"/>
  <c r="Q110" i="26" s="1"/>
  <c r="N11" i="28" s="1"/>
  <c r="AS37" i="26"/>
  <c r="Q106" i="26" s="1"/>
  <c r="N7" i="28" s="1"/>
  <c r="AS47" i="26"/>
  <c r="Q116" i="26" s="1"/>
  <c r="N17" i="28" s="1"/>
  <c r="AS51" i="26"/>
  <c r="Q120" i="26" s="1"/>
  <c r="N21" i="28" s="1"/>
  <c r="AS58" i="26"/>
  <c r="Q127" i="26" s="1"/>
  <c r="N28" i="28" s="1"/>
  <c r="AS44" i="26"/>
  <c r="Q113" i="26" s="1"/>
  <c r="N14" i="28" s="1"/>
  <c r="AS39" i="26"/>
  <c r="Q108" i="26" s="1"/>
  <c r="N9" i="28" s="1"/>
  <c r="AS60" i="26"/>
  <c r="Q129" i="26" s="1"/>
  <c r="N30" i="28" s="1"/>
  <c r="AS49" i="26"/>
  <c r="Q118" i="26" s="1"/>
  <c r="N19" i="28" s="1"/>
  <c r="AS56" i="26"/>
  <c r="Q125" i="26" s="1"/>
  <c r="N26" i="28" s="1"/>
  <c r="AS55" i="26"/>
  <c r="Q124" i="26" s="1"/>
  <c r="N25" i="28" s="1"/>
  <c r="AS48" i="26"/>
  <c r="Q117" i="26" s="1"/>
  <c r="N18" i="28" s="1"/>
  <c r="AS61" i="26"/>
  <c r="Q130" i="26" s="1"/>
  <c r="N31" i="28" s="1"/>
  <c r="M38" i="26"/>
  <c r="E107" i="26" s="1"/>
  <c r="B8" i="28" s="1"/>
  <c r="M59" i="26"/>
  <c r="E128" i="26" s="1"/>
  <c r="B29" i="28" s="1"/>
  <c r="M54" i="26"/>
  <c r="E123" i="26" s="1"/>
  <c r="B24" i="28" s="1"/>
  <c r="M43" i="26"/>
  <c r="E112" i="26" s="1"/>
  <c r="B13" i="28" s="1"/>
  <c r="M39" i="26"/>
  <c r="E108" i="26" s="1"/>
  <c r="B9" i="28" s="1"/>
  <c r="M62" i="26"/>
  <c r="E131" i="26" s="1"/>
  <c r="B32" i="28" s="1"/>
  <c r="M41" i="26"/>
  <c r="E110" i="26" s="1"/>
  <c r="B11" i="28" s="1"/>
  <c r="M48" i="26"/>
  <c r="E117" i="26" s="1"/>
  <c r="B18" i="28" s="1"/>
  <c r="M57" i="26"/>
  <c r="E126" i="26" s="1"/>
  <c r="B27" i="28" s="1"/>
  <c r="M60" i="26"/>
  <c r="E129" i="26" s="1"/>
  <c r="B30" i="28" s="1"/>
  <c r="M49" i="26"/>
  <c r="E118" i="26" s="1"/>
  <c r="B19" i="28" s="1"/>
  <c r="M45" i="26"/>
  <c r="E114" i="26" s="1"/>
  <c r="B15" i="28" s="1"/>
  <c r="M50" i="26"/>
  <c r="E119" i="26" s="1"/>
  <c r="B20" i="28" s="1"/>
  <c r="M47" i="26"/>
  <c r="E116" i="26" s="1"/>
  <c r="B17" i="28" s="1"/>
  <c r="M42" i="26"/>
  <c r="E111" i="26" s="1"/>
  <c r="B12" i="28" s="1"/>
  <c r="M40" i="26"/>
  <c r="E109" i="26" s="1"/>
  <c r="B10" i="28" s="1"/>
  <c r="M56" i="26"/>
  <c r="E125" i="26" s="1"/>
  <c r="B26" i="28" s="1"/>
  <c r="M52" i="26"/>
  <c r="E121" i="26" s="1"/>
  <c r="B22" i="28" s="1"/>
  <c r="M51" i="26"/>
  <c r="E120" i="26" s="1"/>
  <c r="B21" i="28" s="1"/>
  <c r="M44" i="26"/>
  <c r="E113" i="26" s="1"/>
  <c r="B14" i="28" s="1"/>
  <c r="M37" i="26"/>
  <c r="E106" i="26" s="1"/>
  <c r="B7" i="28" s="1"/>
  <c r="D10" i="33"/>
  <c r="P102" i="28"/>
  <c r="P122" i="28"/>
  <c r="P112" i="28"/>
  <c r="P100" i="28"/>
  <c r="P111" i="28"/>
  <c r="P114" i="28"/>
  <c r="P107" i="28"/>
  <c r="P124" i="28"/>
  <c r="P113" i="28"/>
  <c r="P116" i="28"/>
  <c r="P123" i="28"/>
  <c r="P121" i="28"/>
  <c r="P106" i="28"/>
  <c r="P109" i="28"/>
  <c r="P110" i="28"/>
  <c r="P103" i="28"/>
  <c r="P119" i="28"/>
  <c r="P108" i="28"/>
  <c r="P104" i="28"/>
  <c r="P105" i="28"/>
  <c r="P115" i="28"/>
  <c r="P125" i="28"/>
  <c r="P118" i="28"/>
  <c r="P101" i="28"/>
  <c r="P117" i="28"/>
  <c r="P120" i="28"/>
  <c r="ID45" i="26"/>
  <c r="CL114" i="26" s="1"/>
  <c r="ID41" i="26"/>
  <c r="CL110" i="26" s="1"/>
  <c r="ID38" i="26"/>
  <c r="CL107" i="26" s="1"/>
  <c r="ID48" i="26"/>
  <c r="CL117" i="26" s="1"/>
  <c r="ID53" i="26"/>
  <c r="CL125" i="26"/>
  <c r="ID52" i="26"/>
  <c r="CL121" i="26" s="1"/>
  <c r="ID51" i="26"/>
  <c r="CL123" i="26"/>
  <c r="FB59" i="26"/>
  <c r="FB52" i="26"/>
  <c r="FB61" i="26"/>
  <c r="FB40" i="26"/>
  <c r="FB49" i="26"/>
  <c r="ID50" i="26"/>
  <c r="CL119" i="26" s="1"/>
  <c r="ID37" i="26"/>
  <c r="CL106" i="26" s="1"/>
  <c r="FB37" i="26"/>
  <c r="ID39" i="26"/>
  <c r="CL108" i="26" s="1"/>
  <c r="ID47" i="26"/>
  <c r="CL116" i="26" s="1"/>
  <c r="FB43" i="26"/>
  <c r="ID42" i="26"/>
  <c r="CL111" i="26" s="1"/>
  <c r="ID44" i="26"/>
  <c r="CL113" i="26" s="1"/>
  <c r="ID46" i="26"/>
  <c r="CL115" i="26" s="1"/>
  <c r="FB39" i="26"/>
  <c r="ID49" i="26"/>
  <c r="CL118" i="26" s="1"/>
  <c r="FB47" i="26"/>
  <c r="FB45" i="26"/>
  <c r="ID40" i="26"/>
  <c r="CL109" i="26" s="1"/>
  <c r="ID43" i="26"/>
  <c r="CL112" i="26" s="1"/>
  <c r="FB42" i="26"/>
  <c r="FB54" i="26"/>
  <c r="FB57" i="26"/>
  <c r="FB51" i="26"/>
  <c r="FB38" i="26"/>
  <c r="FB41" i="26"/>
  <c r="FB50" i="26"/>
  <c r="FB44" i="26"/>
  <c r="FB58" i="26"/>
  <c r="FB46" i="26"/>
  <c r="FB53" i="26"/>
  <c r="FB48" i="26"/>
  <c r="FB55" i="26"/>
  <c r="Q76" i="26"/>
  <c r="CU114" i="26" s="1"/>
  <c r="CQ114" i="26"/>
  <c r="O70" i="26"/>
  <c r="CS108" i="26" s="1"/>
  <c r="CQ108" i="26"/>
  <c r="O81" i="26"/>
  <c r="CS119" i="26" s="1"/>
  <c r="CQ119" i="26"/>
  <c r="O85" i="26"/>
  <c r="CS123" i="26" s="1"/>
  <c r="CQ123" i="26"/>
  <c r="O84" i="26"/>
  <c r="CS122" i="26" s="1"/>
  <c r="CQ122" i="26"/>
  <c r="O71" i="26"/>
  <c r="CS109" i="26" s="1"/>
  <c r="CQ109" i="26"/>
  <c r="CQ112" i="26"/>
  <c r="O92" i="26"/>
  <c r="CS130" i="26" s="1"/>
  <c r="CQ130" i="26"/>
  <c r="O90" i="26"/>
  <c r="CS128" i="26" s="1"/>
  <c r="CQ128" i="26"/>
  <c r="O86" i="26"/>
  <c r="CS124" i="26" s="1"/>
  <c r="CQ124" i="26"/>
  <c r="O79" i="26"/>
  <c r="CS117" i="26" s="1"/>
  <c r="CQ117" i="26"/>
  <c r="O77" i="26"/>
  <c r="CS115" i="26" s="1"/>
  <c r="CQ115" i="26"/>
  <c r="O93" i="26"/>
  <c r="CS131" i="26" s="1"/>
  <c r="CQ131" i="26"/>
  <c r="O89" i="26"/>
  <c r="CS127" i="26" s="1"/>
  <c r="CQ127" i="26"/>
  <c r="O80" i="26"/>
  <c r="CS118" i="26" s="1"/>
  <c r="CQ118" i="26"/>
  <c r="O83" i="26"/>
  <c r="CS121" i="26" s="1"/>
  <c r="CQ121" i="26"/>
  <c r="O75" i="26"/>
  <c r="CS113" i="26" s="1"/>
  <c r="CQ113" i="26"/>
  <c r="O91" i="26"/>
  <c r="CS129" i="26" s="1"/>
  <c r="CQ129" i="26"/>
  <c r="O82" i="26"/>
  <c r="CS120" i="26" s="1"/>
  <c r="CQ120" i="26"/>
  <c r="P78" i="26"/>
  <c r="CT116" i="26" s="1"/>
  <c r="CQ116" i="26"/>
  <c r="O72" i="26"/>
  <c r="CS110" i="26" s="1"/>
  <c r="V104" i="28" s="1"/>
  <c r="CQ110" i="26"/>
  <c r="O73" i="26"/>
  <c r="CS111" i="26" s="1"/>
  <c r="CQ111" i="26"/>
  <c r="Q85" i="26"/>
  <c r="CU123" i="26" s="1"/>
  <c r="P85" i="26"/>
  <c r="CT123" i="26" s="1"/>
  <c r="Q81" i="26"/>
  <c r="CU119" i="26" s="1"/>
  <c r="P81" i="26"/>
  <c r="CT119" i="26" s="1"/>
  <c r="AE57" i="26"/>
  <c r="M126" i="26" s="1"/>
  <c r="K126" i="26"/>
  <c r="AE53" i="26"/>
  <c r="M122" i="26" s="1"/>
  <c r="K122" i="26"/>
  <c r="AE40" i="26"/>
  <c r="M109" i="26" s="1"/>
  <c r="K109" i="26"/>
  <c r="AE42" i="26"/>
  <c r="M111" i="26" s="1"/>
  <c r="K111" i="26"/>
  <c r="AE62" i="26"/>
  <c r="M131" i="26" s="1"/>
  <c r="K131" i="26"/>
  <c r="AE52" i="26"/>
  <c r="M121" i="26" s="1"/>
  <c r="K121" i="26"/>
  <c r="AE48" i="26"/>
  <c r="M117" i="26" s="1"/>
  <c r="K117" i="26"/>
  <c r="AE56" i="26"/>
  <c r="M125" i="26" s="1"/>
  <c r="K125" i="26"/>
  <c r="P76" i="26"/>
  <c r="CT114" i="26" s="1"/>
  <c r="Q73" i="26"/>
  <c r="CU111" i="26" s="1"/>
  <c r="AE39" i="26"/>
  <c r="M108" i="26" s="1"/>
  <c r="K108" i="26"/>
  <c r="AE60" i="26"/>
  <c r="M129" i="26" s="1"/>
  <c r="K129" i="26"/>
  <c r="AE38" i="26"/>
  <c r="M107" i="26" s="1"/>
  <c r="K107" i="26"/>
  <c r="AE51" i="26"/>
  <c r="M120" i="26" s="1"/>
  <c r="K120" i="26"/>
  <c r="AE44" i="26"/>
  <c r="M113" i="26" s="1"/>
  <c r="K113" i="26"/>
  <c r="AE50" i="26"/>
  <c r="M119" i="26" s="1"/>
  <c r="K119" i="26"/>
  <c r="AE55" i="26"/>
  <c r="M124" i="26" s="1"/>
  <c r="K124" i="26"/>
  <c r="AE61" i="26"/>
  <c r="M130" i="26" s="1"/>
  <c r="K130" i="26"/>
  <c r="AE47" i="26"/>
  <c r="M116" i="26" s="1"/>
  <c r="K116" i="26"/>
  <c r="AE59" i="26"/>
  <c r="M128" i="26" s="1"/>
  <c r="K128" i="26"/>
  <c r="AE49" i="26"/>
  <c r="M118" i="26" s="1"/>
  <c r="K118" i="26"/>
  <c r="P46" i="26"/>
  <c r="H115" i="26" s="1"/>
  <c r="E115" i="26"/>
  <c r="P55" i="26"/>
  <c r="H124" i="26" s="1"/>
  <c r="E124" i="26"/>
  <c r="P61" i="26"/>
  <c r="H130" i="26" s="1"/>
  <c r="E130" i="26"/>
  <c r="Q53" i="26"/>
  <c r="I122" i="26" s="1"/>
  <c r="E122" i="26"/>
  <c r="P58" i="26"/>
  <c r="H127" i="26" s="1"/>
  <c r="E127" i="26"/>
  <c r="Q79" i="26"/>
  <c r="CU117" i="26" s="1"/>
  <c r="P79" i="26"/>
  <c r="CT117" i="26" s="1"/>
  <c r="FC75" i="26"/>
  <c r="EU113" i="26" s="1"/>
  <c r="FC69" i="26"/>
  <c r="EU107" i="26" s="1"/>
  <c r="FC91" i="26"/>
  <c r="EU129" i="26" s="1"/>
  <c r="FC73" i="26"/>
  <c r="EU111" i="26" s="1"/>
  <c r="FC88" i="26"/>
  <c r="EU126" i="26" s="1"/>
  <c r="FC78" i="26"/>
  <c r="EU116" i="26" s="1"/>
  <c r="FC77" i="26"/>
  <c r="EU115" i="26" s="1"/>
  <c r="FC80" i="26"/>
  <c r="EU118" i="26" s="1"/>
  <c r="FC83" i="26"/>
  <c r="EU121" i="26" s="1"/>
  <c r="FB93" i="26"/>
  <c r="ET131" i="26" s="1"/>
  <c r="FC93" i="26"/>
  <c r="EU131" i="26" s="1"/>
  <c r="FC79" i="26"/>
  <c r="EU117" i="26" s="1"/>
  <c r="FC68" i="26"/>
  <c r="EU106" i="26" s="1"/>
  <c r="FC84" i="26"/>
  <c r="EU122" i="26" s="1"/>
  <c r="FC89" i="26"/>
  <c r="EU127" i="26" s="1"/>
  <c r="FC92" i="26"/>
  <c r="EU130" i="26" s="1"/>
  <c r="FC72" i="26"/>
  <c r="EU110" i="26" s="1"/>
  <c r="FC90" i="26"/>
  <c r="EU128" i="26" s="1"/>
  <c r="FC82" i="26"/>
  <c r="EU120" i="26" s="1"/>
  <c r="FC86" i="26"/>
  <c r="EU124" i="26" s="1"/>
  <c r="FC87" i="26"/>
  <c r="EU125" i="26" s="1"/>
  <c r="FC71" i="26"/>
  <c r="EU109" i="26" s="1"/>
  <c r="FC81" i="26"/>
  <c r="EU119" i="26" s="1"/>
  <c r="FC70" i="26"/>
  <c r="EU108" i="26" s="1"/>
  <c r="FC76" i="26"/>
  <c r="EU114" i="26" s="1"/>
  <c r="FC74" i="26"/>
  <c r="EU112" i="26" s="1"/>
  <c r="FC85" i="26"/>
  <c r="EU123" i="26" s="1"/>
  <c r="EM75" i="26"/>
  <c r="EO113" i="26" s="1"/>
  <c r="EL87" i="26"/>
  <c r="EN125" i="26" s="1"/>
  <c r="EM87" i="26"/>
  <c r="EO125" i="26" s="1"/>
  <c r="EM77" i="26"/>
  <c r="EO115" i="26" s="1"/>
  <c r="EM83" i="26"/>
  <c r="EO121" i="26" s="1"/>
  <c r="EM90" i="26"/>
  <c r="EO128" i="26" s="1"/>
  <c r="EL93" i="26"/>
  <c r="EN131" i="26" s="1"/>
  <c r="EM93" i="26"/>
  <c r="EO131" i="26" s="1"/>
  <c r="EM79" i="26"/>
  <c r="EO117" i="26" s="1"/>
  <c r="EM78" i="26"/>
  <c r="EO116" i="26" s="1"/>
  <c r="EM73" i="26"/>
  <c r="EO111" i="26" s="1"/>
  <c r="EL85" i="26"/>
  <c r="EN123" i="26" s="1"/>
  <c r="EM85" i="26"/>
  <c r="EO123" i="26" s="1"/>
  <c r="EM70" i="26"/>
  <c r="EO108" i="26" s="1"/>
  <c r="EM68" i="26"/>
  <c r="EO106" i="26" s="1"/>
  <c r="EM84" i="26"/>
  <c r="EO122" i="26" s="1"/>
  <c r="EM74" i="26"/>
  <c r="EO112" i="26" s="1"/>
  <c r="EM76" i="26"/>
  <c r="EO114" i="26" s="1"/>
  <c r="EM71" i="26"/>
  <c r="EO109" i="26" s="1"/>
  <c r="EM81" i="26"/>
  <c r="EO119" i="26" s="1"/>
  <c r="EL88" i="26"/>
  <c r="EN126" i="26" s="1"/>
  <c r="EM88" i="26"/>
  <c r="EO126" i="26" s="1"/>
  <c r="EM69" i="26"/>
  <c r="EO107" i="26" s="1"/>
  <c r="EM86" i="26"/>
  <c r="EO124" i="26" s="1"/>
  <c r="EM72" i="26"/>
  <c r="EO110" i="26" s="1"/>
  <c r="EM80" i="26"/>
  <c r="EO118" i="26" s="1"/>
  <c r="EM91" i="26"/>
  <c r="EO129" i="26" s="1"/>
  <c r="EM82" i="26"/>
  <c r="EO120" i="26" s="1"/>
  <c r="EM92" i="26"/>
  <c r="EO130" i="26" s="1"/>
  <c r="EL89" i="26"/>
  <c r="EN127" i="26" s="1"/>
  <c r="EM89" i="26"/>
  <c r="EO127" i="26" s="1"/>
  <c r="DW89" i="26"/>
  <c r="EI127" i="26" s="1"/>
  <c r="DW80" i="26"/>
  <c r="EI118" i="26" s="1"/>
  <c r="DW77" i="26"/>
  <c r="EI115" i="26" s="1"/>
  <c r="DV85" i="26"/>
  <c r="EH123" i="26" s="1"/>
  <c r="DW85" i="26"/>
  <c r="EI123" i="26" s="1"/>
  <c r="DW70" i="26"/>
  <c r="EI108" i="26" s="1"/>
  <c r="DW76" i="26"/>
  <c r="EI114" i="26" s="1"/>
  <c r="DW86" i="26"/>
  <c r="EI124" i="26" s="1"/>
  <c r="DV90" i="26"/>
  <c r="EH128" i="26" s="1"/>
  <c r="DW90" i="26"/>
  <c r="EI128" i="26" s="1"/>
  <c r="DW91" i="26"/>
  <c r="EI129" i="26" s="1"/>
  <c r="DW74" i="26"/>
  <c r="EI112" i="26" s="1"/>
  <c r="DW82" i="26"/>
  <c r="EI120" i="26" s="1"/>
  <c r="DW84" i="26"/>
  <c r="EI122" i="26" s="1"/>
  <c r="DW72" i="26"/>
  <c r="EI110" i="26" s="1"/>
  <c r="DW88" i="26"/>
  <c r="EI126" i="26" s="1"/>
  <c r="DW75" i="26"/>
  <c r="EI113" i="26" s="1"/>
  <c r="DW87" i="26"/>
  <c r="EI125" i="26" s="1"/>
  <c r="DW69" i="26"/>
  <c r="EI107" i="26" s="1"/>
  <c r="DW71" i="26"/>
  <c r="EI109" i="26" s="1"/>
  <c r="P73" i="26"/>
  <c r="CT111" i="26" s="1"/>
  <c r="DW78" i="26"/>
  <c r="EI116" i="26" s="1"/>
  <c r="DW81" i="26"/>
  <c r="EI119" i="26" s="1"/>
  <c r="DW79" i="26"/>
  <c r="EI117" i="26" s="1"/>
  <c r="DW73" i="26"/>
  <c r="EI111" i="26" s="1"/>
  <c r="DV93" i="26"/>
  <c r="EH131" i="26" s="1"/>
  <c r="DW93" i="26"/>
  <c r="EI131" i="26" s="1"/>
  <c r="DW92" i="26"/>
  <c r="EI130" i="26" s="1"/>
  <c r="DW68" i="26"/>
  <c r="EI106" i="26" s="1"/>
  <c r="DW83" i="26"/>
  <c r="EI121" i="26" s="1"/>
  <c r="DF90" i="26"/>
  <c r="EB128" i="26" s="1"/>
  <c r="DG90" i="26"/>
  <c r="EC128" i="26" s="1"/>
  <c r="DG75" i="26"/>
  <c r="EC113" i="26" s="1"/>
  <c r="DF88" i="26"/>
  <c r="EB126" i="26" s="1"/>
  <c r="DG88" i="26"/>
  <c r="EC126" i="26" s="1"/>
  <c r="DG80" i="26"/>
  <c r="EC118" i="26" s="1"/>
  <c r="DG73" i="26"/>
  <c r="EC111" i="26" s="1"/>
  <c r="DG70" i="26"/>
  <c r="EC108" i="26" s="1"/>
  <c r="DG71" i="26"/>
  <c r="EC109" i="26" s="1"/>
  <c r="DG77" i="26"/>
  <c r="EC115" i="26" s="1"/>
  <c r="Q86" i="26"/>
  <c r="CU124" i="26" s="1"/>
  <c r="DF85" i="26"/>
  <c r="EB123" i="26" s="1"/>
  <c r="DG85" i="26"/>
  <c r="EC123" i="26" s="1"/>
  <c r="DG69" i="26"/>
  <c r="EC107" i="26" s="1"/>
  <c r="P86" i="26"/>
  <c r="CT124" i="26" s="1"/>
  <c r="DG76" i="26"/>
  <c r="EC114" i="26" s="1"/>
  <c r="DG87" i="26"/>
  <c r="EC125" i="26" s="1"/>
  <c r="DF87" i="26"/>
  <c r="EB125" i="26" s="1"/>
  <c r="DG91" i="26"/>
  <c r="EC129" i="26" s="1"/>
  <c r="DF91" i="26"/>
  <c r="EB129" i="26" s="1"/>
  <c r="DG74" i="26"/>
  <c r="EC112" i="26" s="1"/>
  <c r="DF84" i="26"/>
  <c r="EB122" i="26" s="1"/>
  <c r="DG84" i="26"/>
  <c r="EC122" i="26" s="1"/>
  <c r="DF81" i="26"/>
  <c r="EB119" i="26" s="1"/>
  <c r="DG81" i="26"/>
  <c r="EC119" i="26" s="1"/>
  <c r="DF89" i="26"/>
  <c r="EB127" i="26" s="1"/>
  <c r="DG89" i="26"/>
  <c r="EC127" i="26" s="1"/>
  <c r="DF93" i="26"/>
  <c r="EB131" i="26" s="1"/>
  <c r="DG93" i="26"/>
  <c r="EC131" i="26" s="1"/>
  <c r="DF82" i="26"/>
  <c r="EB120" i="26" s="1"/>
  <c r="DG82" i="26"/>
  <c r="EC120" i="26" s="1"/>
  <c r="DG92" i="26"/>
  <c r="EC130" i="26" s="1"/>
  <c r="DF92" i="26"/>
  <c r="EB130" i="26" s="1"/>
  <c r="DG72" i="26"/>
  <c r="EC110" i="26" s="1"/>
  <c r="DG78" i="26"/>
  <c r="EC116" i="26" s="1"/>
  <c r="DG79" i="26"/>
  <c r="EC117" i="26" s="1"/>
  <c r="DF86" i="26"/>
  <c r="EB124" i="26" s="1"/>
  <c r="DG86" i="26"/>
  <c r="EC124" i="26" s="1"/>
  <c r="DG68" i="26"/>
  <c r="EC106" i="26" s="1"/>
  <c r="DF83" i="26"/>
  <c r="EB121" i="26" s="1"/>
  <c r="DG83" i="26"/>
  <c r="EC121" i="26" s="1"/>
  <c r="CQ84" i="26"/>
  <c r="DW122" i="26" s="1"/>
  <c r="CQ73" i="26"/>
  <c r="DW111" i="26" s="1"/>
  <c r="CQ70" i="26"/>
  <c r="DW108" i="26" s="1"/>
  <c r="CQ82" i="26"/>
  <c r="DW120" i="26" s="1"/>
  <c r="CQ92" i="26"/>
  <c r="DW130" i="26" s="1"/>
  <c r="CQ69" i="26"/>
  <c r="DW107" i="26" s="1"/>
  <c r="CQ89" i="26"/>
  <c r="DW127" i="26" s="1"/>
  <c r="CQ85" i="26"/>
  <c r="DW123" i="26" s="1"/>
  <c r="CQ93" i="26"/>
  <c r="DW131" i="26" s="1"/>
  <c r="CQ76" i="26"/>
  <c r="DW114" i="26" s="1"/>
  <c r="CQ71" i="26"/>
  <c r="DW109" i="26" s="1"/>
  <c r="CQ91" i="26"/>
  <c r="DW129" i="26" s="1"/>
  <c r="CQ72" i="26"/>
  <c r="DW110" i="26" s="1"/>
  <c r="CQ87" i="26"/>
  <c r="DW125" i="26" s="1"/>
  <c r="CQ78" i="26"/>
  <c r="DW116" i="26" s="1"/>
  <c r="CQ88" i="26"/>
  <c r="DW126" i="26" s="1"/>
  <c r="CQ80" i="26"/>
  <c r="DW118" i="26" s="1"/>
  <c r="CQ83" i="26"/>
  <c r="DW121" i="26" s="1"/>
  <c r="CQ74" i="26"/>
  <c r="DW112" i="26" s="1"/>
  <c r="CQ75" i="26"/>
  <c r="DW113" i="26" s="1"/>
  <c r="CQ79" i="26"/>
  <c r="DW117" i="26" s="1"/>
  <c r="CQ68" i="26"/>
  <c r="DW106" i="26" s="1"/>
  <c r="CQ90" i="26"/>
  <c r="DW128" i="26" s="1"/>
  <c r="CQ86" i="26"/>
  <c r="DW124" i="26" s="1"/>
  <c r="CQ81" i="26"/>
  <c r="DW119" i="26" s="1"/>
  <c r="CQ77" i="26"/>
  <c r="DW115" i="26" s="1"/>
  <c r="CA82" i="26"/>
  <c r="DQ120" i="26" s="1"/>
  <c r="CA87" i="26"/>
  <c r="DQ125" i="26" s="1"/>
  <c r="CA88" i="26"/>
  <c r="DQ126" i="26" s="1"/>
  <c r="CA68" i="26"/>
  <c r="DQ106" i="26" s="1"/>
  <c r="CA73" i="26"/>
  <c r="DQ111" i="26" s="1"/>
  <c r="CA91" i="26"/>
  <c r="DQ129" i="26" s="1"/>
  <c r="CA89" i="26"/>
  <c r="DQ127" i="26" s="1"/>
  <c r="CA80" i="26"/>
  <c r="DQ118" i="26" s="1"/>
  <c r="CA92" i="26"/>
  <c r="DQ130" i="26" s="1"/>
  <c r="CA79" i="26"/>
  <c r="DQ117" i="26" s="1"/>
  <c r="CA74" i="26"/>
  <c r="DQ112" i="26" s="1"/>
  <c r="CA81" i="26"/>
  <c r="DQ119" i="26" s="1"/>
  <c r="CA86" i="26"/>
  <c r="DQ124" i="26" s="1"/>
  <c r="CA69" i="26"/>
  <c r="DQ107" i="26" s="1"/>
  <c r="CA78" i="26"/>
  <c r="DQ116" i="26" s="1"/>
  <c r="CA76" i="26"/>
  <c r="DQ114" i="26" s="1"/>
  <c r="CA90" i="26"/>
  <c r="DQ128" i="26" s="1"/>
  <c r="CA71" i="26"/>
  <c r="DQ109" i="26" s="1"/>
  <c r="BZ93" i="26"/>
  <c r="DP131" i="26" s="1"/>
  <c r="CA93" i="26"/>
  <c r="DQ131" i="26" s="1"/>
  <c r="CA70" i="26"/>
  <c r="DQ108" i="26" s="1"/>
  <c r="CA85" i="26"/>
  <c r="DQ123" i="26" s="1"/>
  <c r="CA83" i="26"/>
  <c r="DQ121" i="26" s="1"/>
  <c r="CA75" i="26"/>
  <c r="DQ113" i="26" s="1"/>
  <c r="CA77" i="26"/>
  <c r="DQ115" i="26" s="1"/>
  <c r="CA72" i="26"/>
  <c r="DQ110" i="26" s="1"/>
  <c r="CA84" i="26"/>
  <c r="DQ122" i="26" s="1"/>
  <c r="BK75" i="26"/>
  <c r="DK113" i="26" s="1"/>
  <c r="BK68" i="26"/>
  <c r="DK106" i="26" s="1"/>
  <c r="BK73" i="26"/>
  <c r="DK111" i="26" s="1"/>
  <c r="BK76" i="26"/>
  <c r="DK114" i="26" s="1"/>
  <c r="BK85" i="26"/>
  <c r="DK123" i="26" s="1"/>
  <c r="BK71" i="26"/>
  <c r="DK109" i="26" s="1"/>
  <c r="BJ93" i="26"/>
  <c r="DJ131" i="26" s="1"/>
  <c r="BK93" i="26"/>
  <c r="DK131" i="26" s="1"/>
  <c r="BK92" i="26"/>
  <c r="DK130" i="26" s="1"/>
  <c r="BK80" i="26"/>
  <c r="DK118" i="26" s="1"/>
  <c r="BK90" i="26"/>
  <c r="DK128" i="26" s="1"/>
  <c r="BK81" i="26"/>
  <c r="DK119" i="26" s="1"/>
  <c r="BK69" i="26"/>
  <c r="DK107" i="26" s="1"/>
  <c r="BK74" i="26"/>
  <c r="DK112" i="26" s="1"/>
  <c r="BK88" i="26"/>
  <c r="DK126" i="26" s="1"/>
  <c r="BK70" i="26"/>
  <c r="DK108" i="26" s="1"/>
  <c r="BK77" i="26"/>
  <c r="DK115" i="26" s="1"/>
  <c r="BK83" i="26"/>
  <c r="DK121" i="26" s="1"/>
  <c r="BK86" i="26"/>
  <c r="DK124" i="26" s="1"/>
  <c r="BK78" i="26"/>
  <c r="DK116" i="26" s="1"/>
  <c r="BK87" i="26"/>
  <c r="DK125" i="26" s="1"/>
  <c r="BK91" i="26"/>
  <c r="DK129" i="26" s="1"/>
  <c r="BK82" i="26"/>
  <c r="DK120" i="26" s="1"/>
  <c r="BK79" i="26"/>
  <c r="DK117" i="26" s="1"/>
  <c r="BK72" i="26"/>
  <c r="DK110" i="26" s="1"/>
  <c r="BK84" i="26"/>
  <c r="DK122" i="26" s="1"/>
  <c r="BK89" i="26"/>
  <c r="DK127" i="26" s="1"/>
  <c r="AU75" i="26"/>
  <c r="DE113" i="26" s="1"/>
  <c r="AU72" i="26"/>
  <c r="DE110" i="26" s="1"/>
  <c r="AU82" i="26"/>
  <c r="DE120" i="26" s="1"/>
  <c r="AU81" i="26"/>
  <c r="DE119" i="26" s="1"/>
  <c r="AU86" i="26"/>
  <c r="DE124" i="26" s="1"/>
  <c r="AU88" i="26"/>
  <c r="DE126" i="26" s="1"/>
  <c r="AU92" i="26"/>
  <c r="DE130" i="26" s="1"/>
  <c r="AU89" i="26"/>
  <c r="DE127" i="26" s="1"/>
  <c r="AU83" i="26"/>
  <c r="DE121" i="26" s="1"/>
  <c r="AU78" i="26"/>
  <c r="DE116" i="26" s="1"/>
  <c r="AU70" i="26"/>
  <c r="DE108" i="26" s="1"/>
  <c r="AU91" i="26"/>
  <c r="DE129" i="26" s="1"/>
  <c r="AU87" i="26"/>
  <c r="DE125" i="26" s="1"/>
  <c r="AU74" i="26"/>
  <c r="DE112" i="26" s="1"/>
  <c r="AU76" i="26"/>
  <c r="DE114" i="26" s="1"/>
  <c r="AU79" i="26"/>
  <c r="DE117" i="26" s="1"/>
  <c r="AU80" i="26"/>
  <c r="DE118" i="26" s="1"/>
  <c r="AU71" i="26"/>
  <c r="DE109" i="26" s="1"/>
  <c r="AU77" i="26"/>
  <c r="DE115" i="26" s="1"/>
  <c r="AU73" i="26"/>
  <c r="DE111" i="26" s="1"/>
  <c r="P83" i="26"/>
  <c r="CT121" i="26" s="1"/>
  <c r="AU69" i="26"/>
  <c r="DE107" i="26" s="1"/>
  <c r="AU90" i="26"/>
  <c r="DE128" i="26" s="1"/>
  <c r="AU68" i="26"/>
  <c r="DE106" i="26" s="1"/>
  <c r="AU84" i="26"/>
  <c r="DE122" i="26" s="1"/>
  <c r="AU93" i="26"/>
  <c r="DE131" i="26" s="1"/>
  <c r="AU85" i="26"/>
  <c r="DE123" i="26" s="1"/>
  <c r="AE75" i="26"/>
  <c r="CY113" i="26" s="1"/>
  <c r="AE70" i="26"/>
  <c r="CY108" i="26" s="1"/>
  <c r="AE68" i="26"/>
  <c r="CY106" i="26" s="1"/>
  <c r="Q89" i="26"/>
  <c r="CU127" i="26" s="1"/>
  <c r="AE78" i="26"/>
  <c r="CY116" i="26" s="1"/>
  <c r="AE93" i="26"/>
  <c r="CY131" i="26" s="1"/>
  <c r="AE72" i="26"/>
  <c r="CY110" i="26" s="1"/>
  <c r="AE73" i="26"/>
  <c r="CY111" i="26" s="1"/>
  <c r="AE92" i="26"/>
  <c r="CY130" i="26" s="1"/>
  <c r="AE79" i="26"/>
  <c r="CY117" i="26" s="1"/>
  <c r="AE86" i="26"/>
  <c r="CY124" i="26" s="1"/>
  <c r="AE74" i="26"/>
  <c r="CY112" i="26" s="1"/>
  <c r="AE69" i="26"/>
  <c r="CY107" i="26" s="1"/>
  <c r="AE80" i="26"/>
  <c r="CY118" i="26" s="1"/>
  <c r="AE81" i="26"/>
  <c r="CY119" i="26" s="1"/>
  <c r="AE71" i="26"/>
  <c r="CY109" i="26" s="1"/>
  <c r="AE85" i="26"/>
  <c r="CY123" i="26" s="1"/>
  <c r="AE89" i="26"/>
  <c r="CY127" i="26" s="1"/>
  <c r="AE87" i="26"/>
  <c r="CY125" i="26" s="1"/>
  <c r="AE82" i="26"/>
  <c r="CY120" i="26" s="1"/>
  <c r="AE84" i="26"/>
  <c r="CY122" i="26" s="1"/>
  <c r="AE88" i="26"/>
  <c r="CY126" i="26" s="1"/>
  <c r="AE91" i="26"/>
  <c r="CY129" i="26" s="1"/>
  <c r="AE90" i="26"/>
  <c r="CY128" i="26" s="1"/>
  <c r="AE83" i="26"/>
  <c r="CY121" i="26" s="1"/>
  <c r="AE76" i="26"/>
  <c r="CY114" i="26" s="1"/>
  <c r="AE77" i="26"/>
  <c r="CY115" i="26" s="1"/>
  <c r="P75" i="26"/>
  <c r="CT113" i="26" s="1"/>
  <c r="Q93" i="26"/>
  <c r="CU131" i="26" s="1"/>
  <c r="Q88" i="26"/>
  <c r="CU126" i="26" s="1"/>
  <c r="O88" i="26"/>
  <c r="CS126" i="26" s="1"/>
  <c r="Q75" i="26"/>
  <c r="CU113" i="26" s="1"/>
  <c r="P93" i="26"/>
  <c r="CT131" i="26" s="1"/>
  <c r="P89" i="26"/>
  <c r="CT127" i="26" s="1"/>
  <c r="Q87" i="26"/>
  <c r="CU125" i="26" s="1"/>
  <c r="O87" i="26"/>
  <c r="CS125" i="26" s="1"/>
  <c r="Q69" i="26"/>
  <c r="CU107" i="26" s="1"/>
  <c r="O69" i="26"/>
  <c r="CS107" i="26" s="1"/>
  <c r="Q78" i="26"/>
  <c r="CU116" i="26" s="1"/>
  <c r="O78" i="26"/>
  <c r="CS116" i="26" s="1"/>
  <c r="O76" i="26"/>
  <c r="CS114" i="26" s="1"/>
  <c r="P74" i="26"/>
  <c r="CT112" i="26" s="1"/>
  <c r="O74" i="26"/>
  <c r="CS112" i="26" s="1"/>
  <c r="Q83" i="26"/>
  <c r="CU121" i="26" s="1"/>
  <c r="N93" i="26"/>
  <c r="CR131" i="26" s="1"/>
  <c r="P69" i="26"/>
  <c r="CT107" i="26" s="1"/>
  <c r="P87" i="26"/>
  <c r="CT125" i="26" s="1"/>
  <c r="Q74" i="26"/>
  <c r="CU112" i="26" s="1"/>
  <c r="P88" i="26"/>
  <c r="CT126" i="26" s="1"/>
  <c r="Q77" i="26"/>
  <c r="CU115" i="26" s="1"/>
  <c r="P80" i="26"/>
  <c r="CT118" i="26" s="1"/>
  <c r="P72" i="26"/>
  <c r="CT110" i="26" s="1"/>
  <c r="Q92" i="26"/>
  <c r="CU130" i="26" s="1"/>
  <c r="N92" i="26"/>
  <c r="CR130" i="26" s="1"/>
  <c r="P91" i="26"/>
  <c r="CT129" i="26" s="1"/>
  <c r="Q70" i="26"/>
  <c r="CU108" i="26" s="1"/>
  <c r="Q71" i="26"/>
  <c r="CU109" i="26" s="1"/>
  <c r="HO46" i="26"/>
  <c r="CG115" i="26" s="1"/>
  <c r="HO59" i="26"/>
  <c r="CG128" i="26" s="1"/>
  <c r="HO57" i="26"/>
  <c r="CG126" i="26" s="1"/>
  <c r="HO45" i="26"/>
  <c r="CG114" i="26" s="1"/>
  <c r="HO37" i="26"/>
  <c r="CG106" i="26" s="1"/>
  <c r="HO56" i="26"/>
  <c r="CG125" i="26" s="1"/>
  <c r="HN62" i="26"/>
  <c r="CF131" i="26" s="1"/>
  <c r="HO62" i="26"/>
  <c r="CG131" i="26" s="1"/>
  <c r="HO58" i="26"/>
  <c r="CG127" i="26" s="1"/>
  <c r="HO52" i="26"/>
  <c r="CG121" i="26" s="1"/>
  <c r="HO54" i="26"/>
  <c r="CG123" i="26" s="1"/>
  <c r="HO39" i="26"/>
  <c r="CG108" i="26" s="1"/>
  <c r="HO40" i="26"/>
  <c r="CG109" i="26" s="1"/>
  <c r="HO47" i="26"/>
  <c r="CG116" i="26" s="1"/>
  <c r="HO42" i="26"/>
  <c r="CG111" i="26" s="1"/>
  <c r="HO49" i="26"/>
  <c r="CG118" i="26" s="1"/>
  <c r="HO48" i="26"/>
  <c r="CG117" i="26" s="1"/>
  <c r="HO43" i="26"/>
  <c r="CG112" i="26" s="1"/>
  <c r="HO51" i="26"/>
  <c r="CG120" i="26" s="1"/>
  <c r="HO50" i="26"/>
  <c r="CG119" i="26" s="1"/>
  <c r="HO41" i="26"/>
  <c r="CG110" i="26" s="1"/>
  <c r="HO61" i="26"/>
  <c r="CG130" i="26" s="1"/>
  <c r="HN61" i="26"/>
  <c r="CF130" i="26" s="1"/>
  <c r="HO53" i="26"/>
  <c r="CG122" i="26" s="1"/>
  <c r="HO60" i="26"/>
  <c r="CG129" i="26" s="1"/>
  <c r="HO55" i="26"/>
  <c r="CG124" i="26" s="1"/>
  <c r="HO44" i="26"/>
  <c r="CG113" i="26" s="1"/>
  <c r="HO38" i="26"/>
  <c r="CG107" i="26" s="1"/>
  <c r="GX52" i="26"/>
  <c r="BZ121" i="26" s="1"/>
  <c r="GY52" i="26"/>
  <c r="CA121" i="26" s="1"/>
  <c r="GY44" i="26"/>
  <c r="CA113" i="26" s="1"/>
  <c r="GX55" i="26"/>
  <c r="BZ124" i="26" s="1"/>
  <c r="GY55" i="26"/>
  <c r="CA124" i="26" s="1"/>
  <c r="GY57" i="26"/>
  <c r="CA126" i="26" s="1"/>
  <c r="GX57" i="26"/>
  <c r="BZ126" i="26" s="1"/>
  <c r="GY39" i="26"/>
  <c r="CA108" i="26" s="1"/>
  <c r="GY45" i="26"/>
  <c r="CA114" i="26" s="1"/>
  <c r="GY47" i="26"/>
  <c r="CA116" i="26" s="1"/>
  <c r="GY61" i="26"/>
  <c r="CA130" i="26" s="1"/>
  <c r="GX61" i="26"/>
  <c r="BZ130" i="26" s="1"/>
  <c r="GY43" i="26"/>
  <c r="CA112" i="26" s="1"/>
  <c r="GX54" i="26"/>
  <c r="BZ123" i="26" s="1"/>
  <c r="GY54" i="26"/>
  <c r="CA123" i="26" s="1"/>
  <c r="GX59" i="26"/>
  <c r="BZ128" i="26" s="1"/>
  <c r="GY59" i="26"/>
  <c r="CA128" i="26" s="1"/>
  <c r="GY41" i="26"/>
  <c r="CA110" i="26" s="1"/>
  <c r="GX62" i="26"/>
  <c r="BZ131" i="26" s="1"/>
  <c r="GY62" i="26"/>
  <c r="CA131" i="26" s="1"/>
  <c r="GY53" i="26"/>
  <c r="CA122" i="26" s="1"/>
  <c r="GX53" i="26"/>
  <c r="BZ122" i="26" s="1"/>
  <c r="GY50" i="26"/>
  <c r="CA119" i="26" s="1"/>
  <c r="GX58" i="26"/>
  <c r="BZ127" i="26" s="1"/>
  <c r="GY58" i="26"/>
  <c r="CA127" i="26" s="1"/>
  <c r="GX60" i="26"/>
  <c r="BZ129" i="26" s="1"/>
  <c r="GY60" i="26"/>
  <c r="CA129" i="26" s="1"/>
  <c r="GY37" i="26"/>
  <c r="CA106" i="26" s="1"/>
  <c r="GY40" i="26"/>
  <c r="CA109" i="26" s="1"/>
  <c r="GY51" i="26"/>
  <c r="CA120" i="26" s="1"/>
  <c r="GY48" i="26"/>
  <c r="CA117" i="26" s="1"/>
  <c r="GY38" i="26"/>
  <c r="CA107" i="26" s="1"/>
  <c r="GX56" i="26"/>
  <c r="BZ125" i="26" s="1"/>
  <c r="GY56" i="26"/>
  <c r="CA125" i="26" s="1"/>
  <c r="GY49" i="26"/>
  <c r="CA118" i="26" s="1"/>
  <c r="GY42" i="26"/>
  <c r="CA111" i="26" s="1"/>
  <c r="GY46" i="26"/>
  <c r="CA115" i="26" s="1"/>
  <c r="GI52" i="26"/>
  <c r="BU121" i="26" s="1"/>
  <c r="GI59" i="26"/>
  <c r="BU128" i="26" s="1"/>
  <c r="GI45" i="26"/>
  <c r="BU114" i="26" s="1"/>
  <c r="GI53" i="26"/>
  <c r="BU122" i="26" s="1"/>
  <c r="GI38" i="26"/>
  <c r="BU107" i="26" s="1"/>
  <c r="GH62" i="26"/>
  <c r="BT131" i="26" s="1"/>
  <c r="GI62" i="26"/>
  <c r="BU131" i="26" s="1"/>
  <c r="Q55" i="26"/>
  <c r="I124" i="26" s="1"/>
  <c r="GI50" i="26"/>
  <c r="BU119" i="26" s="1"/>
  <c r="GI37" i="26"/>
  <c r="BU106" i="26" s="1"/>
  <c r="GI43" i="26"/>
  <c r="BU112" i="26" s="1"/>
  <c r="GI48" i="26"/>
  <c r="BU117" i="26" s="1"/>
  <c r="GI39" i="26"/>
  <c r="BU108" i="26" s="1"/>
  <c r="GI42" i="26"/>
  <c r="BU111" i="26" s="1"/>
  <c r="GI61" i="26"/>
  <c r="BU130" i="26" s="1"/>
  <c r="GH61" i="26"/>
  <c r="BT130" i="26" s="1"/>
  <c r="GI47" i="26"/>
  <c r="BU116" i="26" s="1"/>
  <c r="GI41" i="26"/>
  <c r="BU110" i="26" s="1"/>
  <c r="GI40" i="26"/>
  <c r="BU109" i="26" s="1"/>
  <c r="GI51" i="26"/>
  <c r="BU120" i="26" s="1"/>
  <c r="GI58" i="26"/>
  <c r="BU127" i="26" s="1"/>
  <c r="GI56" i="26"/>
  <c r="BU125" i="26" s="1"/>
  <c r="GI46" i="26"/>
  <c r="BU115" i="26" s="1"/>
  <c r="GI54" i="26"/>
  <c r="BU123" i="26" s="1"/>
  <c r="GI49" i="26"/>
  <c r="BU118" i="26" s="1"/>
  <c r="GI60" i="26"/>
  <c r="BU129" i="26" s="1"/>
  <c r="GI44" i="26"/>
  <c r="BU113" i="26" s="1"/>
  <c r="GI55" i="26"/>
  <c r="BU124" i="26" s="1"/>
  <c r="GI57" i="26"/>
  <c r="BU126" i="26" s="1"/>
  <c r="FS41" i="26"/>
  <c r="BO110" i="26" s="1"/>
  <c r="FS44" i="26"/>
  <c r="BO113" i="26" s="1"/>
  <c r="FS48" i="26"/>
  <c r="BO117" i="26" s="1"/>
  <c r="FS47" i="26"/>
  <c r="BO116" i="26" s="1"/>
  <c r="FS55" i="26"/>
  <c r="BO124" i="26" s="1"/>
  <c r="FS51" i="26"/>
  <c r="BO120" i="26" s="1"/>
  <c r="FS42" i="26"/>
  <c r="BO111" i="26" s="1"/>
  <c r="FS37" i="26"/>
  <c r="BO106" i="26" s="1"/>
  <c r="FS59" i="26"/>
  <c r="BO128" i="26" s="1"/>
  <c r="FS60" i="26"/>
  <c r="BO129" i="26" s="1"/>
  <c r="FR62" i="26"/>
  <c r="BN131" i="26" s="1"/>
  <c r="FS62" i="26"/>
  <c r="BO131" i="26" s="1"/>
  <c r="FS49" i="26"/>
  <c r="BO118" i="26" s="1"/>
  <c r="FS61" i="26"/>
  <c r="BO130" i="26" s="1"/>
  <c r="FR61" i="26"/>
  <c r="BN130" i="26" s="1"/>
  <c r="FS43" i="26"/>
  <c r="BO112" i="26" s="1"/>
  <c r="FS54" i="26"/>
  <c r="BO123" i="26" s="1"/>
  <c r="FS58" i="26"/>
  <c r="BO127" i="26" s="1"/>
  <c r="FS50" i="26"/>
  <c r="BO119" i="26" s="1"/>
  <c r="FS52" i="26"/>
  <c r="BO121" i="26" s="1"/>
  <c r="FS45" i="26"/>
  <c r="BO114" i="26" s="1"/>
  <c r="Q46" i="26"/>
  <c r="I115" i="26" s="1"/>
  <c r="FS56" i="26"/>
  <c r="BO125" i="26" s="1"/>
  <c r="FS39" i="26"/>
  <c r="BO108" i="26" s="1"/>
  <c r="FS40" i="26"/>
  <c r="BO109" i="26" s="1"/>
  <c r="FS38" i="26"/>
  <c r="BO107" i="26" s="1"/>
  <c r="FS53" i="26"/>
  <c r="BO122" i="26" s="1"/>
  <c r="FS57" i="26"/>
  <c r="BO126" i="26" s="1"/>
  <c r="FS46" i="26"/>
  <c r="BO115" i="26" s="1"/>
  <c r="EM44" i="26"/>
  <c r="EM47" i="26"/>
  <c r="EM48" i="26"/>
  <c r="EM56" i="26"/>
  <c r="EM57" i="26"/>
  <c r="EL62" i="26"/>
  <c r="EM62" i="26"/>
  <c r="EM60" i="26"/>
  <c r="EM49" i="26"/>
  <c r="EM41" i="26"/>
  <c r="EM53" i="26"/>
  <c r="EM46" i="26"/>
  <c r="EM40" i="26"/>
  <c r="EM58" i="26"/>
  <c r="EM37" i="26"/>
  <c r="EM42" i="26"/>
  <c r="EM54" i="26"/>
  <c r="EM51" i="26"/>
  <c r="EM43" i="26"/>
  <c r="EM39" i="26"/>
  <c r="EM50" i="26"/>
  <c r="EM59" i="26"/>
  <c r="EM52" i="26"/>
  <c r="EM61" i="26"/>
  <c r="EM45" i="26"/>
  <c r="EM38" i="26"/>
  <c r="EM55" i="26"/>
  <c r="DW57" i="26"/>
  <c r="DW49" i="26"/>
  <c r="DW59" i="26"/>
  <c r="DW38" i="26"/>
  <c r="DW56" i="26"/>
  <c r="DW52" i="26"/>
  <c r="DW53" i="26"/>
  <c r="DW40" i="26"/>
  <c r="DW45" i="26"/>
  <c r="DW62" i="26"/>
  <c r="DW61" i="26"/>
  <c r="DW41" i="26"/>
  <c r="DW48" i="26"/>
  <c r="DW43" i="26"/>
  <c r="DW44" i="26"/>
  <c r="DW54" i="26"/>
  <c r="DW37" i="26"/>
  <c r="DW55" i="26"/>
  <c r="DW58" i="26"/>
  <c r="DW51" i="26"/>
  <c r="DW39" i="26"/>
  <c r="DW42" i="26"/>
  <c r="DW46" i="26"/>
  <c r="DW47" i="26"/>
  <c r="DW60" i="26"/>
  <c r="DW50" i="26"/>
  <c r="DG58" i="26"/>
  <c r="DG45" i="26"/>
  <c r="DG46" i="26"/>
  <c r="DG42" i="26"/>
  <c r="DG54" i="26"/>
  <c r="DG60" i="26"/>
  <c r="DG56" i="26"/>
  <c r="DG57" i="26"/>
  <c r="DG52" i="26"/>
  <c r="DG55" i="26"/>
  <c r="DG38" i="26"/>
  <c r="DG50" i="26"/>
  <c r="DG47" i="26"/>
  <c r="DG43" i="26"/>
  <c r="DG37" i="26"/>
  <c r="DG48" i="26"/>
  <c r="DG41" i="26"/>
  <c r="DG44" i="26"/>
  <c r="DG53" i="26"/>
  <c r="DG39" i="26"/>
  <c r="DG62" i="26"/>
  <c r="DG51" i="26"/>
  <c r="DG40" i="26"/>
  <c r="DG49" i="26"/>
  <c r="DG61" i="26"/>
  <c r="DG59" i="26"/>
  <c r="CQ47" i="26"/>
  <c r="AK116" i="26" s="1"/>
  <c r="CQ49" i="26"/>
  <c r="AK118" i="26" s="1"/>
  <c r="CQ38" i="26"/>
  <c r="AK107" i="26" s="1"/>
  <c r="CQ40" i="26"/>
  <c r="AK109" i="26" s="1"/>
  <c r="CQ41" i="26"/>
  <c r="AK110" i="26" s="1"/>
  <c r="CQ39" i="26"/>
  <c r="AK108" i="26" s="1"/>
  <c r="CQ37" i="26"/>
  <c r="AK106" i="26" s="1"/>
  <c r="CQ60" i="26"/>
  <c r="AK129" i="26" s="1"/>
  <c r="CQ55" i="26"/>
  <c r="AK124" i="26" s="1"/>
  <c r="Q61" i="26"/>
  <c r="I130" i="26" s="1"/>
  <c r="CQ53" i="26"/>
  <c r="AK122" i="26" s="1"/>
  <c r="CQ43" i="26"/>
  <c r="AK112" i="26" s="1"/>
  <c r="CQ57" i="26"/>
  <c r="AK126" i="26" s="1"/>
  <c r="CQ56" i="26"/>
  <c r="AK125" i="26" s="1"/>
  <c r="CQ45" i="26"/>
  <c r="AK114" i="26" s="1"/>
  <c r="CQ51" i="26"/>
  <c r="AK120" i="26" s="1"/>
  <c r="CQ52" i="26"/>
  <c r="AK121" i="26" s="1"/>
  <c r="CQ61" i="26"/>
  <c r="AK130" i="26" s="1"/>
  <c r="CQ59" i="26"/>
  <c r="AK128" i="26" s="1"/>
  <c r="CQ54" i="26"/>
  <c r="AK123" i="26" s="1"/>
  <c r="CQ48" i="26"/>
  <c r="AK117" i="26" s="1"/>
  <c r="CQ46" i="26"/>
  <c r="AK115" i="26" s="1"/>
  <c r="CQ50" i="26"/>
  <c r="AK119" i="26" s="1"/>
  <c r="CQ62" i="26"/>
  <c r="AK131" i="26" s="1"/>
  <c r="CQ58" i="26"/>
  <c r="AK127" i="26" s="1"/>
  <c r="CQ44" i="26"/>
  <c r="AK113" i="26" s="1"/>
  <c r="CQ42" i="26"/>
  <c r="AK111" i="26" s="1"/>
  <c r="CA37" i="26"/>
  <c r="AE106" i="26" s="1"/>
  <c r="CA49" i="26"/>
  <c r="AE118" i="26" s="1"/>
  <c r="CA60" i="26"/>
  <c r="AE129" i="26" s="1"/>
  <c r="CA46" i="26"/>
  <c r="AE115" i="26" s="1"/>
  <c r="CA56" i="26"/>
  <c r="AE125" i="26" s="1"/>
  <c r="CA62" i="26"/>
  <c r="AE131" i="26" s="1"/>
  <c r="CA51" i="26"/>
  <c r="AE120" i="26" s="1"/>
  <c r="CA42" i="26"/>
  <c r="AE111" i="26" s="1"/>
  <c r="CA39" i="26"/>
  <c r="AE108" i="26" s="1"/>
  <c r="CA58" i="26"/>
  <c r="AE127" i="26" s="1"/>
  <c r="CA47" i="26"/>
  <c r="AE116" i="26" s="1"/>
  <c r="CA52" i="26"/>
  <c r="AE121" i="26" s="1"/>
  <c r="CA45" i="26"/>
  <c r="AE114" i="26" s="1"/>
  <c r="CA59" i="26"/>
  <c r="AE128" i="26" s="1"/>
  <c r="CA57" i="26"/>
  <c r="AE126" i="26" s="1"/>
  <c r="CA40" i="26"/>
  <c r="AE109" i="26" s="1"/>
  <c r="CA61" i="26"/>
  <c r="AE130" i="26" s="1"/>
  <c r="CA48" i="26"/>
  <c r="AE117" i="26" s="1"/>
  <c r="CA41" i="26"/>
  <c r="AE110" i="26" s="1"/>
  <c r="CA54" i="26"/>
  <c r="AE123" i="26" s="1"/>
  <c r="CA55" i="26"/>
  <c r="AE124" i="26" s="1"/>
  <c r="CA44" i="26"/>
  <c r="AE113" i="26" s="1"/>
  <c r="CA43" i="26"/>
  <c r="AE112" i="26" s="1"/>
  <c r="CA50" i="26"/>
  <c r="AE119" i="26" s="1"/>
  <c r="CA38" i="26"/>
  <c r="AE107" i="26" s="1"/>
  <c r="CA53" i="26"/>
  <c r="AE122" i="26" s="1"/>
  <c r="BK60" i="26"/>
  <c r="Y129" i="26" s="1"/>
  <c r="BK44" i="26"/>
  <c r="Y113" i="26" s="1"/>
  <c r="BK61" i="26"/>
  <c r="Y130" i="26" s="1"/>
  <c r="BK40" i="26"/>
  <c r="Y109" i="26" s="1"/>
  <c r="BK51" i="26"/>
  <c r="Y120" i="26" s="1"/>
  <c r="BK62" i="26"/>
  <c r="Y131" i="26" s="1"/>
  <c r="BK39" i="26"/>
  <c r="Y108" i="26" s="1"/>
  <c r="BK52" i="26"/>
  <c r="Y121" i="26" s="1"/>
  <c r="BK56" i="26"/>
  <c r="Y125" i="26" s="1"/>
  <c r="BK58" i="26"/>
  <c r="Y127" i="26" s="1"/>
  <c r="BK41" i="26"/>
  <c r="Y110" i="26" s="1"/>
  <c r="BK45" i="26"/>
  <c r="Y114" i="26" s="1"/>
  <c r="BK38" i="26"/>
  <c r="Y107" i="26" s="1"/>
  <c r="BK53" i="26"/>
  <c r="Y122" i="26" s="1"/>
  <c r="BK59" i="26"/>
  <c r="Y128" i="26" s="1"/>
  <c r="BK37" i="26"/>
  <c r="Y106" i="26" s="1"/>
  <c r="BK55" i="26"/>
  <c r="Y124" i="26" s="1"/>
  <c r="BK49" i="26"/>
  <c r="Y118" i="26" s="1"/>
  <c r="BK47" i="26"/>
  <c r="Y116" i="26" s="1"/>
  <c r="BK57" i="26"/>
  <c r="Y126" i="26" s="1"/>
  <c r="BK54" i="26"/>
  <c r="Y123" i="26" s="1"/>
  <c r="Q58" i="26"/>
  <c r="I127" i="26" s="1"/>
  <c r="BK46" i="26"/>
  <c r="Y115" i="26" s="1"/>
  <c r="BK43" i="26"/>
  <c r="Y112" i="26" s="1"/>
  <c r="BK48" i="26"/>
  <c r="Y117" i="26" s="1"/>
  <c r="BK42" i="26"/>
  <c r="Y111" i="26" s="1"/>
  <c r="BK50" i="26"/>
  <c r="Y119" i="26" s="1"/>
  <c r="AU41" i="26"/>
  <c r="S110" i="26" s="1"/>
  <c r="AU44" i="26"/>
  <c r="S113" i="26" s="1"/>
  <c r="AU47" i="26"/>
  <c r="S116" i="26" s="1"/>
  <c r="AU57" i="26"/>
  <c r="S126" i="26" s="1"/>
  <c r="AU48" i="26"/>
  <c r="S117" i="26" s="1"/>
  <c r="AU60" i="26"/>
  <c r="S129" i="26" s="1"/>
  <c r="AU62" i="26"/>
  <c r="S131" i="26" s="1"/>
  <c r="AU45" i="26"/>
  <c r="S114" i="26" s="1"/>
  <c r="AU61" i="26"/>
  <c r="S130" i="26" s="1"/>
  <c r="AU38" i="26"/>
  <c r="S107" i="26" s="1"/>
  <c r="AU49" i="26"/>
  <c r="S118" i="26" s="1"/>
  <c r="AU52" i="26"/>
  <c r="S121" i="26" s="1"/>
  <c r="AU59" i="26"/>
  <c r="S128" i="26" s="1"/>
  <c r="AU39" i="26"/>
  <c r="S108" i="26" s="1"/>
  <c r="AU40" i="26"/>
  <c r="S109" i="26" s="1"/>
  <c r="AU54" i="26"/>
  <c r="S123" i="26" s="1"/>
  <c r="AU46" i="26"/>
  <c r="S115" i="26" s="1"/>
  <c r="AU58" i="26"/>
  <c r="S127" i="26" s="1"/>
  <c r="AU50" i="26"/>
  <c r="S119" i="26" s="1"/>
  <c r="AU53" i="26"/>
  <c r="S122" i="26" s="1"/>
  <c r="AU51" i="26"/>
  <c r="S120" i="26" s="1"/>
  <c r="AU43" i="26"/>
  <c r="S112" i="26" s="1"/>
  <c r="AU55" i="26"/>
  <c r="S124" i="26" s="1"/>
  <c r="AU56" i="26"/>
  <c r="S125" i="26" s="1"/>
  <c r="AU42" i="26"/>
  <c r="S111" i="26" s="1"/>
  <c r="AU37" i="26"/>
  <c r="S106" i="26" s="1"/>
  <c r="Q62" i="26"/>
  <c r="I131" i="26" s="1"/>
  <c r="O62" i="26"/>
  <c r="G131" i="26" s="1"/>
  <c r="O58" i="26"/>
  <c r="G127" i="26" s="1"/>
  <c r="O41" i="26"/>
  <c r="G110" i="26" s="1"/>
  <c r="O42" i="26"/>
  <c r="G111" i="26" s="1"/>
  <c r="O55" i="26"/>
  <c r="G124" i="26" s="1"/>
  <c r="O61" i="26"/>
  <c r="G130" i="26" s="1"/>
  <c r="P47" i="26"/>
  <c r="H116" i="26" s="1"/>
  <c r="O47" i="26"/>
  <c r="G116" i="26" s="1"/>
  <c r="O57" i="26"/>
  <c r="G126" i="26" s="1"/>
  <c r="O54" i="26"/>
  <c r="G123" i="26" s="1"/>
  <c r="O39" i="26"/>
  <c r="G108" i="26" s="1"/>
  <c r="O46" i="26"/>
  <c r="G115" i="26" s="1"/>
  <c r="O49" i="26"/>
  <c r="G118" i="26" s="1"/>
  <c r="O48" i="26"/>
  <c r="G117" i="26" s="1"/>
  <c r="O38" i="26"/>
  <c r="G107" i="26" s="1"/>
  <c r="O59" i="26"/>
  <c r="G128" i="26" s="1"/>
  <c r="Q54" i="26"/>
  <c r="I123" i="26" s="1"/>
  <c r="O53" i="26"/>
  <c r="G122" i="26" s="1"/>
  <c r="O37" i="26"/>
  <c r="G106" i="26" s="1"/>
  <c r="O44" i="26"/>
  <c r="G113" i="26" s="1"/>
  <c r="O45" i="26"/>
  <c r="G114" i="26" s="1"/>
  <c r="O51" i="26"/>
  <c r="G120" i="26" s="1"/>
  <c r="P60" i="26"/>
  <c r="H129" i="26" s="1"/>
  <c r="O60" i="26"/>
  <c r="G129" i="26" s="1"/>
  <c r="O50" i="26"/>
  <c r="G119" i="26" s="1"/>
  <c r="O43" i="26"/>
  <c r="G112" i="26" s="1"/>
  <c r="O56" i="26"/>
  <c r="G125" i="26" s="1"/>
  <c r="O40" i="26"/>
  <c r="G109" i="26" s="1"/>
  <c r="O52" i="26"/>
  <c r="G121" i="26" s="1"/>
  <c r="P53" i="26"/>
  <c r="H122" i="26" s="1"/>
  <c r="P54" i="26"/>
  <c r="H123" i="26" s="1"/>
  <c r="Q60" i="26"/>
  <c r="I129" i="26" s="1"/>
  <c r="P62" i="26"/>
  <c r="H131" i="26" s="1"/>
  <c r="Q47" i="26"/>
  <c r="I116" i="26" s="1"/>
  <c r="Q59" i="26"/>
  <c r="I128" i="26" s="1"/>
  <c r="P59" i="26"/>
  <c r="H128" i="26" s="1"/>
  <c r="P42" i="26"/>
  <c r="H111" i="26" s="1"/>
  <c r="P38" i="26"/>
  <c r="Q45" i="26"/>
  <c r="I114" i="26" s="1"/>
  <c r="P56" i="26"/>
  <c r="H125" i="26" s="1"/>
  <c r="Q48" i="26"/>
  <c r="I117" i="26" s="1"/>
  <c r="P52" i="26"/>
  <c r="H121" i="26" s="1"/>
  <c r="P41" i="26"/>
  <c r="Q39" i="26"/>
  <c r="I108" i="26" s="1"/>
  <c r="Q43" i="26"/>
  <c r="I112" i="26" s="1"/>
  <c r="P37" i="26"/>
  <c r="FM65" i="26" s="1"/>
  <c r="P44" i="26"/>
  <c r="H113" i="26" s="1"/>
  <c r="P57" i="26"/>
  <c r="P51" i="26"/>
  <c r="H120" i="26" s="1"/>
  <c r="P49" i="26"/>
  <c r="H118" i="26" s="1"/>
  <c r="P50" i="26"/>
  <c r="H119" i="26" s="1"/>
  <c r="Q40" i="26"/>
  <c r="I109" i="26" s="1"/>
  <c r="AG49" i="26"/>
  <c r="O118" i="26" s="1"/>
  <c r="AG44" i="26"/>
  <c r="O113" i="26" s="1"/>
  <c r="AG57" i="26"/>
  <c r="O126" i="26" s="1"/>
  <c r="AG62" i="26"/>
  <c r="O131" i="26" s="1"/>
  <c r="AF53" i="26"/>
  <c r="AG56" i="26"/>
  <c r="O125" i="26" s="1"/>
  <c r="AF40" i="26"/>
  <c r="N109" i="26" s="1"/>
  <c r="AF52" i="26"/>
  <c r="N121" i="26" s="1"/>
  <c r="AF39" i="26"/>
  <c r="N108" i="26" s="1"/>
  <c r="AG61" i="26"/>
  <c r="O130" i="26" s="1"/>
  <c r="AF51" i="26"/>
  <c r="N120" i="26" s="1"/>
  <c r="AG48" i="26"/>
  <c r="O117" i="26" s="1"/>
  <c r="AF55" i="26"/>
  <c r="N124" i="26" s="1"/>
  <c r="AF50" i="26"/>
  <c r="N119" i="26" s="1"/>
  <c r="AF38" i="26"/>
  <c r="N107" i="26" s="1"/>
  <c r="AG60" i="26"/>
  <c r="O129" i="26" s="1"/>
  <c r="AG42" i="26"/>
  <c r="O111" i="26" s="1"/>
  <c r="AF47" i="26"/>
  <c r="AG59" i="26"/>
  <c r="O128" i="26" s="1"/>
  <c r="DY82" i="26"/>
  <c r="DX82" i="26"/>
  <c r="CR68" i="26"/>
  <c r="DX106" i="26" s="1"/>
  <c r="CS68" i="26"/>
  <c r="EO71" i="26"/>
  <c r="EN71" i="26"/>
  <c r="EP109" i="26" s="1"/>
  <c r="EN73" i="26"/>
  <c r="EP111" i="26" s="1"/>
  <c r="EO73" i="26"/>
  <c r="DY87" i="26"/>
  <c r="DX87" i="26"/>
  <c r="DY69" i="26"/>
  <c r="DX69" i="26"/>
  <c r="EJ107" i="26" s="1"/>
  <c r="EO81" i="26"/>
  <c r="EN81" i="26"/>
  <c r="EP119" i="26" s="1"/>
  <c r="CR79" i="26"/>
  <c r="DX117" i="26" s="1"/>
  <c r="CS79" i="26"/>
  <c r="FD85" i="26"/>
  <c r="FE85" i="26"/>
  <c r="FD83" i="26"/>
  <c r="FE83" i="26"/>
  <c r="DI86" i="26"/>
  <c r="DH86" i="26"/>
  <c r="ED124" i="26" s="1"/>
  <c r="FD90" i="26"/>
  <c r="FE90" i="26"/>
  <c r="CR85" i="26"/>
  <c r="DX123" i="26" s="1"/>
  <c r="CS85" i="26"/>
  <c r="DX91" i="26"/>
  <c r="DY91" i="26"/>
  <c r="CR78" i="26"/>
  <c r="DX116" i="26" s="1"/>
  <c r="CS78" i="26"/>
  <c r="FD75" i="26"/>
  <c r="EV113" i="26" s="1"/>
  <c r="FE75" i="26"/>
  <c r="EN89" i="26"/>
  <c r="EP127" i="26" s="1"/>
  <c r="EO89" i="26"/>
  <c r="EO87" i="26"/>
  <c r="EN87" i="26"/>
  <c r="EP125" i="26" s="1"/>
  <c r="EN93" i="26"/>
  <c r="EP131" i="26" s="1"/>
  <c r="EO93" i="26"/>
  <c r="DX86" i="26"/>
  <c r="DY86" i="26"/>
  <c r="DY84" i="26"/>
  <c r="DX84" i="26"/>
  <c r="FD68" i="26"/>
  <c r="EV106" i="26" s="1"/>
  <c r="FE68" i="26"/>
  <c r="CS88" i="26"/>
  <c r="CR88" i="26"/>
  <c r="DX126" i="26" s="1"/>
  <c r="EO83" i="26"/>
  <c r="EN83" i="26"/>
  <c r="DX85" i="26"/>
  <c r="EJ123" i="26" s="1"/>
  <c r="DY85" i="26"/>
  <c r="CS87" i="26"/>
  <c r="CR87" i="26"/>
  <c r="DX125" i="26" s="1"/>
  <c r="EO72" i="26"/>
  <c r="EN72" i="26"/>
  <c r="EP110" i="26" s="1"/>
  <c r="DH93" i="26"/>
  <c r="ED131" i="26" s="1"/>
  <c r="DI93" i="26"/>
  <c r="FD74" i="26"/>
  <c r="EV112" i="26" s="1"/>
  <c r="FE74" i="26"/>
  <c r="FD80" i="26"/>
  <c r="EV118" i="26" s="1"/>
  <c r="FE80" i="26"/>
  <c r="DH71" i="26"/>
  <c r="ED109" i="26" s="1"/>
  <c r="DI71" i="26"/>
  <c r="FE72" i="26"/>
  <c r="FD72" i="26"/>
  <c r="EV110" i="26" s="1"/>
  <c r="DI78" i="26"/>
  <c r="DH78" i="26"/>
  <c r="ED116" i="26" s="1"/>
  <c r="DI74" i="26"/>
  <c r="DH74" i="26"/>
  <c r="ED112" i="26" s="1"/>
  <c r="DI72" i="26"/>
  <c r="DH72" i="26"/>
  <c r="EN85" i="26"/>
  <c r="EP123" i="26" s="1"/>
  <c r="EO85" i="26"/>
  <c r="DI73" i="26"/>
  <c r="DH73" i="26"/>
  <c r="DX78" i="26"/>
  <c r="EJ116" i="26" s="1"/>
  <c r="DY78" i="26"/>
  <c r="FE76" i="26"/>
  <c r="FD76" i="26"/>
  <c r="DX74" i="26"/>
  <c r="EJ112" i="26" s="1"/>
  <c r="DY74" i="26"/>
  <c r="EO88" i="26"/>
  <c r="EN88" i="26"/>
  <c r="EP126" i="26" s="1"/>
  <c r="EN86" i="26"/>
  <c r="EO86" i="26"/>
  <c r="CS84" i="26"/>
  <c r="CR84" i="26"/>
  <c r="DX122" i="26" s="1"/>
  <c r="DI77" i="26"/>
  <c r="DH77" i="26"/>
  <c r="DX81" i="26"/>
  <c r="EJ119" i="26" s="1"/>
  <c r="DY81" i="26"/>
  <c r="EO78" i="26"/>
  <c r="EN78" i="26"/>
  <c r="EP116" i="26" s="1"/>
  <c r="DH88" i="26"/>
  <c r="ED126" i="26" s="1"/>
  <c r="DI88" i="26"/>
  <c r="EO68" i="26"/>
  <c r="EN68" i="26"/>
  <c r="EP106" i="26" s="1"/>
  <c r="CS90" i="26"/>
  <c r="CR90" i="26"/>
  <c r="DX128" i="26" s="1"/>
  <c r="FE69" i="26"/>
  <c r="FD69" i="26"/>
  <c r="EV107" i="26" s="1"/>
  <c r="DX76" i="26"/>
  <c r="EJ114" i="26" s="1"/>
  <c r="DY76" i="26"/>
  <c r="FE91" i="26"/>
  <c r="FD91" i="26"/>
  <c r="DX72" i="26"/>
  <c r="EJ110" i="26" s="1"/>
  <c r="DY72" i="26"/>
  <c r="CR75" i="26"/>
  <c r="DX113" i="26" s="1"/>
  <c r="CS75" i="26"/>
  <c r="CS77" i="26"/>
  <c r="CR77" i="26"/>
  <c r="DX115" i="26" s="1"/>
  <c r="DH85" i="26"/>
  <c r="ED123" i="26" s="1"/>
  <c r="DI85" i="26"/>
  <c r="DY90" i="26"/>
  <c r="DX90" i="26"/>
  <c r="EJ128" i="26" s="1"/>
  <c r="DH90" i="26"/>
  <c r="ED128" i="26" s="1"/>
  <c r="DI90" i="26"/>
  <c r="DY71" i="26"/>
  <c r="DX71" i="26"/>
  <c r="EJ109" i="26" s="1"/>
  <c r="DI87" i="26"/>
  <c r="DH87" i="26"/>
  <c r="ED125" i="26" s="1"/>
  <c r="FD73" i="26"/>
  <c r="EV111" i="26" s="1"/>
  <c r="FE73" i="26"/>
  <c r="DY70" i="26"/>
  <c r="DX70" i="26"/>
  <c r="FD88" i="26"/>
  <c r="FE88" i="26"/>
  <c r="DY80" i="26"/>
  <c r="DX80" i="26"/>
  <c r="EJ118" i="26" s="1"/>
  <c r="EO76" i="26"/>
  <c r="EN76" i="26"/>
  <c r="EP114" i="26" s="1"/>
  <c r="DH82" i="26"/>
  <c r="ED120" i="26" s="1"/>
  <c r="DI82" i="26"/>
  <c r="CR69" i="26"/>
  <c r="DX107" i="26" s="1"/>
  <c r="CS69" i="26"/>
  <c r="FD77" i="26"/>
  <c r="EV115" i="26" s="1"/>
  <c r="FE77" i="26"/>
  <c r="EO69" i="26"/>
  <c r="EN69" i="26"/>
  <c r="EP107" i="26" s="1"/>
  <c r="CR83" i="26"/>
  <c r="DX121" i="26" s="1"/>
  <c r="CS83" i="26"/>
  <c r="DI92" i="26"/>
  <c r="DH92" i="26"/>
  <c r="ED130" i="26" s="1"/>
  <c r="FE89" i="26"/>
  <c r="FD89" i="26"/>
  <c r="EO74" i="26"/>
  <c r="EN74" i="26"/>
  <c r="EP112" i="26" s="1"/>
  <c r="CS72" i="26"/>
  <c r="CR72" i="26"/>
  <c r="DX110" i="26" s="1"/>
  <c r="FE92" i="26"/>
  <c r="FD92" i="26"/>
  <c r="FE93" i="26"/>
  <c r="FD93" i="26"/>
  <c r="EV131" i="26" s="1"/>
  <c r="FD79" i="26"/>
  <c r="EV117" i="26" s="1"/>
  <c r="FE79" i="26"/>
  <c r="DH81" i="26"/>
  <c r="ED119" i="26" s="1"/>
  <c r="DI81" i="26"/>
  <c r="EO90" i="26"/>
  <c r="EN90" i="26"/>
  <c r="FE78" i="26"/>
  <c r="FD78" i="26"/>
  <c r="EV116" i="26" s="1"/>
  <c r="DY93" i="26"/>
  <c r="DX93" i="26"/>
  <c r="EJ131" i="26" s="1"/>
  <c r="EN80" i="26"/>
  <c r="EP118" i="26" s="1"/>
  <c r="EO80" i="26"/>
  <c r="CS76" i="26"/>
  <c r="CR76" i="26"/>
  <c r="DX114" i="26" s="1"/>
  <c r="DI83" i="26"/>
  <c r="DH83" i="26"/>
  <c r="ED121" i="26" s="1"/>
  <c r="DY92" i="26"/>
  <c r="DX92" i="26"/>
  <c r="DI84" i="26"/>
  <c r="DH84" i="26"/>
  <c r="ED122" i="26" s="1"/>
  <c r="DY68" i="26"/>
  <c r="DX68" i="26"/>
  <c r="EJ106" i="26" s="1"/>
  <c r="FE84" i="26"/>
  <c r="FD84" i="26"/>
  <c r="EO70" i="26"/>
  <c r="EN70" i="26"/>
  <c r="EP108" i="26" s="1"/>
  <c r="EN82" i="26"/>
  <c r="EO82" i="26"/>
  <c r="EO79" i="26"/>
  <c r="EN79" i="26"/>
  <c r="EP117" i="26" s="1"/>
  <c r="DY89" i="26"/>
  <c r="DX89" i="26"/>
  <c r="EO75" i="26"/>
  <c r="EN75" i="26"/>
  <c r="CS92" i="26"/>
  <c r="CR92" i="26"/>
  <c r="DX130" i="26" s="1"/>
  <c r="FE87" i="26"/>
  <c r="FD87" i="26"/>
  <c r="EV125" i="26" s="1"/>
  <c r="DI68" i="26"/>
  <c r="DH68" i="26"/>
  <c r="DX75" i="26"/>
  <c r="EJ113" i="26" s="1"/>
  <c r="DY75" i="26"/>
  <c r="EN77" i="26"/>
  <c r="EP115" i="26" s="1"/>
  <c r="EO77" i="26"/>
  <c r="FD71" i="26"/>
  <c r="EV109" i="26" s="1"/>
  <c r="FE71" i="26"/>
  <c r="DH76" i="26"/>
  <c r="DI76" i="26"/>
  <c r="CS81" i="26"/>
  <c r="CR81" i="26"/>
  <c r="DX119" i="26" s="1"/>
  <c r="FD82" i="26"/>
  <c r="FE82" i="26"/>
  <c r="FE81" i="26"/>
  <c r="FD81" i="26"/>
  <c r="EO91" i="26"/>
  <c r="EN91" i="26"/>
  <c r="FE70" i="26"/>
  <c r="FD70" i="26"/>
  <c r="EV108" i="26" s="1"/>
  <c r="CS91" i="26"/>
  <c r="CR91" i="26"/>
  <c r="DX129" i="26" s="1"/>
  <c r="DI79" i="26"/>
  <c r="DH79" i="26"/>
  <c r="ED117" i="26" s="1"/>
  <c r="DY77" i="26"/>
  <c r="DX77" i="26"/>
  <c r="EJ115" i="26" s="1"/>
  <c r="EN92" i="26"/>
  <c r="EO92" i="26"/>
  <c r="CR82" i="26"/>
  <c r="DX120" i="26" s="1"/>
  <c r="CS82" i="26"/>
  <c r="DH70" i="26"/>
  <c r="DI70" i="26"/>
  <c r="CS80" i="26"/>
  <c r="CR80" i="26"/>
  <c r="DX118" i="26" s="1"/>
  <c r="FD86" i="26"/>
  <c r="FE86" i="26"/>
  <c r="DI89" i="26"/>
  <c r="DH89" i="26"/>
  <c r="ED127" i="26" s="1"/>
  <c r="CR74" i="26"/>
  <c r="DX112" i="26" s="1"/>
  <c r="CS74" i="26"/>
  <c r="CS73" i="26"/>
  <c r="CR73" i="26"/>
  <c r="DX111" i="26" s="1"/>
  <c r="DY73" i="26"/>
  <c r="DX73" i="26"/>
  <c r="EJ111" i="26" s="1"/>
  <c r="CS70" i="26"/>
  <c r="CR70" i="26"/>
  <c r="DX108" i="26" s="1"/>
  <c r="CS71" i="26"/>
  <c r="CR71" i="26"/>
  <c r="DX109" i="26" s="1"/>
  <c r="DI91" i="26"/>
  <c r="DH91" i="26"/>
  <c r="ED129" i="26" s="1"/>
  <c r="DX79" i="26"/>
  <c r="EJ117" i="26" s="1"/>
  <c r="DY79" i="26"/>
  <c r="CR86" i="26"/>
  <c r="DX124" i="26" s="1"/>
  <c r="CS86" i="26"/>
  <c r="DX83" i="26"/>
  <c r="DY83" i="26"/>
  <c r="EO84" i="26"/>
  <c r="EN84" i="26"/>
  <c r="CS89" i="26"/>
  <c r="CR89" i="26"/>
  <c r="DX127" i="26" s="1"/>
  <c r="DI80" i="26"/>
  <c r="DH80" i="26"/>
  <c r="DH69" i="26"/>
  <c r="ED107" i="26" s="1"/>
  <c r="DI69" i="26"/>
  <c r="DX88" i="26"/>
  <c r="DY88" i="26"/>
  <c r="DH75" i="26"/>
  <c r="DI75" i="26"/>
  <c r="CS93" i="26"/>
  <c r="CR93" i="26"/>
  <c r="DX131" i="26" s="1"/>
  <c r="CN109" i="26"/>
  <c r="AD29" i="29"/>
  <c r="W30" i="29"/>
  <c r="X30" i="29" s="1"/>
  <c r="U25" i="29"/>
  <c r="AD37" i="29"/>
  <c r="W43" i="29"/>
  <c r="X43" i="29" s="1"/>
  <c r="AD45" i="29"/>
  <c r="W41" i="29"/>
  <c r="Y41" i="29" s="1"/>
  <c r="AE28" i="29"/>
  <c r="AE36" i="29"/>
  <c r="AE44" i="29"/>
  <c r="AE29" i="29"/>
  <c r="AD30" i="29"/>
  <c r="W40" i="29"/>
  <c r="Y40" i="29" s="1"/>
  <c r="AE46" i="29"/>
  <c r="AE38" i="29"/>
  <c r="AE30" i="29"/>
  <c r="AE22" i="29"/>
  <c r="AD39" i="29"/>
  <c r="AD31" i="29"/>
  <c r="AD23" i="29"/>
  <c r="W39" i="29"/>
  <c r="X39" i="29" s="1"/>
  <c r="W22" i="29"/>
  <c r="Y22" i="29" s="1"/>
  <c r="W36" i="29"/>
  <c r="X36" i="29" s="1"/>
  <c r="W21" i="29"/>
  <c r="Y21" i="29" s="1"/>
  <c r="AE37" i="29"/>
  <c r="AE39" i="29"/>
  <c r="AD32" i="29"/>
  <c r="W38" i="29"/>
  <c r="X38" i="29" s="1"/>
  <c r="W29" i="29"/>
  <c r="Y29" i="29" s="1"/>
  <c r="AE40" i="29"/>
  <c r="AD25" i="29"/>
  <c r="W34" i="29"/>
  <c r="Y34" i="29" s="1"/>
  <c r="W32" i="29"/>
  <c r="Y32" i="29" s="1"/>
  <c r="W37" i="29"/>
  <c r="Y37" i="29" s="1"/>
  <c r="AE45" i="29"/>
  <c r="W31" i="29"/>
  <c r="X31" i="29" s="1"/>
  <c r="AE23" i="29"/>
  <c r="W26" i="29"/>
  <c r="X26" i="29" s="1"/>
  <c r="AD41" i="29"/>
  <c r="S25" i="29"/>
  <c r="AE41" i="29"/>
  <c r="AE33" i="29"/>
  <c r="AE25" i="29"/>
  <c r="AD42" i="29"/>
  <c r="AD34" i="29"/>
  <c r="AD26" i="29"/>
  <c r="W42" i="29"/>
  <c r="Y42" i="29" s="1"/>
  <c r="W46" i="29"/>
  <c r="X46" i="29" s="1"/>
  <c r="W45" i="29"/>
  <c r="Y45" i="29" s="1"/>
  <c r="AD46" i="29"/>
  <c r="AD38" i="29"/>
  <c r="AD22" i="29"/>
  <c r="AE31" i="29"/>
  <c r="AD24" i="29"/>
  <c r="W44" i="29"/>
  <c r="X44" i="29" s="1"/>
  <c r="AE32" i="29"/>
  <c r="AE24" i="29"/>
  <c r="AD33" i="29"/>
  <c r="T25" i="29"/>
  <c r="AE42" i="29"/>
  <c r="AE34" i="29"/>
  <c r="AE26" i="29"/>
  <c r="AD43" i="29"/>
  <c r="AD35" i="29"/>
  <c r="AD27" i="29"/>
  <c r="W25" i="29"/>
  <c r="Y25" i="29" s="1"/>
  <c r="W27" i="29"/>
  <c r="Y27" i="29" s="1"/>
  <c r="W24" i="29"/>
  <c r="Y24" i="29" s="1"/>
  <c r="AD21" i="29"/>
  <c r="W28" i="29"/>
  <c r="X28" i="29" s="1"/>
  <c r="AD40" i="29"/>
  <c r="AE21" i="29"/>
  <c r="AE43" i="29"/>
  <c r="AE35" i="29"/>
  <c r="AE27" i="29"/>
  <c r="AD44" i="29"/>
  <c r="AD36" i="29"/>
  <c r="AD28" i="29"/>
  <c r="W33" i="29"/>
  <c r="X33" i="29" s="1"/>
  <c r="W35" i="29"/>
  <c r="Y35" i="29" s="1"/>
  <c r="L15" i="28"/>
  <c r="R119" i="28"/>
  <c r="L24" i="28"/>
  <c r="Q116" i="28"/>
  <c r="Q110" i="28"/>
  <c r="H7" i="28"/>
  <c r="R101" i="28"/>
  <c r="T100" i="28"/>
  <c r="L7" i="28"/>
  <c r="R100" i="28"/>
  <c r="K15" i="28"/>
  <c r="Q107" i="28"/>
  <c r="R107" i="28"/>
  <c r="R108" i="28"/>
  <c r="R123" i="28"/>
  <c r="K28" i="28"/>
  <c r="R120" i="28"/>
  <c r="R114" i="28"/>
  <c r="J13" i="28"/>
  <c r="J11" i="28"/>
  <c r="R122" i="28"/>
  <c r="L28" i="28"/>
  <c r="R124" i="28"/>
  <c r="R109" i="28"/>
  <c r="R118" i="28"/>
  <c r="Q118" i="28"/>
  <c r="O121" i="28"/>
  <c r="R113" i="28"/>
  <c r="V100" i="28"/>
  <c r="R105" i="28"/>
  <c r="Q108" i="28"/>
  <c r="Q102" i="28"/>
  <c r="L13" i="28"/>
  <c r="O124" i="28"/>
  <c r="Q113" i="28"/>
  <c r="Q122" i="28"/>
  <c r="H11" i="28"/>
  <c r="R111" i="28"/>
  <c r="Q123" i="28"/>
  <c r="L11" i="28"/>
  <c r="Q105" i="28"/>
  <c r="R106" i="28"/>
  <c r="R103" i="28"/>
  <c r="X100" i="28"/>
  <c r="K13" i="28"/>
  <c r="Q124" i="28"/>
  <c r="R117" i="28"/>
  <c r="J28" i="28"/>
  <c r="H28" i="28"/>
  <c r="H16" i="28"/>
  <c r="Q114" i="28"/>
  <c r="R112" i="28"/>
  <c r="O123" i="28"/>
  <c r="Q104" i="28"/>
  <c r="W100" i="28"/>
  <c r="R121" i="28"/>
  <c r="H13" i="28"/>
  <c r="O122" i="28"/>
  <c r="R116" i="28"/>
  <c r="Q120" i="28"/>
  <c r="L16" i="28"/>
  <c r="O125" i="28"/>
  <c r="J15" i="28"/>
  <c r="H24" i="28"/>
  <c r="J16" i="28"/>
  <c r="R102" i="28"/>
  <c r="Q115" i="28"/>
  <c r="Q100" i="28"/>
  <c r="R104" i="28"/>
  <c r="R115" i="28"/>
  <c r="K24" i="28"/>
  <c r="Q112" i="28"/>
  <c r="R110" i="28"/>
  <c r="H15" i="28"/>
  <c r="J24" i="28"/>
  <c r="J7" i="28"/>
  <c r="Q121" i="28"/>
  <c r="D21" i="33"/>
  <c r="D29" i="33"/>
  <c r="D17" i="33"/>
  <c r="D11" i="33"/>
  <c r="D22" i="33"/>
  <c r="D32" i="33"/>
  <c r="D27" i="33"/>
  <c r="D12" i="33"/>
  <c r="D20" i="33"/>
  <c r="D9" i="33"/>
  <c r="D31" i="33"/>
  <c r="D16" i="33"/>
  <c r="D23" i="33"/>
  <c r="D15" i="33"/>
  <c r="D14" i="33"/>
  <c r="D33" i="33"/>
  <c r="D30" i="33"/>
  <c r="D19" i="33"/>
  <c r="D18" i="33"/>
  <c r="D24" i="33"/>
  <c r="D13" i="33"/>
  <c r="D28" i="33"/>
  <c r="D25" i="33"/>
  <c r="D34" i="33"/>
  <c r="D26" i="33"/>
  <c r="CN115" i="26"/>
  <c r="CN112" i="26"/>
  <c r="CN131" i="26"/>
  <c r="Q80" i="26"/>
  <c r="CU118" i="26" s="1"/>
  <c r="P92" i="26"/>
  <c r="CT130" i="26" s="1"/>
  <c r="Q72" i="26"/>
  <c r="CU110" i="26" s="1"/>
  <c r="P70" i="26"/>
  <c r="P71" i="26"/>
  <c r="CT109" i="26" s="1"/>
  <c r="P82" i="26"/>
  <c r="P84" i="26"/>
  <c r="P77" i="26"/>
  <c r="Q82" i="26"/>
  <c r="CU120" i="26" s="1"/>
  <c r="P90" i="26"/>
  <c r="CT128" i="26" s="1"/>
  <c r="Q90" i="26"/>
  <c r="CU128" i="26" s="1"/>
  <c r="Q84" i="26"/>
  <c r="CU122" i="26" s="1"/>
  <c r="CN117" i="26"/>
  <c r="CN123" i="26"/>
  <c r="Q91" i="26"/>
  <c r="CU129" i="26" s="1"/>
  <c r="CN125" i="26"/>
  <c r="CN107" i="26"/>
  <c r="AV78" i="26"/>
  <c r="DF116" i="26" s="1"/>
  <c r="AW78" i="26"/>
  <c r="HA61" i="26"/>
  <c r="CC130" i="26" s="1"/>
  <c r="GZ61" i="26"/>
  <c r="CB130" i="26" s="1"/>
  <c r="EO40" i="26"/>
  <c r="EN40" i="26"/>
  <c r="FU48" i="26"/>
  <c r="BQ117" i="26" s="1"/>
  <c r="FT48" i="26"/>
  <c r="BP117" i="26" s="1"/>
  <c r="HQ57" i="26"/>
  <c r="CI126" i="26" s="1"/>
  <c r="HP57" i="26"/>
  <c r="CH126" i="26" s="1"/>
  <c r="BM41" i="26"/>
  <c r="AA110" i="26" s="1"/>
  <c r="BL41" i="26"/>
  <c r="Z110" i="26" s="1"/>
  <c r="DH58" i="26"/>
  <c r="DI58" i="26"/>
  <c r="CS52" i="26"/>
  <c r="CR52" i="26"/>
  <c r="BM60" i="26"/>
  <c r="AA129" i="26" s="1"/>
  <c r="BL60" i="26"/>
  <c r="Z129" i="26" s="1"/>
  <c r="AV80" i="26"/>
  <c r="DF118" i="26" s="1"/>
  <c r="AW80" i="26"/>
  <c r="CC92" i="26"/>
  <c r="CB92" i="26"/>
  <c r="CB47" i="26"/>
  <c r="CC47" i="26"/>
  <c r="AG116" i="26" s="1"/>
  <c r="DI42" i="26"/>
  <c r="DH42" i="26"/>
  <c r="BL72" i="26"/>
  <c r="BM72" i="26"/>
  <c r="CC89" i="26"/>
  <c r="CB89" i="26"/>
  <c r="AW86" i="26"/>
  <c r="AV86" i="26"/>
  <c r="DF124" i="26" s="1"/>
  <c r="CC51" i="26"/>
  <c r="AG120" i="26" s="1"/>
  <c r="CB51" i="26"/>
  <c r="AF120" i="26" s="1"/>
  <c r="DY62" i="26"/>
  <c r="DX62" i="26"/>
  <c r="CB70" i="26"/>
  <c r="CC70" i="26"/>
  <c r="FT40" i="26"/>
  <c r="BP109" i="26" s="1"/>
  <c r="FU40" i="26"/>
  <c r="BQ109" i="26" s="1"/>
  <c r="BM59" i="26"/>
  <c r="AA128" i="26" s="1"/>
  <c r="BL59" i="26"/>
  <c r="Z128" i="26" s="1"/>
  <c r="CB45" i="26"/>
  <c r="CC45" i="26"/>
  <c r="AG114" i="26" s="1"/>
  <c r="AV81" i="26"/>
  <c r="DF119" i="26" s="1"/>
  <c r="AW81" i="26"/>
  <c r="DI47" i="26"/>
  <c r="DH47" i="26"/>
  <c r="GZ48" i="26"/>
  <c r="CB117" i="26" s="1"/>
  <c r="HA48" i="26"/>
  <c r="CC117" i="26" s="1"/>
  <c r="AW61" i="26"/>
  <c r="U130" i="26" s="1"/>
  <c r="AV61" i="26"/>
  <c r="T130" i="26" s="1"/>
  <c r="BL73" i="26"/>
  <c r="DL111" i="26" s="1"/>
  <c r="BM73" i="26"/>
  <c r="CB81" i="26"/>
  <c r="DR119" i="26" s="1"/>
  <c r="CC81" i="26"/>
  <c r="CB86" i="26"/>
  <c r="DR124" i="26" s="1"/>
  <c r="CC86" i="26"/>
  <c r="HP49" i="26"/>
  <c r="CH118" i="26" s="1"/>
  <c r="HQ49" i="26"/>
  <c r="CI118" i="26" s="1"/>
  <c r="CC56" i="26"/>
  <c r="AG125" i="26" s="1"/>
  <c r="CB56" i="26"/>
  <c r="GK37" i="26"/>
  <c r="BW106" i="26" s="1"/>
  <c r="GJ37" i="26"/>
  <c r="BV106" i="26" s="1"/>
  <c r="GK43" i="26"/>
  <c r="BW112" i="26" s="1"/>
  <c r="GJ43" i="26"/>
  <c r="BV112" i="26" s="1"/>
  <c r="BM75" i="26"/>
  <c r="BL75" i="26"/>
  <c r="DL113" i="26" s="1"/>
  <c r="EO38" i="26"/>
  <c r="EN38" i="26"/>
  <c r="EN48" i="26"/>
  <c r="EO48" i="26"/>
  <c r="CS51" i="26"/>
  <c r="CR51" i="26"/>
  <c r="BL58" i="26"/>
  <c r="Z127" i="26" s="1"/>
  <c r="BM58" i="26"/>
  <c r="AA127" i="26" s="1"/>
  <c r="AW47" i="26"/>
  <c r="U116" i="26" s="1"/>
  <c r="AV47" i="26"/>
  <c r="T116" i="26" s="1"/>
  <c r="GZ45" i="26"/>
  <c r="CB114" i="26" s="1"/>
  <c r="HA45" i="26"/>
  <c r="CC114" i="26" s="1"/>
  <c r="AW50" i="26"/>
  <c r="U119" i="26" s="1"/>
  <c r="AV50" i="26"/>
  <c r="T119" i="26" s="1"/>
  <c r="CR47" i="26"/>
  <c r="CS47" i="26"/>
  <c r="BM37" i="26"/>
  <c r="AA106" i="26" s="1"/>
  <c r="BL37" i="26"/>
  <c r="BL55" i="26"/>
  <c r="Z124" i="26" s="1"/>
  <c r="BM55" i="26"/>
  <c r="AA124" i="26" s="1"/>
  <c r="DY39" i="26"/>
  <c r="DX39" i="26"/>
  <c r="AW58" i="26"/>
  <c r="U127" i="26" s="1"/>
  <c r="AV58" i="26"/>
  <c r="T127" i="26" s="1"/>
  <c r="CB73" i="26"/>
  <c r="DR111" i="26" s="1"/>
  <c r="CC73" i="26"/>
  <c r="AV77" i="26"/>
  <c r="DF115" i="26" s="1"/>
  <c r="AW77" i="26"/>
  <c r="AV73" i="26"/>
  <c r="DF111" i="26" s="1"/>
  <c r="AW73" i="26"/>
  <c r="GZ59" i="26"/>
  <c r="CB128" i="26" s="1"/>
  <c r="HA59" i="26"/>
  <c r="CC128" i="26" s="1"/>
  <c r="HA41" i="26"/>
  <c r="CC110" i="26" s="1"/>
  <c r="GZ41" i="26"/>
  <c r="CB110" i="26" s="1"/>
  <c r="BM77" i="26"/>
  <c r="BL77" i="26"/>
  <c r="DL115" i="26" s="1"/>
  <c r="EN43" i="26"/>
  <c r="EO43" i="26"/>
  <c r="EN39" i="26"/>
  <c r="EO39" i="26"/>
  <c r="FT47" i="26"/>
  <c r="BP116" i="26" s="1"/>
  <c r="FU47" i="26"/>
  <c r="BQ116" i="26" s="1"/>
  <c r="HP45" i="26"/>
  <c r="CH114" i="26" s="1"/>
  <c r="HQ45" i="26"/>
  <c r="CI114" i="26" s="1"/>
  <c r="HQ37" i="26"/>
  <c r="CI106" i="26" s="1"/>
  <c r="HP37" i="26"/>
  <c r="CH106" i="26" s="1"/>
  <c r="DX48" i="26"/>
  <c r="DY48" i="26"/>
  <c r="AW56" i="26"/>
  <c r="U125" i="26" s="1"/>
  <c r="AV56" i="26"/>
  <c r="T125" i="26" s="1"/>
  <c r="HA49" i="26"/>
  <c r="CC118" i="26" s="1"/>
  <c r="GZ49" i="26"/>
  <c r="CB118" i="26" s="1"/>
  <c r="DX52" i="26"/>
  <c r="DY52" i="26"/>
  <c r="AW42" i="26"/>
  <c r="U111" i="26" s="1"/>
  <c r="AV42" i="26"/>
  <c r="T111" i="26" s="1"/>
  <c r="CR54" i="26"/>
  <c r="CS54" i="26"/>
  <c r="FT58" i="26"/>
  <c r="BP127" i="26" s="1"/>
  <c r="FU58" i="26"/>
  <c r="BQ127" i="26" s="1"/>
  <c r="HQ52" i="26"/>
  <c r="CI121" i="26" s="1"/>
  <c r="HP52" i="26"/>
  <c r="CH121" i="26" s="1"/>
  <c r="BM61" i="26"/>
  <c r="AA130" i="26" s="1"/>
  <c r="BL61" i="26"/>
  <c r="Z130" i="26" s="1"/>
  <c r="AV68" i="26"/>
  <c r="AW68" i="26"/>
  <c r="DI59" i="26"/>
  <c r="DH59" i="26"/>
  <c r="HA42" i="26"/>
  <c r="CC111" i="26" s="1"/>
  <c r="GZ42" i="26"/>
  <c r="CB111" i="26" s="1"/>
  <c r="AV51" i="26"/>
  <c r="T120" i="26" s="1"/>
  <c r="AW51" i="26"/>
  <c r="U120" i="26" s="1"/>
  <c r="AW44" i="26"/>
  <c r="U113" i="26" s="1"/>
  <c r="AV44" i="26"/>
  <c r="BM80" i="26"/>
  <c r="BL80" i="26"/>
  <c r="FU60" i="26"/>
  <c r="BQ129" i="26" s="1"/>
  <c r="FT60" i="26"/>
  <c r="BP129" i="26" s="1"/>
  <c r="CB42" i="26"/>
  <c r="CC42" i="26"/>
  <c r="AG111" i="26" s="1"/>
  <c r="DY46" i="26"/>
  <c r="DX46" i="26"/>
  <c r="EO61" i="26"/>
  <c r="EN61" i="26"/>
  <c r="CS49" i="26"/>
  <c r="CR49" i="26"/>
  <c r="FU45" i="26"/>
  <c r="BQ114" i="26" s="1"/>
  <c r="FT45" i="26"/>
  <c r="BP114" i="26" s="1"/>
  <c r="BL62" i="26"/>
  <c r="Z131" i="26" s="1"/>
  <c r="BM62" i="26"/>
  <c r="AA131" i="26" s="1"/>
  <c r="DI50" i="26"/>
  <c r="DH50" i="26"/>
  <c r="HA44" i="26"/>
  <c r="CC113" i="26" s="1"/>
  <c r="GZ44" i="26"/>
  <c r="CB113" i="26" s="1"/>
  <c r="DY49" i="26"/>
  <c r="DX49" i="26"/>
  <c r="EO62" i="26"/>
  <c r="EN62" i="26"/>
  <c r="CB58" i="26"/>
  <c r="AF127" i="26" s="1"/>
  <c r="CC58" i="26"/>
  <c r="AG127" i="26" s="1"/>
  <c r="GJ59" i="26"/>
  <c r="BV128" i="26" s="1"/>
  <c r="GK59" i="26"/>
  <c r="BW128" i="26" s="1"/>
  <c r="AV46" i="26"/>
  <c r="AW46" i="26"/>
  <c r="U115" i="26" s="1"/>
  <c r="CB93" i="26"/>
  <c r="DR131" i="26" s="1"/>
  <c r="CC93" i="26"/>
  <c r="AW55" i="26"/>
  <c r="U124" i="26" s="1"/>
  <c r="AV55" i="26"/>
  <c r="T124" i="26" s="1"/>
  <c r="CC91" i="26"/>
  <c r="CB91" i="26"/>
  <c r="DR129" i="26" s="1"/>
  <c r="HQ54" i="26"/>
  <c r="CI123" i="26" s="1"/>
  <c r="HP54" i="26"/>
  <c r="CH123" i="26" s="1"/>
  <c r="HA50" i="26"/>
  <c r="CC119" i="26" s="1"/>
  <c r="GZ50" i="26"/>
  <c r="CB119" i="26" s="1"/>
  <c r="GK42" i="26"/>
  <c r="BW111" i="26" s="1"/>
  <c r="GJ42" i="26"/>
  <c r="BV111" i="26" s="1"/>
  <c r="AW89" i="26"/>
  <c r="AV89" i="26"/>
  <c r="DF127" i="26" s="1"/>
  <c r="GZ60" i="26"/>
  <c r="CB129" i="26" s="1"/>
  <c r="HA60" i="26"/>
  <c r="CC129" i="26" s="1"/>
  <c r="DH52" i="26"/>
  <c r="DI52" i="26"/>
  <c r="DX54" i="26"/>
  <c r="DY54" i="26"/>
  <c r="AV82" i="26"/>
  <c r="DF120" i="26" s="1"/>
  <c r="AW82" i="26"/>
  <c r="GK38" i="26"/>
  <c r="BW107" i="26" s="1"/>
  <c r="GJ38" i="26"/>
  <c r="BV107" i="26" s="1"/>
  <c r="CB61" i="26"/>
  <c r="CC61" i="26"/>
  <c r="AG130" i="26" s="1"/>
  <c r="DX60" i="26"/>
  <c r="DY60" i="26"/>
  <c r="GK56" i="26"/>
  <c r="BW125" i="26" s="1"/>
  <c r="GJ56" i="26"/>
  <c r="BV125" i="26" s="1"/>
  <c r="AW69" i="26"/>
  <c r="AV69" i="26"/>
  <c r="AW75" i="26"/>
  <c r="AV75" i="26"/>
  <c r="DF113" i="26" s="1"/>
  <c r="DX56" i="26"/>
  <c r="DY56" i="26"/>
  <c r="BL39" i="26"/>
  <c r="BM39" i="26"/>
  <c r="AA108" i="26" s="1"/>
  <c r="BL46" i="26"/>
  <c r="Z115" i="26" s="1"/>
  <c r="BM46" i="26"/>
  <c r="AA115" i="26" s="1"/>
  <c r="CC52" i="26"/>
  <c r="AG121" i="26" s="1"/>
  <c r="CB52" i="26"/>
  <c r="AV79" i="26"/>
  <c r="DF117" i="26" s="1"/>
  <c r="AW79" i="26"/>
  <c r="BL74" i="26"/>
  <c r="BM74" i="26"/>
  <c r="FU61" i="26"/>
  <c r="BQ130" i="26" s="1"/>
  <c r="FT61" i="26"/>
  <c r="BP130" i="26" s="1"/>
  <c r="CC62" i="26"/>
  <c r="AG131" i="26" s="1"/>
  <c r="CB62" i="26"/>
  <c r="CR41" i="26"/>
  <c r="CS41" i="26"/>
  <c r="HQ40" i="26"/>
  <c r="CI109" i="26" s="1"/>
  <c r="HP40" i="26"/>
  <c r="CH109" i="26" s="1"/>
  <c r="CC57" i="26"/>
  <c r="AG126" i="26" s="1"/>
  <c r="CB57" i="26"/>
  <c r="AF126" i="26" s="1"/>
  <c r="AV92" i="26"/>
  <c r="DF130" i="26" s="1"/>
  <c r="AW92" i="26"/>
  <c r="HA55" i="26"/>
  <c r="CC124" i="26" s="1"/>
  <c r="GZ55" i="26"/>
  <c r="CB124" i="26" s="1"/>
  <c r="CR50" i="26"/>
  <c r="CS50" i="26"/>
  <c r="HP51" i="26"/>
  <c r="CH120" i="26" s="1"/>
  <c r="HQ51" i="26"/>
  <c r="CI120" i="26" s="1"/>
  <c r="CB44" i="26"/>
  <c r="AF113" i="26" s="1"/>
  <c r="CC44" i="26"/>
  <c r="AG113" i="26" s="1"/>
  <c r="HP61" i="26"/>
  <c r="CH130" i="26" s="1"/>
  <c r="HQ61" i="26"/>
  <c r="CI130" i="26" s="1"/>
  <c r="AW48" i="26"/>
  <c r="U117" i="26" s="1"/>
  <c r="AV48" i="26"/>
  <c r="CC72" i="26"/>
  <c r="CB72" i="26"/>
  <c r="CR48" i="26"/>
  <c r="CS48" i="26"/>
  <c r="FU62" i="26"/>
  <c r="BQ131" i="26" s="1"/>
  <c r="FT62" i="26"/>
  <c r="BP131" i="26" s="1"/>
  <c r="AW87" i="26"/>
  <c r="AV87" i="26"/>
  <c r="DF125" i="26" s="1"/>
  <c r="GZ54" i="26"/>
  <c r="CB123" i="26" s="1"/>
  <c r="HA54" i="26"/>
  <c r="CC123" i="26" s="1"/>
  <c r="DX43" i="26"/>
  <c r="DY43" i="26"/>
  <c r="BL87" i="26"/>
  <c r="DL125" i="26" s="1"/>
  <c r="BM87" i="26"/>
  <c r="CB88" i="26"/>
  <c r="DR126" i="26" s="1"/>
  <c r="CC88" i="26"/>
  <c r="CS39" i="26"/>
  <c r="CR39" i="26"/>
  <c r="AW74" i="26"/>
  <c r="AV74" i="26"/>
  <c r="CC68" i="26"/>
  <c r="CB68" i="26"/>
  <c r="BL49" i="26"/>
  <c r="Z118" i="26" s="1"/>
  <c r="BM49" i="26"/>
  <c r="AA118" i="26" s="1"/>
  <c r="CB48" i="26"/>
  <c r="AF117" i="26" s="1"/>
  <c r="CC48" i="26"/>
  <c r="AG117" i="26" s="1"/>
  <c r="DY57" i="26"/>
  <c r="DX57" i="26"/>
  <c r="GK54" i="26"/>
  <c r="BW123" i="26" s="1"/>
  <c r="GJ54" i="26"/>
  <c r="BV123" i="26" s="1"/>
  <c r="CB54" i="26"/>
  <c r="AF123" i="26" s="1"/>
  <c r="CC54" i="26"/>
  <c r="AG123" i="26" s="1"/>
  <c r="HA37" i="26"/>
  <c r="CC106" i="26" s="1"/>
  <c r="GZ37" i="26"/>
  <c r="CB106" i="26" s="1"/>
  <c r="GJ49" i="26"/>
  <c r="BV118" i="26" s="1"/>
  <c r="GK49" i="26"/>
  <c r="BW118" i="26" s="1"/>
  <c r="CS37" i="26"/>
  <c r="CR37" i="26"/>
  <c r="HP39" i="26"/>
  <c r="CH108" i="26" s="1"/>
  <c r="HQ39" i="26"/>
  <c r="CI108" i="26" s="1"/>
  <c r="FU38" i="26"/>
  <c r="BQ107" i="26" s="1"/>
  <c r="FT38" i="26"/>
  <c r="GK53" i="26"/>
  <c r="BW122" i="26" s="1"/>
  <c r="GJ53" i="26"/>
  <c r="BV122" i="26" s="1"/>
  <c r="CS58" i="26"/>
  <c r="CR58" i="26"/>
  <c r="DX58" i="26"/>
  <c r="DY58" i="26"/>
  <c r="EO51" i="26"/>
  <c r="EN51" i="26"/>
  <c r="HA57" i="26"/>
  <c r="CC126" i="26" s="1"/>
  <c r="GZ57" i="26"/>
  <c r="CB126" i="26" s="1"/>
  <c r="BL43" i="26"/>
  <c r="BM43" i="26"/>
  <c r="AA112" i="26" s="1"/>
  <c r="CB39" i="26"/>
  <c r="AF108" i="26" s="1"/>
  <c r="CC39" i="26"/>
  <c r="AG108" i="26" s="1"/>
  <c r="GZ39" i="26"/>
  <c r="CB108" i="26" s="1"/>
  <c r="HA39" i="26"/>
  <c r="CC108" i="26" s="1"/>
  <c r="BL70" i="26"/>
  <c r="BM70" i="26"/>
  <c r="CC84" i="26"/>
  <c r="CB84" i="26"/>
  <c r="DR122" i="26" s="1"/>
  <c r="FU46" i="26"/>
  <c r="BQ115" i="26" s="1"/>
  <c r="FT46" i="26"/>
  <c r="BP115" i="26" s="1"/>
  <c r="HP55" i="26"/>
  <c r="CH124" i="26" s="1"/>
  <c r="HQ55" i="26"/>
  <c r="CI124" i="26" s="1"/>
  <c r="FU41" i="26"/>
  <c r="BQ110" i="26" s="1"/>
  <c r="FT41" i="26"/>
  <c r="BP110" i="26" s="1"/>
  <c r="BM50" i="26"/>
  <c r="AA119" i="26" s="1"/>
  <c r="BL50" i="26"/>
  <c r="Z119" i="26" s="1"/>
  <c r="CB55" i="26"/>
  <c r="AF124" i="26" s="1"/>
  <c r="CC55" i="26"/>
  <c r="AG124" i="26" s="1"/>
  <c r="GZ56" i="26"/>
  <c r="CB125" i="26" s="1"/>
  <c r="HA56" i="26"/>
  <c r="CC125" i="26" s="1"/>
  <c r="FU49" i="26"/>
  <c r="BQ118" i="26" s="1"/>
  <c r="FT49" i="26"/>
  <c r="BP118" i="26" s="1"/>
  <c r="DY55" i="26"/>
  <c r="DX55" i="26"/>
  <c r="BM93" i="26"/>
  <c r="BL93" i="26"/>
  <c r="DL131" i="26" s="1"/>
  <c r="BM52" i="26"/>
  <c r="AA121" i="26" s="1"/>
  <c r="BL52" i="26"/>
  <c r="Z121" i="26" s="1"/>
  <c r="DI46" i="26"/>
  <c r="DH46" i="26"/>
  <c r="AW90" i="26"/>
  <c r="AV90" i="26"/>
  <c r="EN52" i="26"/>
  <c r="EO52" i="26"/>
  <c r="CC38" i="26"/>
  <c r="AG107" i="26" s="1"/>
  <c r="CB38" i="26"/>
  <c r="AF107" i="26" s="1"/>
  <c r="DI40" i="26"/>
  <c r="DH40" i="26"/>
  <c r="HA52" i="26"/>
  <c r="CC121" i="26" s="1"/>
  <c r="GZ52" i="26"/>
  <c r="CB121" i="26" s="1"/>
  <c r="DX42" i="26"/>
  <c r="DY42" i="26"/>
  <c r="CR38" i="26"/>
  <c r="CS38" i="26"/>
  <c r="HQ50" i="26"/>
  <c r="CI119" i="26" s="1"/>
  <c r="HP50" i="26"/>
  <c r="CH119" i="26" s="1"/>
  <c r="BL78" i="26"/>
  <c r="DL116" i="26" s="1"/>
  <c r="BM78" i="26"/>
  <c r="DH48" i="26"/>
  <c r="DI48" i="26"/>
  <c r="AW60" i="26"/>
  <c r="U129" i="26" s="1"/>
  <c r="AV60" i="26"/>
  <c r="T129" i="26" s="1"/>
  <c r="HP46" i="26"/>
  <c r="CH115" i="26" s="1"/>
  <c r="HQ46" i="26"/>
  <c r="CI115" i="26" s="1"/>
  <c r="DI38" i="26"/>
  <c r="DH38" i="26"/>
  <c r="DX37" i="26"/>
  <c r="DY37" i="26"/>
  <c r="BM68" i="26"/>
  <c r="BL68" i="26"/>
  <c r="EO44" i="26"/>
  <c r="EN44" i="26"/>
  <c r="CC90" i="26"/>
  <c r="CB90" i="26"/>
  <c r="DR128" i="26" s="1"/>
  <c r="FT53" i="26"/>
  <c r="BP122" i="26" s="1"/>
  <c r="FU53" i="26"/>
  <c r="BQ122" i="26" s="1"/>
  <c r="DI51" i="26"/>
  <c r="DH51" i="26"/>
  <c r="GZ38" i="26"/>
  <c r="HA38" i="26"/>
  <c r="CC107" i="26" s="1"/>
  <c r="AW57" i="26"/>
  <c r="U126" i="26" s="1"/>
  <c r="AV57" i="26"/>
  <c r="T126" i="26" s="1"/>
  <c r="CS59" i="26"/>
  <c r="CR59" i="26"/>
  <c r="CS43" i="26"/>
  <c r="CR43" i="26"/>
  <c r="HQ43" i="26"/>
  <c r="CI112" i="26" s="1"/>
  <c r="HP43" i="26"/>
  <c r="CH112" i="26" s="1"/>
  <c r="CC50" i="26"/>
  <c r="AG119" i="26" s="1"/>
  <c r="CB50" i="26"/>
  <c r="DH61" i="26"/>
  <c r="DI61" i="26"/>
  <c r="GK41" i="26"/>
  <c r="BW110" i="26" s="1"/>
  <c r="GJ41" i="26"/>
  <c r="BV110" i="26" s="1"/>
  <c r="AV43" i="26"/>
  <c r="AW43" i="26"/>
  <c r="U112" i="26" s="1"/>
  <c r="EO46" i="26"/>
  <c r="EN46" i="26"/>
  <c r="CC77" i="26"/>
  <c r="CB77" i="26"/>
  <c r="DR115" i="26" s="1"/>
  <c r="FU57" i="26"/>
  <c r="BQ126" i="26" s="1"/>
  <c r="FT57" i="26"/>
  <c r="BP126" i="26" s="1"/>
  <c r="HA43" i="26"/>
  <c r="CC112" i="26" s="1"/>
  <c r="GZ43" i="26"/>
  <c r="CB112" i="26" s="1"/>
  <c r="DX40" i="26"/>
  <c r="DY40" i="26"/>
  <c r="CC79" i="26"/>
  <c r="CB79" i="26"/>
  <c r="BL53" i="26"/>
  <c r="Z122" i="26" s="1"/>
  <c r="BM53" i="26"/>
  <c r="AA122" i="26" s="1"/>
  <c r="GZ47" i="26"/>
  <c r="CB116" i="26" s="1"/>
  <c r="HA47" i="26"/>
  <c r="CC116" i="26" s="1"/>
  <c r="GK40" i="26"/>
  <c r="BW109" i="26" s="1"/>
  <c r="GJ40" i="26"/>
  <c r="BV109" i="26" s="1"/>
  <c r="AW45" i="26"/>
  <c r="U114" i="26" s="1"/>
  <c r="AV45" i="26"/>
  <c r="T114" i="26" s="1"/>
  <c r="EN57" i="26"/>
  <c r="EO57" i="26"/>
  <c r="EN58" i="26"/>
  <c r="EO58" i="26"/>
  <c r="CC78" i="26"/>
  <c r="CB78" i="26"/>
  <c r="DR116" i="26" s="1"/>
  <c r="FT39" i="26"/>
  <c r="BP108" i="26" s="1"/>
  <c r="FU39" i="26"/>
  <c r="BQ108" i="26" s="1"/>
  <c r="HQ53" i="26"/>
  <c r="CI122" i="26" s="1"/>
  <c r="HP53" i="26"/>
  <c r="CH122" i="26" s="1"/>
  <c r="BL51" i="26"/>
  <c r="Z120" i="26" s="1"/>
  <c r="BM51" i="26"/>
  <c r="AA120" i="26" s="1"/>
  <c r="CB37" i="26"/>
  <c r="CC37" i="26"/>
  <c r="AG106" i="26" s="1"/>
  <c r="AV59" i="26"/>
  <c r="T128" i="26" s="1"/>
  <c r="AW59" i="26"/>
  <c r="U128" i="26" s="1"/>
  <c r="AW39" i="26"/>
  <c r="U108" i="26" s="1"/>
  <c r="AV39" i="26"/>
  <c r="EO59" i="26"/>
  <c r="EN59" i="26"/>
  <c r="CC80" i="26"/>
  <c r="CB80" i="26"/>
  <c r="DR118" i="26" s="1"/>
  <c r="FT55" i="26"/>
  <c r="BP124" i="26" s="1"/>
  <c r="FU55" i="26"/>
  <c r="BQ124" i="26" s="1"/>
  <c r="FT51" i="26"/>
  <c r="BP120" i="26" s="1"/>
  <c r="FU51" i="26"/>
  <c r="BQ120" i="26" s="1"/>
  <c r="BL57" i="26"/>
  <c r="Z126" i="26" s="1"/>
  <c r="BM57" i="26"/>
  <c r="AA126" i="26" s="1"/>
  <c r="CC53" i="26"/>
  <c r="AG122" i="26" s="1"/>
  <c r="CB53" i="26"/>
  <c r="AF122" i="26" s="1"/>
  <c r="GZ53" i="26"/>
  <c r="CB122" i="26" s="1"/>
  <c r="HA53" i="26"/>
  <c r="CC122" i="26" s="1"/>
  <c r="DX50" i="26"/>
  <c r="DY50" i="26"/>
  <c r="AW40" i="26"/>
  <c r="U109" i="26" s="1"/>
  <c r="AV40" i="26"/>
  <c r="T109" i="26" s="1"/>
  <c r="EN37" i="26"/>
  <c r="EO37" i="26"/>
  <c r="FU42" i="26"/>
  <c r="BQ111" i="26" s="1"/>
  <c r="FT42" i="26"/>
  <c r="BP111" i="26" s="1"/>
  <c r="CC85" i="26"/>
  <c r="CB85" i="26"/>
  <c r="AW76" i="26"/>
  <c r="AV76" i="26"/>
  <c r="DH57" i="26"/>
  <c r="DI57" i="26"/>
  <c r="BL76" i="26"/>
  <c r="BM76" i="26"/>
  <c r="CC83" i="26"/>
  <c r="CB83" i="26"/>
  <c r="DR121" i="26" s="1"/>
  <c r="AV88" i="26"/>
  <c r="DF126" i="26" s="1"/>
  <c r="AW88" i="26"/>
  <c r="HA46" i="26"/>
  <c r="CC115" i="26" s="1"/>
  <c r="GZ46" i="26"/>
  <c r="CB115" i="26" s="1"/>
  <c r="CB41" i="26"/>
  <c r="AF110" i="26" s="1"/>
  <c r="CC41" i="26"/>
  <c r="AG110" i="26" s="1"/>
  <c r="HQ38" i="26"/>
  <c r="CI107" i="26" s="1"/>
  <c r="HP38" i="26"/>
  <c r="CH107" i="26" s="1"/>
  <c r="FU44" i="26"/>
  <c r="BQ113" i="26" s="1"/>
  <c r="FT44" i="26"/>
  <c r="BP113" i="26" s="1"/>
  <c r="CB60" i="26"/>
  <c r="CC60" i="26"/>
  <c r="AG129" i="26" s="1"/>
  <c r="EO45" i="26"/>
  <c r="EN45" i="26"/>
  <c r="CS53" i="26"/>
  <c r="CR53" i="26"/>
  <c r="AW53" i="26"/>
  <c r="U122" i="26" s="1"/>
  <c r="AV53" i="26"/>
  <c r="T122" i="26" s="1"/>
  <c r="GK52" i="26"/>
  <c r="BW121" i="26" s="1"/>
  <c r="GJ52" i="26"/>
  <c r="BV121" i="26" s="1"/>
  <c r="BM88" i="26"/>
  <c r="BL88" i="26"/>
  <c r="DL126" i="26" s="1"/>
  <c r="BL44" i="26"/>
  <c r="Z113" i="26" s="1"/>
  <c r="BM44" i="26"/>
  <c r="AA113" i="26" s="1"/>
  <c r="DH45" i="26"/>
  <c r="DI45" i="26"/>
  <c r="EO41" i="26"/>
  <c r="EN41" i="26"/>
  <c r="CB40" i="26"/>
  <c r="CC40" i="26"/>
  <c r="AG109" i="26" s="1"/>
  <c r="FT43" i="26"/>
  <c r="BP112" i="26" s="1"/>
  <c r="FU43" i="26"/>
  <c r="BQ112" i="26" s="1"/>
  <c r="DH37" i="26"/>
  <c r="DI37" i="26"/>
  <c r="GK61" i="26"/>
  <c r="BW130" i="26" s="1"/>
  <c r="GJ61" i="26"/>
  <c r="BV130" i="26" s="1"/>
  <c r="HP60" i="26"/>
  <c r="CH129" i="26" s="1"/>
  <c r="HQ60" i="26"/>
  <c r="CI129" i="26" s="1"/>
  <c r="BM54" i="26"/>
  <c r="AA123" i="26" s="1"/>
  <c r="BL54" i="26"/>
  <c r="Z123" i="26" s="1"/>
  <c r="DY51" i="26"/>
  <c r="DX51" i="26"/>
  <c r="EO42" i="26"/>
  <c r="EN42" i="26"/>
  <c r="CS40" i="26"/>
  <c r="CR40" i="26"/>
  <c r="AV85" i="26"/>
  <c r="DF123" i="26" s="1"/>
  <c r="AW85" i="26"/>
  <c r="DH41" i="26"/>
  <c r="DI41" i="26"/>
  <c r="GK46" i="26"/>
  <c r="BW115" i="26" s="1"/>
  <c r="GJ46" i="26"/>
  <c r="BV115" i="26" s="1"/>
  <c r="EN55" i="26"/>
  <c r="EO55" i="26"/>
  <c r="BL89" i="26"/>
  <c r="DL127" i="26" s="1"/>
  <c r="BM89" i="26"/>
  <c r="BM82" i="26"/>
  <c r="BL82" i="26"/>
  <c r="DL120" i="26" s="1"/>
  <c r="CS61" i="26"/>
  <c r="CR61" i="26"/>
  <c r="HQ42" i="26"/>
  <c r="CI111" i="26" s="1"/>
  <c r="HP42" i="26"/>
  <c r="CH111" i="26" s="1"/>
  <c r="GJ44" i="26"/>
  <c r="BV113" i="26" s="1"/>
  <c r="GK44" i="26"/>
  <c r="BW113" i="26" s="1"/>
  <c r="CC76" i="26"/>
  <c r="CB76" i="26"/>
  <c r="AW54" i="26"/>
  <c r="U123" i="26" s="1"/>
  <c r="AV54" i="26"/>
  <c r="T123" i="26" s="1"/>
  <c r="EN54" i="26"/>
  <c r="EO54" i="26"/>
  <c r="CR62" i="26"/>
  <c r="CS62" i="26"/>
  <c r="DI62" i="26"/>
  <c r="DH62" i="26"/>
  <c r="DF62" i="26" s="1"/>
  <c r="GJ45" i="26"/>
  <c r="BV114" i="26" s="1"/>
  <c r="GK45" i="26"/>
  <c r="BW114" i="26" s="1"/>
  <c r="DY41" i="26"/>
  <c r="DX41" i="26"/>
  <c r="HP41" i="26"/>
  <c r="CH110" i="26" s="1"/>
  <c r="HQ41" i="26"/>
  <c r="CI110" i="26" s="1"/>
  <c r="HQ44" i="26"/>
  <c r="CI113" i="26" s="1"/>
  <c r="HP44" i="26"/>
  <c r="CH113" i="26" s="1"/>
  <c r="CB43" i="26"/>
  <c r="AF112" i="26" s="1"/>
  <c r="CC43" i="26"/>
  <c r="AG112" i="26" s="1"/>
  <c r="GJ48" i="26"/>
  <c r="BV117" i="26" s="1"/>
  <c r="GK48" i="26"/>
  <c r="BW117" i="26" s="1"/>
  <c r="GJ39" i="26"/>
  <c r="BV108" i="26" s="1"/>
  <c r="GK39" i="26"/>
  <c r="BW108" i="26" s="1"/>
  <c r="AW38" i="26"/>
  <c r="U107" i="26" s="1"/>
  <c r="AV38" i="26"/>
  <c r="CB75" i="26"/>
  <c r="DR113" i="26" s="1"/>
  <c r="CC75" i="26"/>
  <c r="CS56" i="26"/>
  <c r="CR56" i="26"/>
  <c r="CC59" i="26"/>
  <c r="AG128" i="26" s="1"/>
  <c r="CB59" i="26"/>
  <c r="AF128" i="26" s="1"/>
  <c r="EN47" i="26"/>
  <c r="EO47" i="26"/>
  <c r="CC71" i="26"/>
  <c r="CB71" i="26"/>
  <c r="DR109" i="26" s="1"/>
  <c r="BM48" i="26"/>
  <c r="AA117" i="26" s="1"/>
  <c r="BL48" i="26"/>
  <c r="Z117" i="26" s="1"/>
  <c r="GK60" i="26"/>
  <c r="BW129" i="26" s="1"/>
  <c r="GJ60" i="26"/>
  <c r="BV129" i="26" s="1"/>
  <c r="BL81" i="26"/>
  <c r="DL119" i="26" s="1"/>
  <c r="BM81" i="26"/>
  <c r="BM40" i="26"/>
  <c r="AA109" i="26" s="1"/>
  <c r="BL40" i="26"/>
  <c r="AW70" i="26"/>
  <c r="AV70" i="26"/>
  <c r="DY53" i="26"/>
  <c r="DX53" i="26"/>
  <c r="AV62" i="26"/>
  <c r="T131" i="26" s="1"/>
  <c r="AW62" i="26"/>
  <c r="U131" i="26" s="1"/>
  <c r="BM69" i="26"/>
  <c r="BL69" i="26"/>
  <c r="DL107" i="26" s="1"/>
  <c r="CR60" i="26"/>
  <c r="CS60" i="26"/>
  <c r="FU56" i="26"/>
  <c r="BQ125" i="26" s="1"/>
  <c r="FT56" i="26"/>
  <c r="BP125" i="26" s="1"/>
  <c r="HP62" i="26"/>
  <c r="CH131" i="26" s="1"/>
  <c r="HQ62" i="26"/>
  <c r="CI131" i="26" s="1"/>
  <c r="BM45" i="26"/>
  <c r="AA114" i="26" s="1"/>
  <c r="BL45" i="26"/>
  <c r="BM38" i="26"/>
  <c r="AA107" i="26" s="1"/>
  <c r="BL38" i="26"/>
  <c r="Z107" i="26" s="1"/>
  <c r="GK51" i="26"/>
  <c r="BW120" i="26" s="1"/>
  <c r="GJ51" i="26"/>
  <c r="BV120" i="26" s="1"/>
  <c r="DI43" i="26"/>
  <c r="DH43" i="26"/>
  <c r="BL83" i="26"/>
  <c r="DL121" i="26" s="1"/>
  <c r="BM83" i="26"/>
  <c r="BM86" i="26"/>
  <c r="BL86" i="26"/>
  <c r="DL124" i="26" s="1"/>
  <c r="DX47" i="26"/>
  <c r="DY47" i="26"/>
  <c r="CB87" i="26"/>
  <c r="DR125" i="26" s="1"/>
  <c r="CC87" i="26"/>
  <c r="AW84" i="26"/>
  <c r="AV84" i="26"/>
  <c r="DF122" i="26" s="1"/>
  <c r="DH60" i="26"/>
  <c r="DI60" i="26"/>
  <c r="DX61" i="26"/>
  <c r="DY61" i="26"/>
  <c r="BM79" i="26"/>
  <c r="BL79" i="26"/>
  <c r="DL117" i="26" s="1"/>
  <c r="HP48" i="26"/>
  <c r="CH117" i="26" s="1"/>
  <c r="HQ48" i="26"/>
  <c r="CI117" i="26" s="1"/>
  <c r="BM42" i="26"/>
  <c r="AA111" i="26" s="1"/>
  <c r="BL42" i="26"/>
  <c r="Z111" i="26" s="1"/>
  <c r="AW93" i="26"/>
  <c r="AV93" i="26"/>
  <c r="DF131" i="26" s="1"/>
  <c r="DH56" i="26"/>
  <c r="DI56" i="26"/>
  <c r="BL84" i="26"/>
  <c r="BM84" i="26"/>
  <c r="CC74" i="26"/>
  <c r="CB74" i="26"/>
  <c r="CR55" i="26"/>
  <c r="CS55" i="26"/>
  <c r="FU37" i="26"/>
  <c r="BQ106" i="26" s="1"/>
  <c r="FT37" i="26"/>
  <c r="BP106" i="26" s="1"/>
  <c r="HQ47" i="26"/>
  <c r="CI116" i="26" s="1"/>
  <c r="HP47" i="26"/>
  <c r="CH116" i="26" s="1"/>
  <c r="DH55" i="26"/>
  <c r="DI55" i="26"/>
  <c r="DY59" i="26"/>
  <c r="DX59" i="26"/>
  <c r="CS46" i="26"/>
  <c r="CR46" i="26"/>
  <c r="DY38" i="26"/>
  <c r="DX38" i="26"/>
  <c r="EO60" i="26"/>
  <c r="EN60" i="26"/>
  <c r="EO49" i="26"/>
  <c r="EN49" i="26"/>
  <c r="CS45" i="26"/>
  <c r="CR45" i="26"/>
  <c r="BM92" i="26"/>
  <c r="BL92" i="26"/>
  <c r="DL130" i="26" s="1"/>
  <c r="AW41" i="26"/>
  <c r="U110" i="26" s="1"/>
  <c r="AV41" i="26"/>
  <c r="CS42" i="26"/>
  <c r="CR42" i="26"/>
  <c r="AV83" i="26"/>
  <c r="DF121" i="26" s="1"/>
  <c r="AW83" i="26"/>
  <c r="DH53" i="26"/>
  <c r="DI53" i="26"/>
  <c r="GZ58" i="26"/>
  <c r="CB127" i="26" s="1"/>
  <c r="HA58" i="26"/>
  <c r="CC127" i="26" s="1"/>
  <c r="GJ47" i="26"/>
  <c r="BV116" i="26" s="1"/>
  <c r="GK47" i="26"/>
  <c r="BW116" i="26" s="1"/>
  <c r="BM85" i="26"/>
  <c r="BL85" i="26"/>
  <c r="DL123" i="26" s="1"/>
  <c r="HQ58" i="26"/>
  <c r="CI127" i="26" s="1"/>
  <c r="HP58" i="26"/>
  <c r="CH127" i="26" s="1"/>
  <c r="HP59" i="26"/>
  <c r="CH128" i="26" s="1"/>
  <c r="HQ59" i="26"/>
  <c r="CI128" i="26" s="1"/>
  <c r="AW71" i="26"/>
  <c r="AV71" i="26"/>
  <c r="DF109" i="26" s="1"/>
  <c r="DH49" i="26"/>
  <c r="DI49" i="26"/>
  <c r="GJ50" i="26"/>
  <c r="BV119" i="26" s="1"/>
  <c r="GK50" i="26"/>
  <c r="BW119" i="26" s="1"/>
  <c r="DY44" i="26"/>
  <c r="DX44" i="26"/>
  <c r="DY45" i="26"/>
  <c r="DX45" i="26"/>
  <c r="AW49" i="26"/>
  <c r="U118" i="26" s="1"/>
  <c r="AV49" i="26"/>
  <c r="BM71" i="26"/>
  <c r="BL71" i="26"/>
  <c r="DL109" i="26" s="1"/>
  <c r="FU54" i="26"/>
  <c r="BQ123" i="26" s="1"/>
  <c r="FT54" i="26"/>
  <c r="BP123" i="26" s="1"/>
  <c r="DI44" i="26"/>
  <c r="DH44" i="26"/>
  <c r="DH39" i="26"/>
  <c r="DI39" i="26"/>
  <c r="AW52" i="26"/>
  <c r="U121" i="26" s="1"/>
  <c r="AV52" i="26"/>
  <c r="T121" i="26" s="1"/>
  <c r="FT52" i="26"/>
  <c r="BP121" i="26" s="1"/>
  <c r="FU52" i="26"/>
  <c r="BQ121" i="26" s="1"/>
  <c r="HA62" i="26"/>
  <c r="CC131" i="26" s="1"/>
  <c r="GZ62" i="26"/>
  <c r="CB131" i="26" s="1"/>
  <c r="EO50" i="26"/>
  <c r="EN50" i="26"/>
  <c r="CB82" i="26"/>
  <c r="CC82" i="26"/>
  <c r="AW72" i="26"/>
  <c r="AV72" i="26"/>
  <c r="HA40" i="26"/>
  <c r="CC109" i="26" s="1"/>
  <c r="GZ40" i="26"/>
  <c r="CB109" i="26" s="1"/>
  <c r="BM90" i="26"/>
  <c r="BL90" i="26"/>
  <c r="DL128" i="26" s="1"/>
  <c r="EO56" i="26"/>
  <c r="EN56" i="26"/>
  <c r="FU50" i="26"/>
  <c r="BQ119" i="26" s="1"/>
  <c r="FT50" i="26"/>
  <c r="BP119" i="26" s="1"/>
  <c r="AV91" i="26"/>
  <c r="DF129" i="26" s="1"/>
  <c r="AW91" i="26"/>
  <c r="DI54" i="26"/>
  <c r="DH54" i="26"/>
  <c r="GK58" i="26"/>
  <c r="BW127" i="26" s="1"/>
  <c r="GJ58" i="26"/>
  <c r="BV127" i="26" s="1"/>
  <c r="CS44" i="26"/>
  <c r="CR44" i="26"/>
  <c r="HQ56" i="26"/>
  <c r="CI125" i="26" s="1"/>
  <c r="HP56" i="26"/>
  <c r="CH125" i="26" s="1"/>
  <c r="BL56" i="26"/>
  <c r="Z125" i="26" s="1"/>
  <c r="BM56" i="26"/>
  <c r="AA125" i="26" s="1"/>
  <c r="HA51" i="26"/>
  <c r="CC120" i="26" s="1"/>
  <c r="GZ51" i="26"/>
  <c r="CB120" i="26" s="1"/>
  <c r="CC46" i="26"/>
  <c r="AG115" i="26" s="1"/>
  <c r="CB46" i="26"/>
  <c r="GK55" i="26"/>
  <c r="BW124" i="26" s="1"/>
  <c r="GJ55" i="26"/>
  <c r="BV124" i="26" s="1"/>
  <c r="EN53" i="26"/>
  <c r="EO53" i="26"/>
  <c r="CR57" i="26"/>
  <c r="CS57" i="26"/>
  <c r="CB49" i="26"/>
  <c r="CC49" i="26"/>
  <c r="AG118" i="26" s="1"/>
  <c r="GJ57" i="26"/>
  <c r="BV126" i="26" s="1"/>
  <c r="GK57" i="26"/>
  <c r="BW126" i="26" s="1"/>
  <c r="AW37" i="26"/>
  <c r="U106" i="26" s="1"/>
  <c r="AV37" i="26"/>
  <c r="BL47" i="26"/>
  <c r="BM47" i="26"/>
  <c r="AA116" i="26" s="1"/>
  <c r="CC69" i="26"/>
  <c r="CB69" i="26"/>
  <c r="DR107" i="26" s="1"/>
  <c r="FU59" i="26"/>
  <c r="BQ128" i="26" s="1"/>
  <c r="FT59" i="26"/>
  <c r="BP128" i="26" s="1"/>
  <c r="GK62" i="26"/>
  <c r="BW131" i="26" s="1"/>
  <c r="GJ62" i="26"/>
  <c r="BV131" i="26" s="1"/>
  <c r="BM91" i="26"/>
  <c r="BL91" i="26"/>
  <c r="DL129" i="26" s="1"/>
  <c r="AF80" i="26"/>
  <c r="CZ118" i="26" s="1"/>
  <c r="AG80" i="26"/>
  <c r="AF81" i="26"/>
  <c r="CZ119" i="26" s="1"/>
  <c r="AG81" i="26"/>
  <c r="AF71" i="26"/>
  <c r="CZ109" i="26" s="1"/>
  <c r="AG71" i="26"/>
  <c r="AF85" i="26"/>
  <c r="CZ123" i="26" s="1"/>
  <c r="AG85" i="26"/>
  <c r="AG91" i="26"/>
  <c r="AF91" i="26"/>
  <c r="CZ129" i="26" s="1"/>
  <c r="AG82" i="26"/>
  <c r="AF82" i="26"/>
  <c r="CZ120" i="26" s="1"/>
  <c r="AF84" i="26"/>
  <c r="CZ122" i="26" s="1"/>
  <c r="AG84" i="26"/>
  <c r="AF88" i="26"/>
  <c r="CZ126" i="26" s="1"/>
  <c r="AG88" i="26"/>
  <c r="AF83" i="26"/>
  <c r="CZ121" i="26" s="1"/>
  <c r="AG83" i="26"/>
  <c r="AG93" i="26"/>
  <c r="AF93" i="26"/>
  <c r="AG74" i="26"/>
  <c r="AF74" i="26"/>
  <c r="CZ112" i="26" s="1"/>
  <c r="AF89" i="26"/>
  <c r="CZ127" i="26" s="1"/>
  <c r="AG89" i="26"/>
  <c r="AF69" i="26"/>
  <c r="CZ107" i="26" s="1"/>
  <c r="AG69" i="26"/>
  <c r="AF68" i="26"/>
  <c r="AG68" i="26"/>
  <c r="AF76" i="26"/>
  <c r="CZ114" i="26" s="1"/>
  <c r="AG76" i="26"/>
  <c r="AF75" i="26"/>
  <c r="AG75" i="26"/>
  <c r="AG70" i="26"/>
  <c r="AF70" i="26"/>
  <c r="CZ108" i="26" s="1"/>
  <c r="AG77" i="26"/>
  <c r="AF77" i="26"/>
  <c r="CZ115" i="26" s="1"/>
  <c r="AF90" i="26"/>
  <c r="CZ128" i="26" s="1"/>
  <c r="AG90" i="26"/>
  <c r="AF87" i="26"/>
  <c r="CZ125" i="26" s="1"/>
  <c r="AG87" i="26"/>
  <c r="AF72" i="26"/>
  <c r="CZ110" i="26" s="1"/>
  <c r="AG72" i="26"/>
  <c r="AF79" i="26"/>
  <c r="AG79" i="26"/>
  <c r="AG86" i="26"/>
  <c r="AF86" i="26"/>
  <c r="AG78" i="26"/>
  <c r="AF78" i="26"/>
  <c r="CZ116" i="26" s="1"/>
  <c r="AF73" i="26"/>
  <c r="CZ111" i="26" s="1"/>
  <c r="AG73" i="26"/>
  <c r="AF92" i="26"/>
  <c r="CZ130" i="26" s="1"/>
  <c r="AG92" i="26"/>
  <c r="AI124" i="26"/>
  <c r="AI107" i="26"/>
  <c r="AI108" i="26"/>
  <c r="AI128" i="26"/>
  <c r="AI122" i="26"/>
  <c r="AI126" i="26"/>
  <c r="AI111" i="26"/>
  <c r="AI123" i="26"/>
  <c r="AI106" i="26"/>
  <c r="AI130" i="26"/>
  <c r="AI112" i="26"/>
  <c r="AI119" i="26"/>
  <c r="AI125" i="26"/>
  <c r="AI113" i="26"/>
  <c r="AI116" i="26"/>
  <c r="AI118" i="26"/>
  <c r="AI131" i="26"/>
  <c r="AI114" i="26"/>
  <c r="AI121" i="26"/>
  <c r="AI117" i="26"/>
  <c r="AI129" i="26"/>
  <c r="AI115" i="26"/>
  <c r="AI120" i="26"/>
  <c r="AI109" i="26"/>
  <c r="AI127" i="26"/>
  <c r="AI110" i="26"/>
  <c r="AG47" i="26"/>
  <c r="O116" i="26" s="1"/>
  <c r="AF59" i="26"/>
  <c r="N128" i="26" s="1"/>
  <c r="Q51" i="26"/>
  <c r="I120" i="26" s="1"/>
  <c r="AG50" i="26"/>
  <c r="O119" i="26" s="1"/>
  <c r="AG51" i="26"/>
  <c r="O120" i="26" s="1"/>
  <c r="AF49" i="26"/>
  <c r="AF62" i="26"/>
  <c r="N131" i="26" s="1"/>
  <c r="Q38" i="26"/>
  <c r="I107" i="26" s="1"/>
  <c r="AF48" i="26"/>
  <c r="N117" i="26" s="1"/>
  <c r="AF42" i="26"/>
  <c r="AF61" i="26"/>
  <c r="N130" i="26" s="1"/>
  <c r="AG39" i="26"/>
  <c r="O108" i="26" s="1"/>
  <c r="AG55" i="26"/>
  <c r="O124" i="26" s="1"/>
  <c r="AG52" i="26"/>
  <c r="O121" i="26" s="1"/>
  <c r="AF56" i="26"/>
  <c r="N125" i="26" s="1"/>
  <c r="P48" i="26"/>
  <c r="H117" i="26" s="1"/>
  <c r="AF57" i="26"/>
  <c r="N126" i="26" s="1"/>
  <c r="Q52" i="26"/>
  <c r="I121" i="26" s="1"/>
  <c r="AG38" i="26"/>
  <c r="O107" i="26" s="1"/>
  <c r="AG53" i="26"/>
  <c r="O122" i="26" s="1"/>
  <c r="Q56" i="26"/>
  <c r="I125" i="26" s="1"/>
  <c r="P45" i="26"/>
  <c r="H114" i="26" s="1"/>
  <c r="AG40" i="26"/>
  <c r="O109" i="26" s="1"/>
  <c r="AF44" i="26"/>
  <c r="AF60" i="26"/>
  <c r="N129" i="26" s="1"/>
  <c r="P40" i="26"/>
  <c r="Q44" i="26"/>
  <c r="I113" i="26" s="1"/>
  <c r="Q42" i="26"/>
  <c r="I111" i="26" s="1"/>
  <c r="Q37" i="26"/>
  <c r="I106" i="26" s="1"/>
  <c r="Q50" i="26"/>
  <c r="I119" i="26" s="1"/>
  <c r="P39" i="26"/>
  <c r="Q57" i="26"/>
  <c r="I126" i="26" s="1"/>
  <c r="P43" i="26"/>
  <c r="H112" i="26" s="1"/>
  <c r="Q49" i="26"/>
  <c r="I118" i="26" s="1"/>
  <c r="Q41" i="26"/>
  <c r="I110" i="26" s="1"/>
  <c r="N115" i="26"/>
  <c r="CO131" i="26"/>
  <c r="X23" i="29"/>
  <c r="Y23" i="29"/>
  <c r="AD33" i="21"/>
  <c r="Z49" i="21"/>
  <c r="AD28" i="21"/>
  <c r="AD32" i="21"/>
  <c r="AD6" i="21"/>
  <c r="AD9" i="21"/>
  <c r="AD15" i="21"/>
  <c r="AD29" i="21"/>
  <c r="AD12" i="21"/>
  <c r="AD16" i="21"/>
  <c r="AD31" i="21"/>
  <c r="AD34" i="21"/>
  <c r="AD25" i="21"/>
  <c r="AD14" i="21"/>
  <c r="AD4" i="21"/>
  <c r="AD5" i="21"/>
  <c r="AD10" i="21"/>
  <c r="AD18" i="21"/>
  <c r="AD23" i="21"/>
  <c r="AD17" i="21"/>
  <c r="AD24" i="21"/>
  <c r="AD22" i="21"/>
  <c r="AD13" i="21"/>
  <c r="AD27" i="21"/>
  <c r="AD19" i="21"/>
  <c r="AD20" i="21"/>
  <c r="AD26" i="21"/>
  <c r="AD21" i="21"/>
  <c r="AD11" i="21"/>
  <c r="AD30" i="21"/>
  <c r="AD3" i="21"/>
  <c r="N106" i="26"/>
  <c r="N110" i="26"/>
  <c r="K163" i="28" l="1"/>
  <c r="E168" i="28"/>
  <c r="E196" i="28"/>
  <c r="E163" i="28"/>
  <c r="Q170" i="28"/>
  <c r="K182" i="28"/>
  <c r="K165" i="28"/>
  <c r="W187" i="28"/>
  <c r="E172" i="28"/>
  <c r="P85" i="28"/>
  <c r="P82" i="28"/>
  <c r="P80" i="28"/>
  <c r="V86" i="28"/>
  <c r="D109" i="28"/>
  <c r="D103" i="28"/>
  <c r="D116" i="28"/>
  <c r="D106" i="28"/>
  <c r="D118" i="28"/>
  <c r="J123" i="28"/>
  <c r="J111" i="28"/>
  <c r="J121" i="28"/>
  <c r="J109" i="28"/>
  <c r="D139" i="28"/>
  <c r="D152" i="28"/>
  <c r="D142" i="28"/>
  <c r="D133" i="28"/>
  <c r="J150" i="28"/>
  <c r="J149" i="28"/>
  <c r="P142" i="28"/>
  <c r="P133" i="28"/>
  <c r="P156" i="28"/>
  <c r="V147" i="28"/>
  <c r="V137" i="28"/>
  <c r="V151" i="28"/>
  <c r="D173" i="28"/>
  <c r="D166" i="28"/>
  <c r="D186" i="28"/>
  <c r="J180" i="28"/>
  <c r="J163" i="28"/>
  <c r="J174" i="28"/>
  <c r="P186" i="28"/>
  <c r="P165" i="28"/>
  <c r="P168" i="28"/>
  <c r="V185" i="28"/>
  <c r="V165" i="28"/>
  <c r="V167" i="28"/>
  <c r="V181" i="28"/>
  <c r="D196" i="28"/>
  <c r="D209" i="28"/>
  <c r="D203" i="28"/>
  <c r="T104" i="28"/>
  <c r="T107" i="28"/>
  <c r="T125" i="28"/>
  <c r="T122" i="28"/>
  <c r="V116" i="28"/>
  <c r="O117" i="28"/>
  <c r="E165" i="28"/>
  <c r="K173" i="28"/>
  <c r="E212" i="28"/>
  <c r="W173" i="28"/>
  <c r="Q162" i="28"/>
  <c r="E170" i="28"/>
  <c r="K186" i="28"/>
  <c r="Q165" i="28"/>
  <c r="E171" i="28"/>
  <c r="E178" i="28"/>
  <c r="W166" i="28"/>
  <c r="E182" i="28"/>
  <c r="K180" i="28"/>
  <c r="W175" i="28"/>
  <c r="W165" i="28"/>
  <c r="P89" i="28"/>
  <c r="P84" i="28"/>
  <c r="P94" i="28"/>
  <c r="P79" i="28"/>
  <c r="V81" i="28"/>
  <c r="V79" i="28"/>
  <c r="V82" i="28"/>
  <c r="V84" i="28"/>
  <c r="D114" i="28"/>
  <c r="D120" i="28"/>
  <c r="J118" i="28"/>
  <c r="J106" i="28"/>
  <c r="J115" i="28"/>
  <c r="J122" i="28"/>
  <c r="V106" i="28"/>
  <c r="D140" i="28"/>
  <c r="D150" i="28"/>
  <c r="D149" i="28"/>
  <c r="D131" i="28"/>
  <c r="J132" i="28"/>
  <c r="J137" i="28"/>
  <c r="J151" i="28"/>
  <c r="P135" i="28"/>
  <c r="P140" i="28"/>
  <c r="P155" i="28"/>
  <c r="P138" i="28"/>
  <c r="V156" i="28"/>
  <c r="V144" i="28"/>
  <c r="V131" i="28"/>
  <c r="D162" i="28"/>
  <c r="D181" i="28"/>
  <c r="D163" i="28"/>
  <c r="J162" i="28"/>
  <c r="J176" i="28"/>
  <c r="J178" i="28"/>
  <c r="J167" i="28"/>
  <c r="P162" i="28"/>
  <c r="P176" i="28"/>
  <c r="P179" i="28"/>
  <c r="V176" i="28"/>
  <c r="V175" i="28"/>
  <c r="V171" i="28"/>
  <c r="D206" i="28"/>
  <c r="D214" i="28"/>
  <c r="D202" i="28"/>
  <c r="V105" i="28"/>
  <c r="V123" i="28"/>
  <c r="V121" i="28"/>
  <c r="V118" i="28"/>
  <c r="T116" i="28"/>
  <c r="T108" i="28"/>
  <c r="E202" i="28"/>
  <c r="K179" i="28"/>
  <c r="Q168" i="28"/>
  <c r="W179" i="28"/>
  <c r="K187" i="28"/>
  <c r="E200" i="28"/>
  <c r="E173" i="28"/>
  <c r="W167" i="28"/>
  <c r="P78" i="28"/>
  <c r="P77" i="28"/>
  <c r="P81" i="28"/>
  <c r="P87" i="28"/>
  <c r="V92" i="28"/>
  <c r="V73" i="28"/>
  <c r="V69" i="28"/>
  <c r="V91" i="28"/>
  <c r="D111" i="28"/>
  <c r="D113" i="28"/>
  <c r="D117" i="28"/>
  <c r="J107" i="28"/>
  <c r="J114" i="28"/>
  <c r="J117" i="28"/>
  <c r="J120" i="28"/>
  <c r="V119" i="28"/>
  <c r="D145" i="28"/>
  <c r="D137" i="28"/>
  <c r="J153" i="28"/>
  <c r="J139" i="28"/>
  <c r="J155" i="28"/>
  <c r="P147" i="28"/>
  <c r="P146" i="28"/>
  <c r="P143" i="28"/>
  <c r="P131" i="28"/>
  <c r="V133" i="28"/>
  <c r="V149" i="28"/>
  <c r="V136" i="28"/>
  <c r="D184" i="28"/>
  <c r="D172" i="28"/>
  <c r="D183" i="28"/>
  <c r="J186" i="28"/>
  <c r="J170" i="28"/>
  <c r="J164" i="28"/>
  <c r="P177" i="28"/>
  <c r="P172" i="28"/>
  <c r="P178" i="28"/>
  <c r="P164" i="28"/>
  <c r="V186" i="28"/>
  <c r="V179" i="28"/>
  <c r="V177" i="28"/>
  <c r="D195" i="28"/>
  <c r="D217" i="28"/>
  <c r="D205" i="28"/>
  <c r="T105" i="28"/>
  <c r="T123" i="28"/>
  <c r="T121" i="28"/>
  <c r="T118" i="28"/>
  <c r="V103" i="28"/>
  <c r="V102" i="28"/>
  <c r="K185" i="28"/>
  <c r="E167" i="28"/>
  <c r="E174" i="28"/>
  <c r="Q171" i="28"/>
  <c r="K177" i="28"/>
  <c r="E203" i="28"/>
  <c r="E218" i="28"/>
  <c r="Q174" i="28"/>
  <c r="K181" i="28"/>
  <c r="W162" i="28"/>
  <c r="E197" i="28"/>
  <c r="P93" i="28"/>
  <c r="P83" i="28"/>
  <c r="V76" i="28"/>
  <c r="V72" i="28"/>
  <c r="V75" i="28"/>
  <c r="V77" i="28"/>
  <c r="D101" i="28"/>
  <c r="D102" i="28"/>
  <c r="J101" i="28"/>
  <c r="J113" i="28"/>
  <c r="J102" i="28"/>
  <c r="J108" i="28"/>
  <c r="U125" i="28"/>
  <c r="D147" i="28"/>
  <c r="D132" i="28"/>
  <c r="D141" i="28"/>
  <c r="J131" i="28"/>
  <c r="J142" i="28"/>
  <c r="J152" i="28"/>
  <c r="P152" i="28"/>
  <c r="P149" i="28"/>
  <c r="P153" i="28"/>
  <c r="P136" i="28"/>
  <c r="V148" i="28"/>
  <c r="V132" i="28"/>
  <c r="V154" i="28"/>
  <c r="D180" i="28"/>
  <c r="D182" i="28"/>
  <c r="D179" i="28"/>
  <c r="J177" i="28"/>
  <c r="J175" i="28"/>
  <c r="J181" i="28"/>
  <c r="J165" i="28"/>
  <c r="P175" i="28"/>
  <c r="P166" i="28"/>
  <c r="P170" i="28"/>
  <c r="V182" i="28"/>
  <c r="V164" i="28"/>
  <c r="V184" i="28"/>
  <c r="D201" i="28"/>
  <c r="D197" i="28"/>
  <c r="D208" i="28"/>
  <c r="D200" i="28"/>
  <c r="V114" i="28"/>
  <c r="V112" i="28"/>
  <c r="V111" i="28"/>
  <c r="T103" i="28"/>
  <c r="T102" i="28"/>
  <c r="Q173" i="28"/>
  <c r="Q169" i="28"/>
  <c r="E204" i="28"/>
  <c r="E198" i="28"/>
  <c r="Q166" i="28"/>
  <c r="Q175" i="28"/>
  <c r="E199" i="28"/>
  <c r="Q179" i="28"/>
  <c r="W183" i="28"/>
  <c r="E179" i="28"/>
  <c r="P88" i="28"/>
  <c r="P74" i="28"/>
  <c r="V87" i="28"/>
  <c r="V83" i="28"/>
  <c r="V80" i="28"/>
  <c r="V85" i="28"/>
  <c r="D121" i="28"/>
  <c r="D122" i="28"/>
  <c r="D108" i="28"/>
  <c r="J104" i="28"/>
  <c r="J103" i="28"/>
  <c r="J100" i="28"/>
  <c r="V101" i="28"/>
  <c r="D151" i="28"/>
  <c r="D143" i="28"/>
  <c r="D156" i="28"/>
  <c r="J147" i="28"/>
  <c r="J143" i="28"/>
  <c r="J146" i="28"/>
  <c r="J138" i="28"/>
  <c r="P141" i="28"/>
  <c r="P144" i="28"/>
  <c r="P139" i="28"/>
  <c r="V146" i="28"/>
  <c r="V141" i="28"/>
  <c r="V152" i="28"/>
  <c r="D175" i="28"/>
  <c r="D174" i="28"/>
  <c r="D187" i="28"/>
  <c r="D178" i="28"/>
  <c r="J166" i="28"/>
  <c r="J171" i="28"/>
  <c r="J184" i="28"/>
  <c r="P173" i="28"/>
  <c r="P182" i="28"/>
  <c r="P180" i="28"/>
  <c r="V183" i="28"/>
  <c r="V163" i="28"/>
  <c r="V162" i="28"/>
  <c r="D199" i="28"/>
  <c r="D215" i="28"/>
  <c r="C218" i="28"/>
  <c r="D194" i="28"/>
  <c r="T114" i="28"/>
  <c r="T112" i="28"/>
  <c r="T111" i="28"/>
  <c r="T106" i="28"/>
  <c r="V113" i="28"/>
  <c r="E183" i="28"/>
  <c r="Q167" i="28"/>
  <c r="E195" i="28"/>
  <c r="E175" i="28"/>
  <c r="W164" i="28"/>
  <c r="Q187" i="28"/>
  <c r="W168" i="28"/>
  <c r="W163" i="28"/>
  <c r="W170" i="28"/>
  <c r="Q184" i="28"/>
  <c r="E184" i="28"/>
  <c r="W182" i="28"/>
  <c r="K172" i="28"/>
  <c r="P71" i="28"/>
  <c r="P75" i="28"/>
  <c r="P69" i="28"/>
  <c r="V89" i="28"/>
  <c r="V90" i="28"/>
  <c r="V71" i="28"/>
  <c r="V70" i="28"/>
  <c r="D119" i="28"/>
  <c r="D104" i="28"/>
  <c r="D110" i="28"/>
  <c r="D115" i="28"/>
  <c r="J124" i="28"/>
  <c r="J110" i="28"/>
  <c r="J119" i="28"/>
  <c r="V120" i="28"/>
  <c r="D154" i="28"/>
  <c r="D144" i="28"/>
  <c r="D135" i="28"/>
  <c r="J156" i="28"/>
  <c r="J134" i="28"/>
  <c r="J141" i="28"/>
  <c r="J135" i="28"/>
  <c r="P150" i="28"/>
  <c r="P132" i="28"/>
  <c r="P148" i="28"/>
  <c r="V138" i="28"/>
  <c r="V139" i="28"/>
  <c r="V143" i="28"/>
  <c r="D171" i="28"/>
  <c r="D177" i="28"/>
  <c r="D170" i="28"/>
  <c r="D167" i="28"/>
  <c r="J172" i="28"/>
  <c r="J183" i="28"/>
  <c r="J185" i="28"/>
  <c r="J169" i="28"/>
  <c r="P167" i="28"/>
  <c r="P169" i="28"/>
  <c r="P183" i="28"/>
  <c r="V180" i="28"/>
  <c r="V178" i="28"/>
  <c r="V187" i="28"/>
  <c r="D210" i="28"/>
  <c r="D207" i="28"/>
  <c r="D218" i="28"/>
  <c r="D216" i="28"/>
  <c r="W110" i="28"/>
  <c r="V115" i="28"/>
  <c r="V109" i="28"/>
  <c r="V124" i="28"/>
  <c r="T113" i="28"/>
  <c r="O119" i="28"/>
  <c r="E180" i="28"/>
  <c r="E176" i="28"/>
  <c r="W171" i="28"/>
  <c r="W174" i="28"/>
  <c r="K175" i="28"/>
  <c r="E177" i="28"/>
  <c r="K176" i="28"/>
  <c r="K184" i="28"/>
  <c r="E169" i="28"/>
  <c r="Q172" i="28"/>
  <c r="E205" i="28"/>
  <c r="E193" i="28"/>
  <c r="E162" i="28"/>
  <c r="P72" i="28"/>
  <c r="P86" i="28"/>
  <c r="P91" i="28"/>
  <c r="P73" i="28"/>
  <c r="V88" i="28"/>
  <c r="V74" i="28"/>
  <c r="D112" i="28"/>
  <c r="D123" i="28"/>
  <c r="D124" i="28"/>
  <c r="D107" i="28"/>
  <c r="J105" i="28"/>
  <c r="V110" i="28"/>
  <c r="D153" i="28"/>
  <c r="D134" i="28"/>
  <c r="D136" i="28"/>
  <c r="J148" i="28"/>
  <c r="J140" i="28"/>
  <c r="J133" i="28"/>
  <c r="J145" i="28"/>
  <c r="P154" i="28"/>
  <c r="P137" i="28"/>
  <c r="P134" i="28"/>
  <c r="V140" i="28"/>
  <c r="V153" i="28"/>
  <c r="V155" i="28"/>
  <c r="V145" i="28"/>
  <c r="D168" i="28"/>
  <c r="D165" i="28"/>
  <c r="D164" i="28"/>
  <c r="J173" i="28"/>
  <c r="P181" i="28"/>
  <c r="P184" i="28"/>
  <c r="P174" i="28"/>
  <c r="V166" i="28"/>
  <c r="V168" i="28"/>
  <c r="V173" i="28"/>
  <c r="V169" i="28"/>
  <c r="D211" i="28"/>
  <c r="D204" i="28"/>
  <c r="D198" i="28"/>
  <c r="T110" i="28"/>
  <c r="T115" i="28"/>
  <c r="T109" i="28"/>
  <c r="T124" i="28"/>
  <c r="V117" i="28"/>
  <c r="E187" i="28"/>
  <c r="E164" i="28"/>
  <c r="K183" i="28"/>
  <c r="E185" i="28"/>
  <c r="E186" i="28"/>
  <c r="K178" i="28"/>
  <c r="E166" i="28"/>
  <c r="E194" i="28"/>
  <c r="W172" i="28"/>
  <c r="K168" i="28"/>
  <c r="E181" i="28"/>
  <c r="W181" i="28"/>
  <c r="Q163" i="28"/>
  <c r="P70" i="28"/>
  <c r="P90" i="28"/>
  <c r="P92" i="28"/>
  <c r="P76" i="28"/>
  <c r="V78" i="28"/>
  <c r="V93" i="28"/>
  <c r="V94" i="28"/>
  <c r="D105" i="28"/>
  <c r="D100" i="28"/>
  <c r="D125" i="28"/>
  <c r="J116" i="28"/>
  <c r="J112" i="28"/>
  <c r="J125" i="28"/>
  <c r="V108" i="28"/>
  <c r="D146" i="28"/>
  <c r="D148" i="28"/>
  <c r="D155" i="28"/>
  <c r="D138" i="28"/>
  <c r="J136" i="28"/>
  <c r="J154" i="28"/>
  <c r="J144" i="28"/>
  <c r="P145" i="28"/>
  <c r="P151" i="28"/>
  <c r="V135" i="28"/>
  <c r="V134" i="28"/>
  <c r="V142" i="28"/>
  <c r="V150" i="28"/>
  <c r="D169" i="28"/>
  <c r="D185" i="28"/>
  <c r="D176" i="28"/>
  <c r="J187" i="28"/>
  <c r="J168" i="28"/>
  <c r="J179" i="28"/>
  <c r="J182" i="28"/>
  <c r="P187" i="28"/>
  <c r="P163" i="28"/>
  <c r="P185" i="28"/>
  <c r="P171" i="28"/>
  <c r="V174" i="28"/>
  <c r="V170" i="28"/>
  <c r="V172" i="28"/>
  <c r="D212" i="28"/>
  <c r="D193" i="28"/>
  <c r="D213" i="28"/>
  <c r="V107" i="28"/>
  <c r="V125" i="28"/>
  <c r="V122" i="28"/>
  <c r="T117" i="28"/>
  <c r="DF61" i="26"/>
  <c r="N82" i="26"/>
  <c r="CR120" i="26" s="1"/>
  <c r="N84" i="26"/>
  <c r="CR122" i="26" s="1"/>
  <c r="N83" i="26"/>
  <c r="CR121" i="26" s="1"/>
  <c r="U179" i="28"/>
  <c r="U182" i="28"/>
  <c r="U183" i="28"/>
  <c r="U187" i="28"/>
  <c r="U181" i="28"/>
  <c r="O184" i="28"/>
  <c r="O187" i="28"/>
  <c r="O179" i="28"/>
  <c r="I177" i="28"/>
  <c r="I175" i="28"/>
  <c r="I186" i="28"/>
  <c r="I184" i="28"/>
  <c r="I183" i="28"/>
  <c r="I181" i="28"/>
  <c r="I187" i="28"/>
  <c r="I185" i="28"/>
  <c r="I179" i="28"/>
  <c r="I182" i="28"/>
  <c r="I180" i="28"/>
  <c r="I176" i="28"/>
  <c r="I178" i="28"/>
  <c r="FB81" i="26"/>
  <c r="ET119" i="26" s="1"/>
  <c r="EV119" i="26"/>
  <c r="FB76" i="26"/>
  <c r="ET114" i="26" s="1"/>
  <c r="EV114" i="26"/>
  <c r="FB84" i="26"/>
  <c r="ET122" i="26" s="1"/>
  <c r="EV122" i="26"/>
  <c r="FB89" i="26"/>
  <c r="ET127" i="26" s="1"/>
  <c r="EV127" i="26"/>
  <c r="FB90" i="26"/>
  <c r="ET128" i="26" s="1"/>
  <c r="EV128" i="26"/>
  <c r="FB86" i="26"/>
  <c r="ET124" i="26" s="1"/>
  <c r="EV124" i="26"/>
  <c r="FB85" i="26"/>
  <c r="ET123" i="26" s="1"/>
  <c r="EV123" i="26"/>
  <c r="FB82" i="26"/>
  <c r="ET120" i="26" s="1"/>
  <c r="EV120" i="26"/>
  <c r="FB83" i="26"/>
  <c r="ET121" i="26" s="1"/>
  <c r="EV121" i="26"/>
  <c r="FB92" i="26"/>
  <c r="ET130" i="26" s="1"/>
  <c r="EV130" i="26"/>
  <c r="FB91" i="26"/>
  <c r="ET129" i="26" s="1"/>
  <c r="EV129" i="26"/>
  <c r="FB88" i="26"/>
  <c r="ET126" i="26" s="1"/>
  <c r="EV126" i="26"/>
  <c r="EL84" i="26"/>
  <c r="EN122" i="26" s="1"/>
  <c r="EP122" i="26"/>
  <c r="EL91" i="26"/>
  <c r="EN129" i="26" s="1"/>
  <c r="EP129" i="26"/>
  <c r="EL83" i="26"/>
  <c r="EN121" i="26" s="1"/>
  <c r="EP121" i="26"/>
  <c r="EL75" i="26"/>
  <c r="EN113" i="26" s="1"/>
  <c r="EP113" i="26"/>
  <c r="EL90" i="26"/>
  <c r="EN128" i="26" s="1"/>
  <c r="EP128" i="26"/>
  <c r="EL82" i="26"/>
  <c r="EN120" i="26" s="1"/>
  <c r="EP120" i="26"/>
  <c r="EL86" i="26"/>
  <c r="EN124" i="26" s="1"/>
  <c r="EP124" i="26"/>
  <c r="EL92" i="26"/>
  <c r="EN130" i="26" s="1"/>
  <c r="EP130" i="26"/>
  <c r="DV89" i="26"/>
  <c r="EH127" i="26" s="1"/>
  <c r="EJ127" i="26"/>
  <c r="DV92" i="26"/>
  <c r="EH130" i="26" s="1"/>
  <c r="EJ130" i="26"/>
  <c r="DV84" i="26"/>
  <c r="EH122" i="26" s="1"/>
  <c r="EJ122" i="26"/>
  <c r="DV87" i="26"/>
  <c r="EH125" i="26" s="1"/>
  <c r="EJ125" i="26"/>
  <c r="DV82" i="26"/>
  <c r="EH120" i="26" s="1"/>
  <c r="EJ120" i="26"/>
  <c r="DV88" i="26"/>
  <c r="EH126" i="26" s="1"/>
  <c r="EJ126" i="26"/>
  <c r="DV86" i="26"/>
  <c r="EH124" i="26" s="1"/>
  <c r="EJ124" i="26"/>
  <c r="DV91" i="26"/>
  <c r="EH129" i="26" s="1"/>
  <c r="EJ129" i="26"/>
  <c r="EL77" i="26"/>
  <c r="EN115" i="26" s="1"/>
  <c r="FB68" i="26"/>
  <c r="ET106" i="26" s="1"/>
  <c r="DV70" i="26"/>
  <c r="EH108" i="26" s="1"/>
  <c r="EJ108" i="26"/>
  <c r="DV83" i="26"/>
  <c r="EH121" i="26" s="1"/>
  <c r="EJ121" i="26"/>
  <c r="DF80" i="26"/>
  <c r="EB118" i="26" s="1"/>
  <c r="ED118" i="26"/>
  <c r="DF70" i="26"/>
  <c r="EB108" i="26" s="1"/>
  <c r="ED108" i="26"/>
  <c r="DF72" i="26"/>
  <c r="EB110" i="26" s="1"/>
  <c r="ED110" i="26"/>
  <c r="DF76" i="26"/>
  <c r="EB114" i="26" s="1"/>
  <c r="ED114" i="26"/>
  <c r="EL73" i="26"/>
  <c r="EN111" i="26" s="1"/>
  <c r="DF69" i="26"/>
  <c r="EB107" i="26" s="1"/>
  <c r="ED106" i="26"/>
  <c r="DF77" i="26"/>
  <c r="EB115" i="26" s="1"/>
  <c r="ED115" i="26"/>
  <c r="DV68" i="26"/>
  <c r="EH106" i="26" s="1"/>
  <c r="DV77" i="26"/>
  <c r="EH115" i="26" s="1"/>
  <c r="FB78" i="26"/>
  <c r="ET116" i="26" s="1"/>
  <c r="DV80" i="26"/>
  <c r="EH118" i="26" s="1"/>
  <c r="EL68" i="26"/>
  <c r="EN106" i="26" s="1"/>
  <c r="DF75" i="26"/>
  <c r="EB113" i="26" s="1"/>
  <c r="ED113" i="26"/>
  <c r="DF71" i="26"/>
  <c r="EB109" i="26" s="1"/>
  <c r="DV75" i="26"/>
  <c r="EH113" i="26" s="1"/>
  <c r="DV72" i="26"/>
  <c r="EH110" i="26" s="1"/>
  <c r="DF73" i="26"/>
  <c r="EB111" i="26" s="1"/>
  <c r="ED111" i="26"/>
  <c r="EL70" i="26"/>
  <c r="EN108" i="26" s="1"/>
  <c r="DF79" i="26"/>
  <c r="EB117" i="26" s="1"/>
  <c r="FB79" i="26"/>
  <c r="ET117" i="26" s="1"/>
  <c r="DV81" i="26"/>
  <c r="EH119" i="26" s="1"/>
  <c r="FB74" i="26"/>
  <c r="ET112" i="26" s="1"/>
  <c r="DF78" i="26"/>
  <c r="EB116" i="26" s="1"/>
  <c r="DF74" i="26"/>
  <c r="EB112" i="26" s="1"/>
  <c r="EL76" i="26"/>
  <c r="EN114" i="26" s="1"/>
  <c r="DV73" i="26"/>
  <c r="EH111" i="26" s="1"/>
  <c r="FB70" i="26"/>
  <c r="ET108" i="26" s="1"/>
  <c r="EL69" i="26"/>
  <c r="EN107" i="26" s="1"/>
  <c r="CP83" i="26"/>
  <c r="DV121" i="26" s="1"/>
  <c r="DV79" i="26"/>
  <c r="EH117" i="26" s="1"/>
  <c r="DV78" i="26"/>
  <c r="EH116" i="26" s="1"/>
  <c r="FB69" i="26"/>
  <c r="ET107" i="26" s="1"/>
  <c r="EL78" i="26"/>
  <c r="EN116" i="26" s="1"/>
  <c r="DV69" i="26"/>
  <c r="EH107" i="26" s="1"/>
  <c r="CP87" i="26"/>
  <c r="DV125" i="26" s="1"/>
  <c r="CP93" i="26"/>
  <c r="DV131" i="26" s="1"/>
  <c r="FB72" i="26"/>
  <c r="ET110" i="26" s="1"/>
  <c r="FB71" i="26"/>
  <c r="ET109" i="26" s="1"/>
  <c r="DV76" i="26"/>
  <c r="EH114" i="26" s="1"/>
  <c r="EL74" i="26"/>
  <c r="EN112" i="26" s="1"/>
  <c r="CP78" i="26"/>
  <c r="DV116" i="26" s="1"/>
  <c r="CP70" i="26"/>
  <c r="DV108" i="26" s="1"/>
  <c r="DF68" i="26"/>
  <c r="EB106" i="26" s="1"/>
  <c r="EL79" i="26"/>
  <c r="EN117" i="26" s="1"/>
  <c r="DV71" i="26"/>
  <c r="EH109" i="26" s="1"/>
  <c r="EL72" i="26"/>
  <c r="EN110" i="26" s="1"/>
  <c r="EL81" i="26"/>
  <c r="EN119" i="26" s="1"/>
  <c r="EL71" i="26"/>
  <c r="EN109" i="26" s="1"/>
  <c r="FB77" i="26"/>
  <c r="ET115" i="26" s="1"/>
  <c r="DV74" i="26"/>
  <c r="EH112" i="26" s="1"/>
  <c r="FB75" i="26"/>
  <c r="ET113" i="26" s="1"/>
  <c r="CP71" i="26"/>
  <c r="DV109" i="26" s="1"/>
  <c r="FB73" i="26"/>
  <c r="ET111" i="26" s="1"/>
  <c r="FB87" i="26"/>
  <c r="ET125" i="26" s="1"/>
  <c r="FB80" i="26"/>
  <c r="ET118" i="26" s="1"/>
  <c r="EL80" i="26"/>
  <c r="EN118" i="26" s="1"/>
  <c r="CP86" i="26"/>
  <c r="DV124" i="26" s="1"/>
  <c r="CP75" i="26"/>
  <c r="DV113" i="26" s="1"/>
  <c r="CP91" i="26"/>
  <c r="DV129" i="26" s="1"/>
  <c r="CP85" i="26"/>
  <c r="DV123" i="26" s="1"/>
  <c r="CP82" i="26"/>
  <c r="DV120" i="26" s="1"/>
  <c r="CP90" i="26"/>
  <c r="DV128" i="26" s="1"/>
  <c r="CP74" i="26"/>
  <c r="DV112" i="26" s="1"/>
  <c r="CP89" i="26"/>
  <c r="DV127" i="26" s="1"/>
  <c r="CP88" i="26"/>
  <c r="DV126" i="26" s="1"/>
  <c r="GC65" i="26"/>
  <c r="GC71" i="26" s="1"/>
  <c r="CP81" i="26"/>
  <c r="DV119" i="26" s="1"/>
  <c r="CP79" i="26"/>
  <c r="DV117" i="26" s="1"/>
  <c r="CP80" i="26"/>
  <c r="DV118" i="26" s="1"/>
  <c r="CP72" i="26"/>
  <c r="DV110" i="26" s="1"/>
  <c r="CP92" i="26"/>
  <c r="DV130" i="26" s="1"/>
  <c r="CP84" i="26"/>
  <c r="DV122" i="26" s="1"/>
  <c r="CP77" i="26"/>
  <c r="DV115" i="26" s="1"/>
  <c r="CP68" i="26"/>
  <c r="DV106" i="26" s="1"/>
  <c r="CP76" i="26"/>
  <c r="DV114" i="26" s="1"/>
  <c r="CP69" i="26"/>
  <c r="DV107" i="26" s="1"/>
  <c r="CP73" i="26"/>
  <c r="DV111" i="26" s="1"/>
  <c r="AT77" i="26"/>
  <c r="DD115" i="26" s="1"/>
  <c r="AD93" i="26"/>
  <c r="CX131" i="26" s="1"/>
  <c r="BZ89" i="26"/>
  <c r="DP127" i="26" s="1"/>
  <c r="AT90" i="26"/>
  <c r="BJ76" i="26"/>
  <c r="DJ114" i="26" s="1"/>
  <c r="BJ74" i="26"/>
  <c r="DJ112" i="26" s="1"/>
  <c r="BZ79" i="26"/>
  <c r="DP117" i="26" s="1"/>
  <c r="BJ72" i="26"/>
  <c r="DJ110" i="26" s="1"/>
  <c r="BZ82" i="26"/>
  <c r="DP120" i="26" s="1"/>
  <c r="AT70" i="26"/>
  <c r="DD108" i="26" s="1"/>
  <c r="BJ84" i="26"/>
  <c r="DJ122" i="26" s="1"/>
  <c r="BJ68" i="26"/>
  <c r="DJ106" i="26" s="1"/>
  <c r="HN51" i="26"/>
  <c r="HN42" i="26"/>
  <c r="CF111" i="26" s="1"/>
  <c r="HN45" i="26"/>
  <c r="CF114" i="26" s="1"/>
  <c r="N78" i="26"/>
  <c r="CR116" i="26" s="1"/>
  <c r="N89" i="26"/>
  <c r="CR127" i="26" s="1"/>
  <c r="AT68" i="26"/>
  <c r="DD106" i="26" s="1"/>
  <c r="HN53" i="26"/>
  <c r="HN52" i="26"/>
  <c r="CF121" i="26" s="1"/>
  <c r="HN46" i="26"/>
  <c r="CF115" i="26" s="1"/>
  <c r="N80" i="26"/>
  <c r="CR118" i="26" s="1"/>
  <c r="HN49" i="26"/>
  <c r="CF118" i="26" s="1"/>
  <c r="N88" i="26"/>
  <c r="CR126" i="26" s="1"/>
  <c r="HN55" i="26"/>
  <c r="N90" i="26"/>
  <c r="CR128" i="26" s="1"/>
  <c r="HN50" i="26"/>
  <c r="CF119" i="26" s="1"/>
  <c r="HN56" i="26"/>
  <c r="CF125" i="26" s="1"/>
  <c r="HN59" i="26"/>
  <c r="HN41" i="26"/>
  <c r="CF110" i="26" s="1"/>
  <c r="HN48" i="26"/>
  <c r="CF117" i="26" s="1"/>
  <c r="N81" i="26"/>
  <c r="CR119" i="26" s="1"/>
  <c r="N79" i="26"/>
  <c r="CR117" i="26" s="1"/>
  <c r="N85" i="26"/>
  <c r="CR123" i="26" s="1"/>
  <c r="N77" i="26"/>
  <c r="CR115" i="26" s="1"/>
  <c r="HN44" i="26"/>
  <c r="CF113" i="26" s="1"/>
  <c r="HN43" i="26"/>
  <c r="CF112" i="26" s="1"/>
  <c r="HN47" i="26"/>
  <c r="CF116" i="26" s="1"/>
  <c r="HN58" i="26"/>
  <c r="CF127" i="26" s="1"/>
  <c r="HN57" i="26"/>
  <c r="N91" i="26"/>
  <c r="CR129" i="26" s="1"/>
  <c r="N87" i="26"/>
  <c r="CR125" i="26" s="1"/>
  <c r="HN60" i="26"/>
  <c r="CF129" i="26" s="1"/>
  <c r="HN54" i="26"/>
  <c r="CF123" i="26" s="1"/>
  <c r="AD75" i="26"/>
  <c r="CX113" i="26" s="1"/>
  <c r="N86" i="26"/>
  <c r="CR124" i="26" s="1"/>
  <c r="DV55" i="26"/>
  <c r="BZ61" i="26"/>
  <c r="AD130" i="26" s="1"/>
  <c r="DF55" i="26"/>
  <c r="DF60" i="26"/>
  <c r="CP57" i="26"/>
  <c r="EL54" i="26"/>
  <c r="EL58" i="26"/>
  <c r="BZ62" i="26"/>
  <c r="AD131" i="26" s="1"/>
  <c r="DV59" i="26"/>
  <c r="EL47" i="26"/>
  <c r="EL59" i="26"/>
  <c r="EL57" i="26"/>
  <c r="BZ49" i="26"/>
  <c r="AD118" i="26" s="1"/>
  <c r="DF49" i="26"/>
  <c r="EL37" i="26"/>
  <c r="DF51" i="26"/>
  <c r="EL39" i="26"/>
  <c r="GH40" i="26"/>
  <c r="BT109" i="26" s="1"/>
  <c r="BJ85" i="26"/>
  <c r="DJ123" i="26" s="1"/>
  <c r="DL110" i="26"/>
  <c r="AD86" i="26"/>
  <c r="CX124" i="26" s="1"/>
  <c r="BJ70" i="26"/>
  <c r="DJ108" i="26" s="1"/>
  <c r="AT74" i="26"/>
  <c r="DD112" i="26" s="1"/>
  <c r="DV39" i="26"/>
  <c r="DF42" i="26"/>
  <c r="GX46" i="26"/>
  <c r="BZ115" i="26" s="1"/>
  <c r="GX40" i="26"/>
  <c r="BZ109" i="26" s="1"/>
  <c r="GX50" i="26"/>
  <c r="BZ119" i="26" s="1"/>
  <c r="AD73" i="26"/>
  <c r="CX111" i="26" s="1"/>
  <c r="BZ84" i="26"/>
  <c r="DP122" i="26" s="1"/>
  <c r="DV53" i="26"/>
  <c r="EL44" i="26"/>
  <c r="BZ70" i="26"/>
  <c r="DP108" i="26" s="1"/>
  <c r="BZ83" i="26"/>
  <c r="DP121" i="26" s="1"/>
  <c r="BJ75" i="26"/>
  <c r="DJ113" i="26" s="1"/>
  <c r="BZ78" i="26"/>
  <c r="DP116" i="26" s="1"/>
  <c r="BZ74" i="26"/>
  <c r="DP112" i="26" s="1"/>
  <c r="AD91" i="26"/>
  <c r="CX129" i="26" s="1"/>
  <c r="DV47" i="26"/>
  <c r="AT72" i="26"/>
  <c r="DD110" i="26" s="1"/>
  <c r="EL49" i="26"/>
  <c r="BZ72" i="26"/>
  <c r="DP110" i="26" s="1"/>
  <c r="HN40" i="26"/>
  <c r="CF109" i="26" s="1"/>
  <c r="AT82" i="26"/>
  <c r="DD120" i="26" s="1"/>
  <c r="BZ85" i="26"/>
  <c r="DP123" i="26" s="1"/>
  <c r="GX47" i="26"/>
  <c r="BZ116" i="26" s="1"/>
  <c r="DF45" i="26"/>
  <c r="AD79" i="26"/>
  <c r="CX117" i="26" s="1"/>
  <c r="AD68" i="26"/>
  <c r="CX106" i="26" s="1"/>
  <c r="BZ76" i="26"/>
  <c r="DP114" i="26" s="1"/>
  <c r="GH37" i="26"/>
  <c r="BT106" i="26" s="1"/>
  <c r="N76" i="26"/>
  <c r="CR114" i="26" s="1"/>
  <c r="DF47" i="26"/>
  <c r="GH38" i="26"/>
  <c r="BT107" i="26" s="1"/>
  <c r="DV41" i="26"/>
  <c r="GH60" i="26"/>
  <c r="BT129" i="26" s="1"/>
  <c r="GH41" i="26"/>
  <c r="BT110" i="26" s="1"/>
  <c r="GH53" i="26"/>
  <c r="GX38" i="26"/>
  <c r="BZ107" i="26" s="1"/>
  <c r="GX44" i="26"/>
  <c r="BZ113" i="26" s="1"/>
  <c r="N75" i="26"/>
  <c r="CR113" i="26" s="1"/>
  <c r="AT69" i="26"/>
  <c r="DD107" i="26" s="1"/>
  <c r="BJ79" i="26"/>
  <c r="DJ117" i="26" s="1"/>
  <c r="BZ92" i="26"/>
  <c r="DP130" i="26" s="1"/>
  <c r="N73" i="26"/>
  <c r="CR111" i="26" s="1"/>
  <c r="DF59" i="26"/>
  <c r="GH46" i="26"/>
  <c r="BT115" i="26" s="1"/>
  <c r="GH42" i="26"/>
  <c r="BT111" i="26" s="1"/>
  <c r="GX37" i="26"/>
  <c r="BZ106" i="26" s="1"/>
  <c r="GX45" i="26"/>
  <c r="BZ114" i="26" s="1"/>
  <c r="N71" i="26"/>
  <c r="CR109" i="26" s="1"/>
  <c r="N72" i="26"/>
  <c r="CR110" i="26" s="1"/>
  <c r="AD76" i="26"/>
  <c r="CX114" i="26" s="1"/>
  <c r="AD87" i="26"/>
  <c r="CX125" i="26" s="1"/>
  <c r="AD81" i="26"/>
  <c r="CX119" i="26" s="1"/>
  <c r="AD72" i="26"/>
  <c r="CX110" i="26" s="1"/>
  <c r="AT93" i="26"/>
  <c r="DD131" i="26" s="1"/>
  <c r="AT71" i="26"/>
  <c r="DD109" i="26" s="1"/>
  <c r="AT78" i="26"/>
  <c r="DD116" i="26" s="1"/>
  <c r="AT88" i="26"/>
  <c r="DD126" i="26" s="1"/>
  <c r="BJ87" i="26"/>
  <c r="DJ125" i="26" s="1"/>
  <c r="BJ77" i="26"/>
  <c r="DJ115" i="26" s="1"/>
  <c r="BJ69" i="26"/>
  <c r="DJ107" i="26" s="1"/>
  <c r="BZ71" i="26"/>
  <c r="DP109" i="26" s="1"/>
  <c r="BZ69" i="26"/>
  <c r="DP107" i="26" s="1"/>
  <c r="BZ91" i="26"/>
  <c r="DP129" i="26" s="1"/>
  <c r="BZ87" i="26"/>
  <c r="DP125" i="26" s="1"/>
  <c r="GH43" i="26"/>
  <c r="BT112" i="26" s="1"/>
  <c r="GH52" i="26"/>
  <c r="BT121" i="26" s="1"/>
  <c r="AD82" i="26"/>
  <c r="CX120" i="26" s="1"/>
  <c r="AT76" i="26"/>
  <c r="DD114" i="26" s="1"/>
  <c r="GH59" i="26"/>
  <c r="GX51" i="26"/>
  <c r="AD90" i="26"/>
  <c r="CX128" i="26" s="1"/>
  <c r="AD71" i="26"/>
  <c r="CX109" i="26" s="1"/>
  <c r="DF39" i="26"/>
  <c r="DV43" i="26"/>
  <c r="DF58" i="26"/>
  <c r="GH57" i="26"/>
  <c r="GH49" i="26"/>
  <c r="BT118" i="26" s="1"/>
  <c r="GH58" i="26"/>
  <c r="BT127" i="26" s="1"/>
  <c r="GH47" i="26"/>
  <c r="BT116" i="26" s="1"/>
  <c r="GH48" i="26"/>
  <c r="BT117" i="26" s="1"/>
  <c r="GX49" i="26"/>
  <c r="BZ118" i="26" s="1"/>
  <c r="GX41" i="26"/>
  <c r="BZ110" i="26" s="1"/>
  <c r="AD84" i="26"/>
  <c r="CX122" i="26" s="1"/>
  <c r="AD85" i="26"/>
  <c r="CX123" i="26" s="1"/>
  <c r="AD69" i="26"/>
  <c r="CX107" i="26" s="1"/>
  <c r="AD92" i="26"/>
  <c r="AT73" i="26"/>
  <c r="DD111" i="26" s="1"/>
  <c r="AT79" i="26"/>
  <c r="DD117" i="26" s="1"/>
  <c r="AT91" i="26"/>
  <c r="DD129" i="26" s="1"/>
  <c r="AT89" i="26"/>
  <c r="DD127" i="26" s="1"/>
  <c r="BJ89" i="26"/>
  <c r="DJ127" i="26" s="1"/>
  <c r="BJ82" i="26"/>
  <c r="DJ120" i="26" s="1"/>
  <c r="BJ86" i="26"/>
  <c r="DJ124" i="26" s="1"/>
  <c r="BJ90" i="26"/>
  <c r="DJ128" i="26" s="1"/>
  <c r="BJ71" i="26"/>
  <c r="DJ109" i="26" s="1"/>
  <c r="BZ77" i="26"/>
  <c r="DP115" i="26" s="1"/>
  <c r="BZ81" i="26"/>
  <c r="DP119" i="26" s="1"/>
  <c r="N74" i="26"/>
  <c r="CR112" i="26" s="1"/>
  <c r="GH44" i="26"/>
  <c r="BT113" i="26" s="1"/>
  <c r="AD77" i="26"/>
  <c r="CX115" i="26" s="1"/>
  <c r="HN37" i="26"/>
  <c r="CF106" i="26" s="1"/>
  <c r="AT85" i="26"/>
  <c r="DD123" i="26" s="1"/>
  <c r="BJ91" i="26"/>
  <c r="DJ129" i="26" s="1"/>
  <c r="BZ75" i="26"/>
  <c r="DP113" i="26" s="1"/>
  <c r="BZ88" i="26"/>
  <c r="DP126" i="26" s="1"/>
  <c r="GX42" i="26"/>
  <c r="BZ111" i="26" s="1"/>
  <c r="GX48" i="26"/>
  <c r="BZ117" i="26" s="1"/>
  <c r="GX43" i="26"/>
  <c r="BZ112" i="26" s="1"/>
  <c r="GX39" i="26"/>
  <c r="BZ108" i="26" s="1"/>
  <c r="HN39" i="26"/>
  <c r="CF108" i="26" s="1"/>
  <c r="AD70" i="26"/>
  <c r="CX108" i="26" s="1"/>
  <c r="AT84" i="26"/>
  <c r="DD122" i="26" s="1"/>
  <c r="AT81" i="26"/>
  <c r="DD119" i="26" s="1"/>
  <c r="BJ88" i="26"/>
  <c r="DJ126" i="26" s="1"/>
  <c r="BZ80" i="26"/>
  <c r="DP118" i="26" s="1"/>
  <c r="BZ68" i="26"/>
  <c r="DP106" i="26" s="1"/>
  <c r="BJ92" i="26"/>
  <c r="DJ130" i="26" s="1"/>
  <c r="GH55" i="26"/>
  <c r="GH54" i="26"/>
  <c r="BT123" i="26" s="1"/>
  <c r="GH51" i="26"/>
  <c r="AD74" i="26"/>
  <c r="CX112" i="26" s="1"/>
  <c r="AT92" i="26"/>
  <c r="EL51" i="26"/>
  <c r="HN38" i="26"/>
  <c r="CF107" i="26" s="1"/>
  <c r="N69" i="26"/>
  <c r="CR107" i="26" s="1"/>
  <c r="AD78" i="26"/>
  <c r="CX116" i="26" s="1"/>
  <c r="BJ83" i="26"/>
  <c r="DJ121" i="26" s="1"/>
  <c r="BJ80" i="26"/>
  <c r="DJ118" i="26" s="1"/>
  <c r="GH56" i="26"/>
  <c r="BT125" i="26" s="1"/>
  <c r="GH39" i="26"/>
  <c r="BT108" i="26" s="1"/>
  <c r="GH50" i="26"/>
  <c r="BT119" i="26" s="1"/>
  <c r="GH45" i="26"/>
  <c r="BT114" i="26" s="1"/>
  <c r="N70" i="26"/>
  <c r="CR108" i="26" s="1"/>
  <c r="AD83" i="26"/>
  <c r="CX121" i="26" s="1"/>
  <c r="AD88" i="26"/>
  <c r="CX126" i="26" s="1"/>
  <c r="AD89" i="26"/>
  <c r="CX127" i="26" s="1"/>
  <c r="AD80" i="26"/>
  <c r="CX118" i="26" s="1"/>
  <c r="AT80" i="26"/>
  <c r="DD118" i="26" s="1"/>
  <c r="AT87" i="26"/>
  <c r="DD125" i="26" s="1"/>
  <c r="AT83" i="26"/>
  <c r="DD121" i="26" s="1"/>
  <c r="AT86" i="26"/>
  <c r="DD124" i="26" s="1"/>
  <c r="AT75" i="26"/>
  <c r="DD113" i="26" s="1"/>
  <c r="BJ78" i="26"/>
  <c r="DJ116" i="26" s="1"/>
  <c r="BJ81" i="26"/>
  <c r="DJ119" i="26" s="1"/>
  <c r="BJ73" i="26"/>
  <c r="DJ111" i="26" s="1"/>
  <c r="BZ90" i="26"/>
  <c r="BZ86" i="26"/>
  <c r="DP124" i="26" s="1"/>
  <c r="BZ73" i="26"/>
  <c r="DP111" i="26" s="1"/>
  <c r="N68" i="26"/>
  <c r="CR106" i="26" s="1"/>
  <c r="EL60" i="26"/>
  <c r="DF40" i="26"/>
  <c r="DF46" i="26"/>
  <c r="DF50" i="26"/>
  <c r="EL61" i="26"/>
  <c r="AD59" i="26"/>
  <c r="L128" i="26" s="1"/>
  <c r="AT57" i="26"/>
  <c r="R126" i="26" s="1"/>
  <c r="FR45" i="26"/>
  <c r="BN114" i="26" s="1"/>
  <c r="DV56" i="26"/>
  <c r="DV51" i="26"/>
  <c r="BZ60" i="26"/>
  <c r="AD129" i="26" s="1"/>
  <c r="DF57" i="26"/>
  <c r="EL46" i="26"/>
  <c r="BZ50" i="26"/>
  <c r="AD119" i="26" s="1"/>
  <c r="EL52" i="26"/>
  <c r="FR37" i="26"/>
  <c r="BN106" i="26" s="1"/>
  <c r="DV48" i="26"/>
  <c r="DV61" i="26"/>
  <c r="FR58" i="26"/>
  <c r="BN127" i="26" s="1"/>
  <c r="DV60" i="26"/>
  <c r="DF41" i="26"/>
  <c r="BZ51" i="26"/>
  <c r="AD120" i="26" s="1"/>
  <c r="DV42" i="26"/>
  <c r="DF43" i="26"/>
  <c r="DV45" i="26"/>
  <c r="DF56" i="26"/>
  <c r="DV37" i="26"/>
  <c r="DF48" i="26"/>
  <c r="DV49" i="26"/>
  <c r="EL43" i="26"/>
  <c r="BZ52" i="26"/>
  <c r="AD121" i="26" s="1"/>
  <c r="EL53" i="26"/>
  <c r="DF53" i="26"/>
  <c r="CP62" i="26"/>
  <c r="EL42" i="26"/>
  <c r="DV57" i="26"/>
  <c r="EL38" i="26"/>
  <c r="BZ56" i="26"/>
  <c r="AD125" i="26" s="1"/>
  <c r="EL41" i="26"/>
  <c r="FR38" i="26"/>
  <c r="BN107" i="26" s="1"/>
  <c r="DV54" i="26"/>
  <c r="DV40" i="26"/>
  <c r="EL50" i="26"/>
  <c r="DV38" i="26"/>
  <c r="EL55" i="26"/>
  <c r="EL45" i="26"/>
  <c r="EL48" i="26"/>
  <c r="AT61" i="26"/>
  <c r="R130" i="26" s="1"/>
  <c r="AD55" i="26"/>
  <c r="L124" i="26" s="1"/>
  <c r="BJ55" i="26"/>
  <c r="X124" i="26" s="1"/>
  <c r="BJ62" i="26"/>
  <c r="X131" i="26" s="1"/>
  <c r="BZ55" i="26"/>
  <c r="AD124" i="26" s="1"/>
  <c r="DV50" i="26"/>
  <c r="DV62" i="26"/>
  <c r="DV52" i="26"/>
  <c r="EL40" i="26"/>
  <c r="EL56" i="26"/>
  <c r="FR46" i="26"/>
  <c r="BN115" i="26" s="1"/>
  <c r="FR40" i="26"/>
  <c r="BN109" i="26" s="1"/>
  <c r="FR52" i="26"/>
  <c r="BN121" i="26" s="1"/>
  <c r="AD57" i="26"/>
  <c r="L126" i="26" s="1"/>
  <c r="BJ60" i="26"/>
  <c r="X129" i="26" s="1"/>
  <c r="FR54" i="26"/>
  <c r="BN123" i="26" s="1"/>
  <c r="FR42" i="26"/>
  <c r="BN111" i="26" s="1"/>
  <c r="N122" i="26"/>
  <c r="AD54" i="26"/>
  <c r="L123" i="26" s="1"/>
  <c r="DF54" i="26"/>
  <c r="AD60" i="26"/>
  <c r="L129" i="26" s="1"/>
  <c r="AD61" i="26"/>
  <c r="L130" i="26" s="1"/>
  <c r="AT60" i="26"/>
  <c r="R129" i="26" s="1"/>
  <c r="BJ57" i="26"/>
  <c r="X126" i="26" s="1"/>
  <c r="BJ53" i="26"/>
  <c r="X122" i="26" s="1"/>
  <c r="BJ61" i="26"/>
  <c r="X130" i="26" s="1"/>
  <c r="BZ48" i="26"/>
  <c r="AD117" i="26" s="1"/>
  <c r="BZ59" i="26"/>
  <c r="AD128" i="26" s="1"/>
  <c r="FR56" i="26"/>
  <c r="BN125" i="26" s="1"/>
  <c r="FR49" i="26"/>
  <c r="BN118" i="26" s="1"/>
  <c r="AT54" i="26"/>
  <c r="R123" i="26" s="1"/>
  <c r="DF44" i="26"/>
  <c r="DF52" i="26"/>
  <c r="DV46" i="26"/>
  <c r="DV44" i="26"/>
  <c r="FR48" i="26"/>
  <c r="BN117" i="26" s="1"/>
  <c r="FR47" i="26"/>
  <c r="BN116" i="26" s="1"/>
  <c r="AD53" i="26"/>
  <c r="L122" i="26" s="1"/>
  <c r="AT56" i="26"/>
  <c r="R125" i="26" s="1"/>
  <c r="AT58" i="26"/>
  <c r="R127" i="26" s="1"/>
  <c r="BJ59" i="26"/>
  <c r="X128" i="26" s="1"/>
  <c r="BJ56" i="26"/>
  <c r="X125" i="26" s="1"/>
  <c r="FR53" i="26"/>
  <c r="FR50" i="26"/>
  <c r="BN119" i="26" s="1"/>
  <c r="FR59" i="26"/>
  <c r="FR55" i="26"/>
  <c r="AD58" i="26"/>
  <c r="L127" i="26" s="1"/>
  <c r="DV58" i="26"/>
  <c r="AD62" i="26"/>
  <c r="L131" i="26" s="1"/>
  <c r="AT55" i="26"/>
  <c r="R124" i="26" s="1"/>
  <c r="AT59" i="26"/>
  <c r="R128" i="26" s="1"/>
  <c r="AT62" i="26"/>
  <c r="R131" i="26" s="1"/>
  <c r="BJ54" i="26"/>
  <c r="X123" i="26" s="1"/>
  <c r="BJ58" i="26"/>
  <c r="X127" i="26" s="1"/>
  <c r="BZ54" i="26"/>
  <c r="AD123" i="26" s="1"/>
  <c r="BZ57" i="26"/>
  <c r="AD126" i="26" s="1"/>
  <c r="BZ58" i="26"/>
  <c r="AD127" i="26" s="1"/>
  <c r="FR57" i="26"/>
  <c r="FR39" i="26"/>
  <c r="BN108" i="26" s="1"/>
  <c r="FR41" i="26"/>
  <c r="BN110" i="26" s="1"/>
  <c r="AD56" i="26"/>
  <c r="L125" i="26" s="1"/>
  <c r="BZ53" i="26"/>
  <c r="AD122" i="26" s="1"/>
  <c r="FR43" i="26"/>
  <c r="BN112" i="26" s="1"/>
  <c r="FR60" i="26"/>
  <c r="BN129" i="26" s="1"/>
  <c r="FR51" i="26"/>
  <c r="FR44" i="26"/>
  <c r="BN113" i="26" s="1"/>
  <c r="L29" i="28"/>
  <c r="K25" i="28"/>
  <c r="L14" i="28"/>
  <c r="E23" i="28"/>
  <c r="D21" i="28"/>
  <c r="D18" i="28"/>
  <c r="D31" i="28"/>
  <c r="P12" i="28"/>
  <c r="P20" i="28"/>
  <c r="P29" i="28"/>
  <c r="P32" i="28"/>
  <c r="P14" i="28"/>
  <c r="V24" i="28"/>
  <c r="V7" i="28"/>
  <c r="V28" i="28"/>
  <c r="V21" i="28"/>
  <c r="D55" i="28"/>
  <c r="D58" i="28"/>
  <c r="D59" i="28"/>
  <c r="D57" i="28"/>
  <c r="X107" i="28"/>
  <c r="B23" i="28"/>
  <c r="H19" i="28"/>
  <c r="H25" i="28"/>
  <c r="H8" i="28"/>
  <c r="H26" i="28"/>
  <c r="J32" i="28"/>
  <c r="J27" i="28"/>
  <c r="X108" i="28"/>
  <c r="L27" i="28"/>
  <c r="E14" i="28"/>
  <c r="F15" i="28"/>
  <c r="E24" i="28"/>
  <c r="E30" i="28"/>
  <c r="D8" i="28"/>
  <c r="E17" i="28"/>
  <c r="P7" i="28"/>
  <c r="P23" i="28"/>
  <c r="P9" i="28"/>
  <c r="P15" i="28"/>
  <c r="P17" i="28"/>
  <c r="F28" i="28"/>
  <c r="V11" i="28"/>
  <c r="D54" i="28"/>
  <c r="D41" i="28"/>
  <c r="D48" i="28"/>
  <c r="D38" i="28"/>
  <c r="X124" i="28"/>
  <c r="W101" i="28"/>
  <c r="W125" i="28"/>
  <c r="X121" i="28"/>
  <c r="W118" i="28"/>
  <c r="E28" i="28"/>
  <c r="E16" i="28"/>
  <c r="J31" i="28"/>
  <c r="J21" i="28"/>
  <c r="W108" i="28"/>
  <c r="H32" i="28"/>
  <c r="H27" i="28"/>
  <c r="K20" i="28"/>
  <c r="K22" i="28"/>
  <c r="E26" i="28"/>
  <c r="F30" i="28"/>
  <c r="D30" i="28"/>
  <c r="D29" i="28"/>
  <c r="D17" i="28"/>
  <c r="F32" i="28"/>
  <c r="P21" i="28"/>
  <c r="P10" i="28"/>
  <c r="P31" i="28"/>
  <c r="P27" i="28"/>
  <c r="V16" i="28"/>
  <c r="V25" i="28"/>
  <c r="V15" i="28"/>
  <c r="V32" i="28"/>
  <c r="D56" i="28"/>
  <c r="D62" i="28"/>
  <c r="D53" i="28"/>
  <c r="D63" i="28"/>
  <c r="W121" i="28"/>
  <c r="W105" i="28"/>
  <c r="B28" i="28"/>
  <c r="B16" i="28"/>
  <c r="H31" i="28"/>
  <c r="H21" i="28"/>
  <c r="X105" i="28"/>
  <c r="J23" i="28"/>
  <c r="K9" i="28"/>
  <c r="L32" i="28"/>
  <c r="E21" i="28"/>
  <c r="F18" i="28"/>
  <c r="D20" i="28"/>
  <c r="F24" i="28"/>
  <c r="D27" i="28"/>
  <c r="D32" i="28"/>
  <c r="P13" i="28"/>
  <c r="V13" i="28"/>
  <c r="V19" i="28"/>
  <c r="V8" i="28"/>
  <c r="V9" i="28"/>
  <c r="V30" i="28"/>
  <c r="D45" i="28"/>
  <c r="D50" i="28"/>
  <c r="W123" i="28"/>
  <c r="X109" i="28"/>
  <c r="W119" i="28"/>
  <c r="X119" i="28"/>
  <c r="W107" i="28"/>
  <c r="X111" i="28"/>
  <c r="E25" i="28"/>
  <c r="J17" i="28"/>
  <c r="J14" i="28"/>
  <c r="J9" i="28"/>
  <c r="J22" i="28"/>
  <c r="H23" i="28"/>
  <c r="L30" i="28"/>
  <c r="L31" i="28"/>
  <c r="E22" i="28"/>
  <c r="F17" i="28"/>
  <c r="D13" i="28"/>
  <c r="D23" i="28"/>
  <c r="D24" i="28"/>
  <c r="D28" i="28"/>
  <c r="P24" i="28"/>
  <c r="P8" i="28"/>
  <c r="P18" i="28"/>
  <c r="V18" i="28"/>
  <c r="V17" i="28"/>
  <c r="V23" i="28"/>
  <c r="V22" i="28"/>
  <c r="V14" i="28"/>
  <c r="D44" i="28"/>
  <c r="D49" i="28"/>
  <c r="D46" i="28"/>
  <c r="D52" i="28"/>
  <c r="D61" i="28"/>
  <c r="F16" i="28"/>
  <c r="X125" i="28"/>
  <c r="X118" i="28"/>
  <c r="W111" i="28"/>
  <c r="B25" i="28"/>
  <c r="H17" i="28"/>
  <c r="H14" i="28"/>
  <c r="H9" i="28"/>
  <c r="H22" i="28"/>
  <c r="J10" i="28"/>
  <c r="X117" i="28"/>
  <c r="E20" i="28"/>
  <c r="F29" i="28"/>
  <c r="D26" i="28"/>
  <c r="D7" i="28"/>
  <c r="D9" i="28"/>
  <c r="D11" i="28"/>
  <c r="P25" i="28"/>
  <c r="P16" i="28"/>
  <c r="P19" i="28"/>
  <c r="V12" i="28"/>
  <c r="V26" i="28"/>
  <c r="D43" i="28"/>
  <c r="F25" i="28"/>
  <c r="X102" i="28"/>
  <c r="W112" i="28"/>
  <c r="X106" i="28"/>
  <c r="W106" i="28"/>
  <c r="X101" i="28"/>
  <c r="X120" i="28"/>
  <c r="E31" i="28"/>
  <c r="J29" i="28"/>
  <c r="J20" i="28"/>
  <c r="J30" i="28"/>
  <c r="J18" i="28"/>
  <c r="H10" i="28"/>
  <c r="W117" i="28"/>
  <c r="Q103" i="28"/>
  <c r="L12" i="28"/>
  <c r="K21" i="28"/>
  <c r="F10" i="28"/>
  <c r="F9" i="28"/>
  <c r="E29" i="28"/>
  <c r="D10" i="28"/>
  <c r="D14" i="28"/>
  <c r="D16" i="28"/>
  <c r="D12" i="28"/>
  <c r="P22" i="28"/>
  <c r="P30" i="28"/>
  <c r="V20" i="28"/>
  <c r="V27" i="28"/>
  <c r="V31" i="28"/>
  <c r="D51" i="28"/>
  <c r="D42" i="28"/>
  <c r="D60" i="28"/>
  <c r="D40" i="28"/>
  <c r="D47" i="28"/>
  <c r="F31" i="28"/>
  <c r="W120" i="28"/>
  <c r="W115" i="28"/>
  <c r="B31" i="28"/>
  <c r="H29" i="28"/>
  <c r="H20" i="28"/>
  <c r="H30" i="28"/>
  <c r="H18" i="28"/>
  <c r="J12" i="28"/>
  <c r="X113" i="28"/>
  <c r="L18" i="28"/>
  <c r="L26" i="28"/>
  <c r="L19" i="28"/>
  <c r="F13" i="28"/>
  <c r="E12" i="28"/>
  <c r="D22" i="28"/>
  <c r="D15" i="28"/>
  <c r="D19" i="28"/>
  <c r="D25" i="28"/>
  <c r="P26" i="28"/>
  <c r="P28" i="28"/>
  <c r="P11" i="28"/>
  <c r="V29" i="28"/>
  <c r="V10" i="28"/>
  <c r="D39" i="28"/>
  <c r="X103" i="28"/>
  <c r="W104" i="28"/>
  <c r="X115" i="28"/>
  <c r="X110" i="28"/>
  <c r="F23" i="28"/>
  <c r="J19" i="28"/>
  <c r="J25" i="28"/>
  <c r="J8" i="28"/>
  <c r="J26" i="28"/>
  <c r="H12" i="28"/>
  <c r="W113" i="28"/>
  <c r="DF37" i="26"/>
  <c r="DF38" i="26"/>
  <c r="CP44" i="26"/>
  <c r="CP42" i="26"/>
  <c r="CP48" i="26"/>
  <c r="BZ42" i="26"/>
  <c r="AD111" i="26" s="1"/>
  <c r="CP39" i="26"/>
  <c r="CP54" i="26"/>
  <c r="CP61" i="26"/>
  <c r="CP59" i="26"/>
  <c r="BJ45" i="26"/>
  <c r="X114" i="26" s="1"/>
  <c r="CP60" i="26"/>
  <c r="CP38" i="26"/>
  <c r="CP52" i="26"/>
  <c r="CP46" i="26"/>
  <c r="BJ47" i="26"/>
  <c r="X116" i="26" s="1"/>
  <c r="CP56" i="26"/>
  <c r="CP40" i="26"/>
  <c r="CP43" i="26"/>
  <c r="CP58" i="26"/>
  <c r="CP37" i="26"/>
  <c r="CP41" i="26"/>
  <c r="CP45" i="26"/>
  <c r="CP51" i="26"/>
  <c r="CP55" i="26"/>
  <c r="AJ124" i="26" s="1"/>
  <c r="CP50" i="26"/>
  <c r="CP47" i="26"/>
  <c r="BZ46" i="26"/>
  <c r="AD115" i="26" s="1"/>
  <c r="BJ50" i="26"/>
  <c r="X119" i="26" s="1"/>
  <c r="CP49" i="26"/>
  <c r="BJ40" i="26"/>
  <c r="X109" i="26" s="1"/>
  <c r="BZ40" i="26"/>
  <c r="AD109" i="26" s="1"/>
  <c r="BZ47" i="26"/>
  <c r="AD116" i="26" s="1"/>
  <c r="CP53" i="26"/>
  <c r="BZ45" i="26"/>
  <c r="AD114" i="26" s="1"/>
  <c r="BZ38" i="26"/>
  <c r="AD107" i="26" s="1"/>
  <c r="BJ43" i="26"/>
  <c r="X112" i="26" s="1"/>
  <c r="BZ37" i="26"/>
  <c r="AD106" i="26" s="1"/>
  <c r="BJ51" i="26"/>
  <c r="X120" i="26" s="1"/>
  <c r="BZ43" i="26"/>
  <c r="AD112" i="26" s="1"/>
  <c r="BJ39" i="26"/>
  <c r="X108" i="26" s="1"/>
  <c r="BZ41" i="26"/>
  <c r="AD110" i="26" s="1"/>
  <c r="BJ37" i="26"/>
  <c r="X106" i="26" s="1"/>
  <c r="BZ39" i="26"/>
  <c r="AD108" i="26" s="1"/>
  <c r="BZ44" i="26"/>
  <c r="AD113" i="26" s="1"/>
  <c r="BJ38" i="26"/>
  <c r="X107" i="26" s="1"/>
  <c r="BJ44" i="26"/>
  <c r="X113" i="26" s="1"/>
  <c r="BJ42" i="26"/>
  <c r="X111" i="26" s="1"/>
  <c r="BJ49" i="26"/>
  <c r="X118" i="26" s="1"/>
  <c r="BJ41" i="26"/>
  <c r="X110" i="26" s="1"/>
  <c r="AT37" i="26"/>
  <c r="R106" i="26" s="1"/>
  <c r="AT44" i="26"/>
  <c r="R113" i="26" s="1"/>
  <c r="BJ46" i="26"/>
  <c r="X115" i="26" s="1"/>
  <c r="AT39" i="26"/>
  <c r="R108" i="26" s="1"/>
  <c r="AT43" i="26"/>
  <c r="R112" i="26" s="1"/>
  <c r="AT49" i="26"/>
  <c r="R118" i="26" s="1"/>
  <c r="BJ48" i="26"/>
  <c r="X117" i="26" s="1"/>
  <c r="BJ52" i="26"/>
  <c r="X121" i="26" s="1"/>
  <c r="AT42" i="26"/>
  <c r="R111" i="26" s="1"/>
  <c r="AT51" i="26"/>
  <c r="R120" i="26" s="1"/>
  <c r="AT46" i="26"/>
  <c r="R115" i="26" s="1"/>
  <c r="AT48" i="26"/>
  <c r="R117" i="26" s="1"/>
  <c r="AT38" i="26"/>
  <c r="R107" i="26" s="1"/>
  <c r="N41" i="26"/>
  <c r="F110" i="26" s="1"/>
  <c r="AT50" i="26"/>
  <c r="R119" i="26" s="1"/>
  <c r="AT40" i="26"/>
  <c r="R109" i="26" s="1"/>
  <c r="AT47" i="26"/>
  <c r="R116" i="26" s="1"/>
  <c r="AT41" i="26"/>
  <c r="R110" i="26" s="1"/>
  <c r="N43" i="26"/>
  <c r="F112" i="26" s="1"/>
  <c r="AT45" i="26"/>
  <c r="R114" i="26" s="1"/>
  <c r="AT53" i="26"/>
  <c r="R122" i="26" s="1"/>
  <c r="AT52" i="26"/>
  <c r="R121" i="26" s="1"/>
  <c r="N51" i="26"/>
  <c r="F120" i="26" s="1"/>
  <c r="N49" i="26"/>
  <c r="F118" i="26" s="1"/>
  <c r="N57" i="26"/>
  <c r="F126" i="26" s="1"/>
  <c r="N55" i="26"/>
  <c r="F124" i="26" s="1"/>
  <c r="N62" i="26"/>
  <c r="F131" i="26" s="1"/>
  <c r="N56" i="26"/>
  <c r="F125" i="26" s="1"/>
  <c r="N53" i="26"/>
  <c r="F122" i="26" s="1"/>
  <c r="N48" i="26"/>
  <c r="F117" i="26" s="1"/>
  <c r="N54" i="26"/>
  <c r="F123" i="26" s="1"/>
  <c r="N45" i="26"/>
  <c r="F114" i="26" s="1"/>
  <c r="N58" i="26"/>
  <c r="F127" i="26" s="1"/>
  <c r="N44" i="26"/>
  <c r="F113" i="26" s="1"/>
  <c r="N40" i="26"/>
  <c r="F109" i="26" s="1"/>
  <c r="N60" i="26"/>
  <c r="F129" i="26" s="1"/>
  <c r="N37" i="26"/>
  <c r="F106" i="26" s="1"/>
  <c r="N38" i="26"/>
  <c r="F107" i="26" s="1"/>
  <c r="N61" i="26"/>
  <c r="F130" i="26" s="1"/>
  <c r="H110" i="26"/>
  <c r="N52" i="26"/>
  <c r="F121" i="26" s="1"/>
  <c r="N50" i="26"/>
  <c r="F119" i="26" s="1"/>
  <c r="N59" i="26"/>
  <c r="F128" i="26" s="1"/>
  <c r="N46" i="26"/>
  <c r="F115" i="26" s="1"/>
  <c r="N47" i="26"/>
  <c r="F116" i="26" s="1"/>
  <c r="N39" i="26"/>
  <c r="F108" i="26" s="1"/>
  <c r="N42" i="26"/>
  <c r="F111" i="26" s="1"/>
  <c r="HY65" i="26"/>
  <c r="HY71" i="26" s="1"/>
  <c r="H106" i="26"/>
  <c r="H126" i="26"/>
  <c r="H107" i="26"/>
  <c r="AD40" i="26"/>
  <c r="L109" i="26" s="1"/>
  <c r="AD38" i="26"/>
  <c r="L107" i="26" s="1"/>
  <c r="AD41" i="26"/>
  <c r="L110" i="26" s="1"/>
  <c r="N116" i="26"/>
  <c r="AD46" i="26"/>
  <c r="L115" i="26" s="1"/>
  <c r="AD43" i="26"/>
  <c r="L112" i="26" s="1"/>
  <c r="AD42" i="26"/>
  <c r="L111" i="26" s="1"/>
  <c r="AD49" i="26"/>
  <c r="L118" i="26" s="1"/>
  <c r="AD52" i="26"/>
  <c r="L121" i="26" s="1"/>
  <c r="AD47" i="26"/>
  <c r="L116" i="26" s="1"/>
  <c r="AD50" i="26"/>
  <c r="L119" i="26" s="1"/>
  <c r="AD44" i="26"/>
  <c r="L113" i="26" s="1"/>
  <c r="AD48" i="26"/>
  <c r="L117" i="26" s="1"/>
  <c r="AD39" i="26"/>
  <c r="L108" i="26" s="1"/>
  <c r="AD37" i="26"/>
  <c r="L106" i="26" s="1"/>
  <c r="AD51" i="26"/>
  <c r="L120" i="26" s="1"/>
  <c r="N113" i="26"/>
  <c r="AD45" i="26"/>
  <c r="L114" i="26" s="1"/>
  <c r="Y44" i="29"/>
  <c r="Y36" i="29"/>
  <c r="Y33" i="29"/>
  <c r="X42" i="29"/>
  <c r="X41" i="29"/>
  <c r="Y39" i="29"/>
  <c r="Y43" i="29"/>
  <c r="Y28" i="29"/>
  <c r="X40" i="29"/>
  <c r="X29" i="29"/>
  <c r="X24" i="29"/>
  <c r="Y46" i="29"/>
  <c r="X35" i="29"/>
  <c r="X45" i="29"/>
  <c r="X34" i="29"/>
  <c r="X21" i="29"/>
  <c r="X32" i="29"/>
  <c r="Y31" i="29"/>
  <c r="X25" i="29"/>
  <c r="Y30" i="29"/>
  <c r="X37" i="29"/>
  <c r="X27" i="29"/>
  <c r="X22" i="29"/>
  <c r="Y26" i="29"/>
  <c r="Y38" i="29"/>
  <c r="F19" i="28"/>
  <c r="L8" i="28"/>
  <c r="K31" i="28"/>
  <c r="F21" i="28"/>
  <c r="J41" i="28"/>
  <c r="J49" i="28"/>
  <c r="J50" i="28"/>
  <c r="H51" i="28"/>
  <c r="J55" i="28"/>
  <c r="H60" i="28"/>
  <c r="E155" i="28"/>
  <c r="E144" i="28"/>
  <c r="W132" i="28"/>
  <c r="F50" i="28"/>
  <c r="Q82" i="28"/>
  <c r="F125" i="28"/>
  <c r="W79" i="28"/>
  <c r="K156" i="28"/>
  <c r="W83" i="28"/>
  <c r="K125" i="28"/>
  <c r="Q32" i="28"/>
  <c r="Q144" i="28"/>
  <c r="R8" i="28"/>
  <c r="L107" i="28"/>
  <c r="Q23" i="28"/>
  <c r="Q76" i="28"/>
  <c r="Q10" i="28"/>
  <c r="F54" i="28"/>
  <c r="X72" i="28"/>
  <c r="F51" i="28"/>
  <c r="R27" i="28"/>
  <c r="Q141" i="28"/>
  <c r="E115" i="28"/>
  <c r="F56" i="28"/>
  <c r="Q78" i="28"/>
  <c r="F40" i="28"/>
  <c r="R70" i="28"/>
  <c r="F100" i="28"/>
  <c r="E49" i="28"/>
  <c r="C117" i="28"/>
  <c r="F45" i="28"/>
  <c r="F118" i="28"/>
  <c r="R77" i="28"/>
  <c r="Q21" i="28"/>
  <c r="R12" i="28"/>
  <c r="F122" i="28"/>
  <c r="Q28" i="28"/>
  <c r="Q138" i="28"/>
  <c r="L112" i="28"/>
  <c r="Q31" i="28"/>
  <c r="F46" i="28"/>
  <c r="W11" i="28"/>
  <c r="C124" i="28"/>
  <c r="O101" i="28"/>
  <c r="X122" i="28"/>
  <c r="Q125" i="28"/>
  <c r="E19" i="28"/>
  <c r="F11" i="28"/>
  <c r="F14" i="28"/>
  <c r="L23" i="28"/>
  <c r="L9" i="28"/>
  <c r="L20" i="28"/>
  <c r="H41" i="28"/>
  <c r="H49" i="28"/>
  <c r="H50" i="28"/>
  <c r="J51" i="28"/>
  <c r="H55" i="28"/>
  <c r="J60" i="28"/>
  <c r="E140" i="28"/>
  <c r="E145" i="28"/>
  <c r="R91" i="28"/>
  <c r="W89" i="28"/>
  <c r="L119" i="28"/>
  <c r="K154" i="28"/>
  <c r="F103" i="28"/>
  <c r="E125" i="28"/>
  <c r="K134" i="28"/>
  <c r="K146" i="28"/>
  <c r="R69" i="28"/>
  <c r="W150" i="28"/>
  <c r="I125" i="28"/>
  <c r="R32" i="28"/>
  <c r="K107" i="28"/>
  <c r="Q145" i="28"/>
  <c r="U93" i="28"/>
  <c r="F109" i="28"/>
  <c r="E54" i="28"/>
  <c r="F38" i="28"/>
  <c r="W141" i="28"/>
  <c r="W72" i="28"/>
  <c r="Q27" i="28"/>
  <c r="W153" i="28"/>
  <c r="C115" i="28"/>
  <c r="Q156" i="28"/>
  <c r="C119" i="28"/>
  <c r="K118" i="28"/>
  <c r="E102" i="28"/>
  <c r="E100" i="28"/>
  <c r="F49" i="28"/>
  <c r="F117" i="28"/>
  <c r="K124" i="28"/>
  <c r="C118" i="28"/>
  <c r="K145" i="28"/>
  <c r="K152" i="28"/>
  <c r="Q77" i="28"/>
  <c r="F43" i="28"/>
  <c r="R21" i="28"/>
  <c r="W31" i="28"/>
  <c r="Q12" i="28"/>
  <c r="C122" i="28"/>
  <c r="W136" i="28"/>
  <c r="X7" i="28"/>
  <c r="R17" i="28"/>
  <c r="F57" i="28"/>
  <c r="Q136" i="28"/>
  <c r="K144" i="28"/>
  <c r="X123" i="28"/>
  <c r="X116" i="28"/>
  <c r="O106" i="28"/>
  <c r="X112" i="28"/>
  <c r="K7" i="28"/>
  <c r="K16" i="28"/>
  <c r="O111" i="28"/>
  <c r="F12" i="28"/>
  <c r="F26" i="28"/>
  <c r="L25" i="28"/>
  <c r="L21" i="28"/>
  <c r="J59" i="28"/>
  <c r="H61" i="28"/>
  <c r="J63" i="28"/>
  <c r="H57" i="28"/>
  <c r="H38" i="28"/>
  <c r="J54" i="28"/>
  <c r="J56" i="28"/>
  <c r="E153" i="28"/>
  <c r="E139" i="28"/>
  <c r="E147" i="28"/>
  <c r="E134" i="28"/>
  <c r="Q91" i="28"/>
  <c r="W87" i="28"/>
  <c r="K119" i="28"/>
  <c r="E103" i="28"/>
  <c r="C125" i="28"/>
  <c r="R19" i="28"/>
  <c r="Q69" i="28"/>
  <c r="Q142" i="28"/>
  <c r="L125" i="28"/>
  <c r="X10" i="28"/>
  <c r="W138" i="28"/>
  <c r="E44" i="28"/>
  <c r="W77" i="28"/>
  <c r="R24" i="28"/>
  <c r="W84" i="28"/>
  <c r="F61" i="28"/>
  <c r="E109" i="28"/>
  <c r="C116" i="28"/>
  <c r="Q87" i="28"/>
  <c r="Q29" i="28"/>
  <c r="Q71" i="28"/>
  <c r="R15" i="28"/>
  <c r="Q85" i="28"/>
  <c r="O156" i="28"/>
  <c r="E119" i="28"/>
  <c r="L118" i="28"/>
  <c r="F102" i="28"/>
  <c r="F120" i="28"/>
  <c r="W81" i="28"/>
  <c r="O94" i="28"/>
  <c r="I124" i="28"/>
  <c r="E118" i="28"/>
  <c r="L103" i="28"/>
  <c r="X9" i="28"/>
  <c r="W88" i="28"/>
  <c r="E123" i="28"/>
  <c r="L117" i="28"/>
  <c r="R16" i="28"/>
  <c r="W32" i="28"/>
  <c r="R14" i="28"/>
  <c r="R26" i="28"/>
  <c r="Q79" i="28"/>
  <c r="F104" i="28"/>
  <c r="Q17" i="28"/>
  <c r="O115" i="28"/>
  <c r="Q119" i="28"/>
  <c r="O100" i="28"/>
  <c r="W124" i="28"/>
  <c r="E32" i="28"/>
  <c r="F7" i="28"/>
  <c r="L22" i="28"/>
  <c r="H59" i="28"/>
  <c r="J61" i="28"/>
  <c r="H63" i="28"/>
  <c r="J57" i="28"/>
  <c r="J38" i="28"/>
  <c r="H54" i="28"/>
  <c r="H56" i="28"/>
  <c r="E137" i="28"/>
  <c r="U94" i="28"/>
  <c r="R7" i="28"/>
  <c r="W26" i="28"/>
  <c r="Q148" i="28"/>
  <c r="L110" i="28"/>
  <c r="K111" i="28"/>
  <c r="Q146" i="28"/>
  <c r="X15" i="28"/>
  <c r="Q132" i="28"/>
  <c r="W134" i="28"/>
  <c r="F44" i="28"/>
  <c r="X77" i="28"/>
  <c r="Q24" i="28"/>
  <c r="W78" i="28"/>
  <c r="W93" i="28"/>
  <c r="E42" i="28"/>
  <c r="R74" i="28"/>
  <c r="E116" i="28"/>
  <c r="R87" i="28"/>
  <c r="R29" i="28"/>
  <c r="R71" i="28"/>
  <c r="Q15" i="28"/>
  <c r="W140" i="28"/>
  <c r="R85" i="28"/>
  <c r="F39" i="28"/>
  <c r="F119" i="28"/>
  <c r="R73" i="28"/>
  <c r="C120" i="28"/>
  <c r="W85" i="28"/>
  <c r="R94" i="28"/>
  <c r="L124" i="28"/>
  <c r="K103" i="28"/>
  <c r="R93" i="28"/>
  <c r="W16" i="28"/>
  <c r="X70" i="28"/>
  <c r="C123" i="28"/>
  <c r="K117" i="28"/>
  <c r="W156" i="28"/>
  <c r="X32" i="28"/>
  <c r="Q26" i="28"/>
  <c r="R79" i="28"/>
  <c r="E104" i="28"/>
  <c r="K140" i="28"/>
  <c r="W25" i="28"/>
  <c r="E108" i="28"/>
  <c r="X69" i="28"/>
  <c r="W144" i="28"/>
  <c r="Q72" i="28"/>
  <c r="R80" i="28"/>
  <c r="O113" i="28"/>
  <c r="Q101" i="28"/>
  <c r="O112" i="28"/>
  <c r="U124" i="28"/>
  <c r="O108" i="28"/>
  <c r="E15" i="28"/>
  <c r="K11" i="28"/>
  <c r="R125" i="28"/>
  <c r="O105" i="28"/>
  <c r="F20" i="28"/>
  <c r="L10" i="28"/>
  <c r="K26" i="28"/>
  <c r="K32" i="28"/>
  <c r="H42" i="28"/>
  <c r="J47" i="28"/>
  <c r="H46" i="28"/>
  <c r="H45" i="28"/>
  <c r="H62" i="28"/>
  <c r="H58" i="28"/>
  <c r="J39" i="28"/>
  <c r="E150" i="28"/>
  <c r="E152" i="28"/>
  <c r="E151" i="28"/>
  <c r="E148" i="28"/>
  <c r="X94" i="28"/>
  <c r="Q153" i="28"/>
  <c r="R22" i="28"/>
  <c r="W82" i="28"/>
  <c r="L121" i="28"/>
  <c r="Q155" i="28"/>
  <c r="K110" i="28"/>
  <c r="L111" i="28"/>
  <c r="K147" i="28"/>
  <c r="W80" i="28"/>
  <c r="L105" i="28"/>
  <c r="K123" i="28"/>
  <c r="F41" i="28"/>
  <c r="Q151" i="28"/>
  <c r="F42" i="28"/>
  <c r="Q74" i="28"/>
  <c r="F116" i="28"/>
  <c r="Q83" i="28"/>
  <c r="R9" i="28"/>
  <c r="L116" i="28"/>
  <c r="W23" i="28"/>
  <c r="R89" i="28"/>
  <c r="X73" i="28"/>
  <c r="R30" i="28"/>
  <c r="E39" i="28"/>
  <c r="W22" i="28"/>
  <c r="R81" i="28"/>
  <c r="Q73" i="28"/>
  <c r="E120" i="28"/>
  <c r="Q150" i="28"/>
  <c r="Q94" i="28"/>
  <c r="R18" i="28"/>
  <c r="F58" i="28"/>
  <c r="Q93" i="28"/>
  <c r="W70" i="28"/>
  <c r="F123" i="28"/>
  <c r="F113" i="28"/>
  <c r="U156" i="28"/>
  <c r="Q90" i="28"/>
  <c r="F112" i="28"/>
  <c r="K108" i="28"/>
  <c r="F108" i="28"/>
  <c r="W69" i="28"/>
  <c r="R72" i="28"/>
  <c r="K149" i="28"/>
  <c r="F48" i="28"/>
  <c r="Q80" i="28"/>
  <c r="K141" i="28"/>
  <c r="O110" i="28"/>
  <c r="Q111" i="28"/>
  <c r="O107" i="28"/>
  <c r="X104" i="28"/>
  <c r="W154" i="28"/>
  <c r="K10" i="28"/>
  <c r="K8" i="28"/>
  <c r="W143" i="28"/>
  <c r="O109" i="28"/>
  <c r="E18" i="28"/>
  <c r="F8" i="28"/>
  <c r="J42" i="28"/>
  <c r="H47" i="28"/>
  <c r="J46" i="28"/>
  <c r="J45" i="28"/>
  <c r="J62" i="28"/>
  <c r="J58" i="28"/>
  <c r="H39" i="28"/>
  <c r="E141" i="28"/>
  <c r="W94" i="28"/>
  <c r="F114" i="28"/>
  <c r="Q22" i="28"/>
  <c r="Q134" i="28"/>
  <c r="K121" i="28"/>
  <c r="E121" i="28"/>
  <c r="R11" i="28"/>
  <c r="X12" i="28"/>
  <c r="X8" i="28"/>
  <c r="W18" i="28"/>
  <c r="K105" i="28"/>
  <c r="L123" i="28"/>
  <c r="Q75" i="28"/>
  <c r="W14" i="28"/>
  <c r="L101" i="28"/>
  <c r="R83" i="28"/>
  <c r="K116" i="28"/>
  <c r="Q89" i="28"/>
  <c r="W73" i="28"/>
  <c r="Q30" i="28"/>
  <c r="Q81" i="28"/>
  <c r="W86" i="28"/>
  <c r="K114" i="28"/>
  <c r="E58" i="28"/>
  <c r="O93" i="28"/>
  <c r="F53" i="28"/>
  <c r="E113" i="28"/>
  <c r="E59" i="28"/>
  <c r="R90" i="28"/>
  <c r="E112" i="28"/>
  <c r="L108" i="28"/>
  <c r="Q140" i="28"/>
  <c r="K136" i="28"/>
  <c r="R20" i="28"/>
  <c r="X75" i="28"/>
  <c r="W149" i="28"/>
  <c r="E111" i="28"/>
  <c r="F52" i="28"/>
  <c r="L120" i="28"/>
  <c r="Q109" i="28"/>
  <c r="F27" i="28"/>
  <c r="K30" i="28"/>
  <c r="K27" i="28"/>
  <c r="K18" i="28"/>
  <c r="L17" i="28"/>
  <c r="H52" i="28"/>
  <c r="J53" i="28"/>
  <c r="J48" i="28"/>
  <c r="J44" i="28"/>
  <c r="H43" i="28"/>
  <c r="J40" i="28"/>
  <c r="E136" i="28"/>
  <c r="E135" i="28"/>
  <c r="E132" i="28"/>
  <c r="E146" i="28"/>
  <c r="E143" i="28"/>
  <c r="E114" i="28"/>
  <c r="W90" i="28"/>
  <c r="Q84" i="28"/>
  <c r="R86" i="28"/>
  <c r="K122" i="28"/>
  <c r="F121" i="28"/>
  <c r="W12" i="28"/>
  <c r="Q149" i="28"/>
  <c r="W8" i="28"/>
  <c r="R88" i="28"/>
  <c r="F60" i="28"/>
  <c r="W71" i="28"/>
  <c r="K104" i="28"/>
  <c r="W76" i="28"/>
  <c r="Q152" i="28"/>
  <c r="K148" i="28"/>
  <c r="R75" i="28"/>
  <c r="X14" i="28"/>
  <c r="K101" i="28"/>
  <c r="W146" i="28"/>
  <c r="W27" i="28"/>
  <c r="W21" i="28"/>
  <c r="E110" i="28"/>
  <c r="F106" i="28"/>
  <c r="L106" i="28"/>
  <c r="K109" i="28"/>
  <c r="L113" i="28"/>
  <c r="W20" i="28"/>
  <c r="W147" i="28"/>
  <c r="X13" i="28"/>
  <c r="K102" i="28"/>
  <c r="E55" i="28"/>
  <c r="W19" i="28"/>
  <c r="W151" i="28"/>
  <c r="K150" i="28"/>
  <c r="L114" i="28"/>
  <c r="K155" i="28"/>
  <c r="F63" i="28"/>
  <c r="K138" i="28"/>
  <c r="F62" i="28"/>
  <c r="X74" i="28"/>
  <c r="R25" i="28"/>
  <c r="F59" i="28"/>
  <c r="F107" i="28"/>
  <c r="R92" i="28"/>
  <c r="F105" i="28"/>
  <c r="L115" i="28"/>
  <c r="L100" i="28"/>
  <c r="Q20" i="28"/>
  <c r="W75" i="28"/>
  <c r="F111" i="28"/>
  <c r="W29" i="28"/>
  <c r="E52" i="28"/>
  <c r="W30" i="28"/>
  <c r="K120" i="28"/>
  <c r="F124" i="28"/>
  <c r="O102" i="28"/>
  <c r="X114" i="28"/>
  <c r="W103" i="28"/>
  <c r="O103" i="28"/>
  <c r="E13" i="28"/>
  <c r="O104" i="28"/>
  <c r="F22" i="28"/>
  <c r="K29" i="28"/>
  <c r="J52" i="28"/>
  <c r="H53" i="28"/>
  <c r="H48" i="28"/>
  <c r="H44" i="28"/>
  <c r="J43" i="28"/>
  <c r="H40" i="28"/>
  <c r="E133" i="28"/>
  <c r="E154" i="28"/>
  <c r="Q154" i="28"/>
  <c r="F47" i="28"/>
  <c r="R82" i="28"/>
  <c r="R84" i="28"/>
  <c r="Q86" i="28"/>
  <c r="L122" i="28"/>
  <c r="C121" i="28"/>
  <c r="Q88" i="28"/>
  <c r="W92" i="28"/>
  <c r="E60" i="28"/>
  <c r="X71" i="28"/>
  <c r="L104" i="28"/>
  <c r="X76" i="28"/>
  <c r="W24" i="28"/>
  <c r="R23" i="28"/>
  <c r="R76" i="28"/>
  <c r="K151" i="28"/>
  <c r="R10" i="28"/>
  <c r="F110" i="28"/>
  <c r="E106" i="28"/>
  <c r="R13" i="28"/>
  <c r="K106" i="28"/>
  <c r="F101" i="28"/>
  <c r="L109" i="28"/>
  <c r="K113" i="28"/>
  <c r="F115" i="28"/>
  <c r="E56" i="28"/>
  <c r="R78" i="28"/>
  <c r="E40" i="28"/>
  <c r="L102" i="28"/>
  <c r="F55" i="28"/>
  <c r="E117" i="28"/>
  <c r="E45" i="28"/>
  <c r="K142" i="28"/>
  <c r="W74" i="28"/>
  <c r="Q25" i="28"/>
  <c r="W91" i="28"/>
  <c r="E107" i="28"/>
  <c r="Q92" i="28"/>
  <c r="E105" i="28"/>
  <c r="K115" i="28"/>
  <c r="K100" i="28"/>
  <c r="E122" i="28"/>
  <c r="R28" i="28"/>
  <c r="W28" i="28"/>
  <c r="K112" i="28"/>
  <c r="R31" i="28"/>
  <c r="K143" i="28"/>
  <c r="X11" i="28"/>
  <c r="E124" i="28"/>
  <c r="Q117" i="28"/>
  <c r="W122" i="28"/>
  <c r="Q106" i="28"/>
  <c r="CT120" i="26"/>
  <c r="CT122" i="26"/>
  <c r="CT115" i="26"/>
  <c r="CT108" i="26"/>
  <c r="DF112" i="26"/>
  <c r="DF107" i="26"/>
  <c r="DR130" i="26"/>
  <c r="DR123" i="26"/>
  <c r="CZ117" i="26"/>
  <c r="DR117" i="26"/>
  <c r="DF106" i="26"/>
  <c r="CZ124" i="26"/>
  <c r="DF114" i="26"/>
  <c r="CZ106" i="26"/>
  <c r="CZ131" i="26"/>
  <c r="CZ113" i="26"/>
  <c r="DF128" i="26"/>
  <c r="DR120" i="26"/>
  <c r="DR127" i="26"/>
  <c r="DL122" i="26"/>
  <c r="DL118" i="26"/>
  <c r="Z112" i="26"/>
  <c r="CB107" i="26"/>
  <c r="T115" i="26"/>
  <c r="Z109" i="26"/>
  <c r="T106" i="26"/>
  <c r="T112" i="26"/>
  <c r="T110" i="26"/>
  <c r="Z108" i="26"/>
  <c r="BP107" i="26"/>
  <c r="T107" i="26"/>
  <c r="T108" i="26"/>
  <c r="T117" i="26"/>
  <c r="Z114" i="26"/>
  <c r="T118" i="26"/>
  <c r="T113" i="26"/>
  <c r="Z106" i="26"/>
  <c r="FM71" i="26"/>
  <c r="FM86" i="26"/>
  <c r="FM79" i="26"/>
  <c r="FM87" i="26"/>
  <c r="FM85" i="26"/>
  <c r="FM76" i="26"/>
  <c r="FM89" i="26"/>
  <c r="FM81" i="26"/>
  <c r="FM73" i="26"/>
  <c r="FM90" i="26"/>
  <c r="FM84" i="26"/>
  <c r="FM80" i="26"/>
  <c r="FM93" i="26"/>
  <c r="FM75" i="26"/>
  <c r="FM77" i="26"/>
  <c r="FM72" i="26"/>
  <c r="FM70" i="26"/>
  <c r="FM92" i="26"/>
  <c r="FM82" i="26"/>
  <c r="FM83" i="26"/>
  <c r="FM78" i="26"/>
  <c r="FM68" i="26"/>
  <c r="FM69" i="26"/>
  <c r="FM91" i="26"/>
  <c r="FM88" i="26"/>
  <c r="FM74" i="26"/>
  <c r="H108" i="26"/>
  <c r="GS65" i="26"/>
  <c r="H109" i="26"/>
  <c r="HI65" i="26"/>
  <c r="AF130" i="26"/>
  <c r="AF131" i="26"/>
  <c r="AL117" i="26"/>
  <c r="AM117" i="26"/>
  <c r="AQ107" i="26"/>
  <c r="AO107" i="26"/>
  <c r="AQ119" i="26"/>
  <c r="AO119" i="26"/>
  <c r="AQ110" i="26"/>
  <c r="AO110" i="26"/>
  <c r="AM106" i="26"/>
  <c r="AL106" i="26"/>
  <c r="AL111" i="26"/>
  <c r="AM111" i="26"/>
  <c r="AM107" i="26"/>
  <c r="AL107" i="26"/>
  <c r="AL114" i="26"/>
  <c r="AM114" i="26"/>
  <c r="AF111" i="26"/>
  <c r="AO117" i="26"/>
  <c r="AQ117" i="26"/>
  <c r="AQ128" i="26"/>
  <c r="AO128" i="26"/>
  <c r="AO120" i="26"/>
  <c r="AQ120" i="26"/>
  <c r="AM119" i="26"/>
  <c r="AL119" i="26"/>
  <c r="AF119" i="26"/>
  <c r="AQ121" i="26"/>
  <c r="AO121" i="26"/>
  <c r="AQ113" i="26"/>
  <c r="AO113" i="26"/>
  <c r="AQ123" i="26"/>
  <c r="AO123" i="26"/>
  <c r="AL125" i="26"/>
  <c r="AM125" i="26"/>
  <c r="AL127" i="26"/>
  <c r="AM127" i="26"/>
  <c r="AQ114" i="26"/>
  <c r="AO114" i="26"/>
  <c r="AF125" i="26"/>
  <c r="AQ129" i="26"/>
  <c r="AO129" i="26"/>
  <c r="AQ130" i="26"/>
  <c r="AO130" i="26"/>
  <c r="AM122" i="26"/>
  <c r="AL122" i="26"/>
  <c r="AL110" i="26"/>
  <c r="AM110" i="26"/>
  <c r="AF109" i="26"/>
  <c r="AL121" i="26"/>
  <c r="AM121" i="26"/>
  <c r="AL116" i="26"/>
  <c r="AM116" i="26"/>
  <c r="AQ125" i="26"/>
  <c r="AO125" i="26"/>
  <c r="AO106" i="26"/>
  <c r="AQ106" i="26"/>
  <c r="AQ118" i="26"/>
  <c r="AO118" i="26"/>
  <c r="AM123" i="26"/>
  <c r="AL123" i="26"/>
  <c r="AL124" i="26"/>
  <c r="AM124" i="26"/>
  <c r="AF114" i="26"/>
  <c r="AF129" i="26"/>
  <c r="AM129" i="26"/>
  <c r="AL129" i="26"/>
  <c r="AM118" i="26"/>
  <c r="AL118" i="26"/>
  <c r="AO126" i="26"/>
  <c r="AQ126" i="26"/>
  <c r="AO116" i="26"/>
  <c r="AQ116" i="26"/>
  <c r="AO112" i="26"/>
  <c r="AQ112" i="26"/>
  <c r="AF121" i="26"/>
  <c r="AL108" i="26"/>
  <c r="AM108" i="26"/>
  <c r="AL120" i="26"/>
  <c r="AM120" i="26"/>
  <c r="AM113" i="26"/>
  <c r="AL113" i="26"/>
  <c r="AQ124" i="26"/>
  <c r="AO124" i="26"/>
  <c r="AO115" i="26"/>
  <c r="AQ115" i="26"/>
  <c r="AM130" i="26"/>
  <c r="AL130" i="26"/>
  <c r="AF116" i="26"/>
  <c r="AM109" i="26"/>
  <c r="AL109" i="26"/>
  <c r="AM115" i="26"/>
  <c r="AL115" i="26"/>
  <c r="AL131" i="26"/>
  <c r="AM131" i="26"/>
  <c r="AO122" i="26"/>
  <c r="AQ122" i="26"/>
  <c r="AQ108" i="26"/>
  <c r="AO108" i="26"/>
  <c r="AO127" i="26"/>
  <c r="AQ127" i="26"/>
  <c r="AM112" i="26"/>
  <c r="AL112" i="26"/>
  <c r="AF115" i="26"/>
  <c r="AM126" i="26"/>
  <c r="AL126" i="26"/>
  <c r="AL128" i="26"/>
  <c r="AM128" i="26"/>
  <c r="AF106" i="26"/>
  <c r="AQ109" i="26"/>
  <c r="AO109" i="26"/>
  <c r="AQ131" i="26"/>
  <c r="AO131" i="26"/>
  <c r="AQ111" i="26"/>
  <c r="AO111" i="26"/>
  <c r="AF118" i="26"/>
  <c r="DL112" i="26"/>
  <c r="DL114" i="26"/>
  <c r="DL108" i="26"/>
  <c r="DL106" i="26"/>
  <c r="DF110" i="26"/>
  <c r="DF108" i="26"/>
  <c r="Z116" i="26"/>
  <c r="N118" i="26"/>
  <c r="N111" i="26"/>
  <c r="DR110" i="26"/>
  <c r="DR106" i="26"/>
  <c r="DR108" i="26"/>
  <c r="DR112" i="26"/>
  <c r="DR114" i="26"/>
  <c r="K23" i="28" l="1"/>
  <c r="C194" i="28"/>
  <c r="C203" i="28"/>
  <c r="K170" i="28"/>
  <c r="Q177" i="28"/>
  <c r="Q180" i="28"/>
  <c r="Q178" i="28"/>
  <c r="W180" i="28"/>
  <c r="W177" i="28"/>
  <c r="E216" i="28"/>
  <c r="E210" i="28"/>
  <c r="E209" i="28"/>
  <c r="C202" i="28"/>
  <c r="K167" i="28"/>
  <c r="C213" i="28"/>
  <c r="C207" i="28"/>
  <c r="C214" i="28"/>
  <c r="K174" i="28"/>
  <c r="Q185" i="28"/>
  <c r="Q181" i="28"/>
  <c r="W186" i="28"/>
  <c r="W169" i="28"/>
  <c r="E213" i="28"/>
  <c r="E207" i="28"/>
  <c r="E214" i="28"/>
  <c r="C200" i="28"/>
  <c r="C195" i="28"/>
  <c r="K162" i="28"/>
  <c r="C208" i="28"/>
  <c r="C215" i="28"/>
  <c r="C206" i="28"/>
  <c r="U105" i="28"/>
  <c r="C204" i="28"/>
  <c r="K169" i="28"/>
  <c r="K164" i="28"/>
  <c r="Q176" i="28"/>
  <c r="Q183" i="28"/>
  <c r="W184" i="28"/>
  <c r="W178" i="28"/>
  <c r="E208" i="28"/>
  <c r="E215" i="28"/>
  <c r="E206" i="28"/>
  <c r="C198" i="28"/>
  <c r="C197" i="28"/>
  <c r="K171" i="28"/>
  <c r="C217" i="28"/>
  <c r="C211" i="28"/>
  <c r="C201" i="28"/>
  <c r="C212" i="28"/>
  <c r="C196" i="28"/>
  <c r="C199" i="28"/>
  <c r="K166" i="28"/>
  <c r="Q164" i="28"/>
  <c r="Q182" i="28"/>
  <c r="Q186" i="28"/>
  <c r="W176" i="28"/>
  <c r="W185" i="28"/>
  <c r="E217" i="28"/>
  <c r="E211" i="28"/>
  <c r="E201" i="28"/>
  <c r="U100" i="28"/>
  <c r="U101" i="28"/>
  <c r="Q135" i="28"/>
  <c r="C205" i="28"/>
  <c r="C216" i="28"/>
  <c r="C210" i="28"/>
  <c r="C209" i="28"/>
  <c r="GC82" i="26"/>
  <c r="GC86" i="26"/>
  <c r="GC74" i="26"/>
  <c r="GC90" i="26"/>
  <c r="GC83" i="26"/>
  <c r="GC87" i="26"/>
  <c r="GC77" i="26"/>
  <c r="GC73" i="26"/>
  <c r="GC91" i="26"/>
  <c r="GC92" i="26"/>
  <c r="GC68" i="26"/>
  <c r="C193" i="28"/>
  <c r="U164" i="28"/>
  <c r="U162" i="28"/>
  <c r="U171" i="28"/>
  <c r="U184" i="28"/>
  <c r="U178" i="28"/>
  <c r="U176" i="28"/>
  <c r="U185" i="28"/>
  <c r="U172" i="28"/>
  <c r="U173" i="28"/>
  <c r="U166" i="28"/>
  <c r="U167" i="28"/>
  <c r="U186" i="28"/>
  <c r="U169" i="28"/>
  <c r="U163" i="28"/>
  <c r="U175" i="28"/>
  <c r="U180" i="28"/>
  <c r="U177" i="28"/>
  <c r="U170" i="28"/>
  <c r="U174" i="28"/>
  <c r="U165" i="28"/>
  <c r="U168" i="28"/>
  <c r="O176" i="28"/>
  <c r="O165" i="28"/>
  <c r="O175" i="28"/>
  <c r="O164" i="28"/>
  <c r="O182" i="28"/>
  <c r="O186" i="28"/>
  <c r="O183" i="28"/>
  <c r="O170" i="28"/>
  <c r="O172" i="28"/>
  <c r="O166" i="28"/>
  <c r="O171" i="28"/>
  <c r="O177" i="28"/>
  <c r="O180" i="28"/>
  <c r="O178" i="28"/>
  <c r="O169" i="28"/>
  <c r="O173" i="28"/>
  <c r="O162" i="28"/>
  <c r="O174" i="28"/>
  <c r="O185" i="28"/>
  <c r="O181" i="28"/>
  <c r="O168" i="28"/>
  <c r="O163" i="28"/>
  <c r="O167" i="28"/>
  <c r="I163" i="28"/>
  <c r="I162" i="28"/>
  <c r="I173" i="28"/>
  <c r="I169" i="28"/>
  <c r="I164" i="28"/>
  <c r="I171" i="28"/>
  <c r="I165" i="28"/>
  <c r="I166" i="28"/>
  <c r="I174" i="28"/>
  <c r="I172" i="28"/>
  <c r="I170" i="28"/>
  <c r="I168" i="28"/>
  <c r="I167" i="28"/>
  <c r="C170" i="28"/>
  <c r="C181" i="28"/>
  <c r="C163" i="28"/>
  <c r="C173" i="28"/>
  <c r="C179" i="28"/>
  <c r="C165" i="28"/>
  <c r="C187" i="28"/>
  <c r="C167" i="28"/>
  <c r="C174" i="28"/>
  <c r="C176" i="28"/>
  <c r="C177" i="28"/>
  <c r="C175" i="28"/>
  <c r="C184" i="28"/>
  <c r="C186" i="28"/>
  <c r="C168" i="28"/>
  <c r="C166" i="28"/>
  <c r="C178" i="28"/>
  <c r="C183" i="28"/>
  <c r="C185" i="28"/>
  <c r="C171" i="28"/>
  <c r="C182" i="28"/>
  <c r="C180" i="28"/>
  <c r="C172" i="28"/>
  <c r="C169" i="28"/>
  <c r="C164" i="28"/>
  <c r="C162" i="28"/>
  <c r="GC80" i="26"/>
  <c r="GC72" i="26"/>
  <c r="GC70" i="26"/>
  <c r="GC93" i="26"/>
  <c r="GC79" i="26"/>
  <c r="GC89" i="26"/>
  <c r="GC84" i="26"/>
  <c r="GC81" i="26"/>
  <c r="GC76" i="26"/>
  <c r="GC88" i="26"/>
  <c r="GC85" i="26"/>
  <c r="GC69" i="26"/>
  <c r="GC78" i="26"/>
  <c r="GC75" i="26"/>
  <c r="HY79" i="26"/>
  <c r="HY91" i="26"/>
  <c r="HY82" i="26"/>
  <c r="E11" i="28"/>
  <c r="E8" i="28"/>
  <c r="K14" i="28"/>
  <c r="I17" i="28"/>
  <c r="E27" i="28"/>
  <c r="K17" i="28"/>
  <c r="E7" i="28"/>
  <c r="C17" i="28"/>
  <c r="C7" i="28"/>
  <c r="HY78" i="26"/>
  <c r="HY92" i="26"/>
  <c r="HY68" i="26"/>
  <c r="HY89" i="26"/>
  <c r="HY93" i="26"/>
  <c r="HY76" i="26"/>
  <c r="HY83" i="26"/>
  <c r="HY77" i="26"/>
  <c r="HY75" i="26"/>
  <c r="HY81" i="26"/>
  <c r="HY88" i="26"/>
  <c r="HY69" i="26"/>
  <c r="HY73" i="26"/>
  <c r="HY87" i="26"/>
  <c r="HY84" i="26"/>
  <c r="HY74" i="26"/>
  <c r="HY90" i="26"/>
  <c r="HY70" i="26"/>
  <c r="HY86" i="26"/>
  <c r="HY85" i="26"/>
  <c r="HY72" i="26"/>
  <c r="HY80" i="26"/>
  <c r="C14" i="28"/>
  <c r="I31" i="28"/>
  <c r="U139" i="28"/>
  <c r="I12" i="28"/>
  <c r="O134" i="28"/>
  <c r="E47" i="28"/>
  <c r="L52" i="28"/>
  <c r="W135" i="28"/>
  <c r="W131" i="28"/>
  <c r="I13" i="28"/>
  <c r="I26" i="28"/>
  <c r="C25" i="28"/>
  <c r="C22" i="28"/>
  <c r="W17" i="28"/>
  <c r="K133" i="28"/>
  <c r="P43" i="28"/>
  <c r="K58" i="28"/>
  <c r="P40" i="28"/>
  <c r="L41" i="28"/>
  <c r="K45" i="28"/>
  <c r="N44" i="28"/>
  <c r="L61" i="28"/>
  <c r="P50" i="28"/>
  <c r="K53" i="28"/>
  <c r="N61" i="28"/>
  <c r="K57" i="28"/>
  <c r="K51" i="28"/>
  <c r="E43" i="28"/>
  <c r="L38" i="28"/>
  <c r="K49" i="28"/>
  <c r="W7" i="28"/>
  <c r="U16" i="28"/>
  <c r="W15" i="28"/>
  <c r="C39" i="28"/>
  <c r="O8" i="28"/>
  <c r="Q11" i="28"/>
  <c r="C101" i="28"/>
  <c r="U12" i="28"/>
  <c r="U72" i="28"/>
  <c r="C41" i="28"/>
  <c r="U17" i="28"/>
  <c r="O27" i="28"/>
  <c r="U22" i="28"/>
  <c r="O23" i="28"/>
  <c r="O145" i="28"/>
  <c r="C107" i="28"/>
  <c r="E138" i="28"/>
  <c r="O139" i="28"/>
  <c r="I134" i="28"/>
  <c r="C102" i="28"/>
  <c r="I146" i="28"/>
  <c r="I144" i="28"/>
  <c r="E142" i="28"/>
  <c r="O133" i="28"/>
  <c r="O152" i="28"/>
  <c r="I131" i="28"/>
  <c r="K137" i="28"/>
  <c r="C100" i="28"/>
  <c r="I133" i="28"/>
  <c r="O86" i="28"/>
  <c r="C112" i="28"/>
  <c r="I106" i="28"/>
  <c r="I24" i="28"/>
  <c r="U120" i="28"/>
  <c r="I119" i="28"/>
  <c r="U117" i="28"/>
  <c r="O151" i="28"/>
  <c r="C21" i="28"/>
  <c r="U152" i="28"/>
  <c r="C10" i="28"/>
  <c r="U155" i="28"/>
  <c r="C11" i="28"/>
  <c r="I15" i="28"/>
  <c r="C18" i="28"/>
  <c r="C20" i="28"/>
  <c r="I18" i="28"/>
  <c r="I28" i="28"/>
  <c r="N43" i="28"/>
  <c r="K60" i="28"/>
  <c r="N40" i="28"/>
  <c r="K41" i="28"/>
  <c r="P56" i="28"/>
  <c r="P44" i="28"/>
  <c r="K61" i="28"/>
  <c r="N50" i="28"/>
  <c r="L53" i="28"/>
  <c r="P62" i="28"/>
  <c r="L57" i="28"/>
  <c r="E51" i="28"/>
  <c r="N49" i="28"/>
  <c r="K38" i="28"/>
  <c r="L49" i="28"/>
  <c r="E9" i="28"/>
  <c r="O69" i="28"/>
  <c r="U11" i="28"/>
  <c r="Q8" i="28"/>
  <c r="U9" i="28"/>
  <c r="U73" i="28"/>
  <c r="U70" i="28"/>
  <c r="C54" i="28"/>
  <c r="O28" i="28"/>
  <c r="O30" i="28"/>
  <c r="U27" i="28"/>
  <c r="Q143" i="28"/>
  <c r="O138" i="28"/>
  <c r="K153" i="28"/>
  <c r="I136" i="28"/>
  <c r="I21" i="28"/>
  <c r="U143" i="28"/>
  <c r="C113" i="28"/>
  <c r="O150" i="28"/>
  <c r="O155" i="28"/>
  <c r="W142" i="28"/>
  <c r="O26" i="28"/>
  <c r="C132" i="28"/>
  <c r="O75" i="28"/>
  <c r="U140" i="28"/>
  <c r="I101" i="28"/>
  <c r="U141" i="28"/>
  <c r="C153" i="28"/>
  <c r="O131" i="28"/>
  <c r="U31" i="28"/>
  <c r="O78" i="28"/>
  <c r="C50" i="28"/>
  <c r="I107" i="28"/>
  <c r="U109" i="28"/>
  <c r="U106" i="28"/>
  <c r="I115" i="28"/>
  <c r="U122" i="28"/>
  <c r="I121" i="28"/>
  <c r="C13" i="28"/>
  <c r="C15" i="28"/>
  <c r="C24" i="28"/>
  <c r="C26" i="28"/>
  <c r="I20" i="28"/>
  <c r="I25" i="28"/>
  <c r="E50" i="28"/>
  <c r="L60" i="28"/>
  <c r="N59" i="28"/>
  <c r="L47" i="28"/>
  <c r="N56" i="28"/>
  <c r="E53" i="28"/>
  <c r="L50" i="28"/>
  <c r="L55" i="28"/>
  <c r="K48" i="28"/>
  <c r="N62" i="28"/>
  <c r="K59" i="28"/>
  <c r="P53" i="28"/>
  <c r="P49" i="28"/>
  <c r="K43" i="28"/>
  <c r="P39" i="28"/>
  <c r="C42" i="28"/>
  <c r="O73" i="28"/>
  <c r="Q9" i="28"/>
  <c r="W9" i="28"/>
  <c r="Q16" i="28"/>
  <c r="C43" i="28"/>
  <c r="C38" i="28"/>
  <c r="U20" i="28"/>
  <c r="U23" i="28"/>
  <c r="O19" i="28"/>
  <c r="U28" i="28"/>
  <c r="C140" i="28"/>
  <c r="C111" i="28"/>
  <c r="W145" i="28"/>
  <c r="I141" i="28"/>
  <c r="E131" i="28"/>
  <c r="K139" i="28"/>
  <c r="I150" i="28"/>
  <c r="I156" i="28"/>
  <c r="K131" i="28"/>
  <c r="U150" i="28"/>
  <c r="C147" i="28"/>
  <c r="C109" i="28"/>
  <c r="U81" i="28"/>
  <c r="C139" i="28"/>
  <c r="U145" i="28"/>
  <c r="I140" i="28"/>
  <c r="C143" i="28"/>
  <c r="I100" i="28"/>
  <c r="O90" i="28"/>
  <c r="U148" i="28"/>
  <c r="U104" i="28"/>
  <c r="I113" i="28"/>
  <c r="U111" i="28"/>
  <c r="U114" i="28"/>
  <c r="I110" i="28"/>
  <c r="I109" i="28"/>
  <c r="I16" i="28"/>
  <c r="C31" i="28"/>
  <c r="I29" i="28"/>
  <c r="Q137" i="28"/>
  <c r="E38" i="28"/>
  <c r="P59" i="28"/>
  <c r="K47" i="28"/>
  <c r="N47" i="28"/>
  <c r="K40" i="28"/>
  <c r="K50" i="28"/>
  <c r="K55" i="28"/>
  <c r="L48" i="28"/>
  <c r="L54" i="28"/>
  <c r="L59" i="28"/>
  <c r="N53" i="28"/>
  <c r="P60" i="28"/>
  <c r="L43" i="28"/>
  <c r="N39" i="28"/>
  <c r="E10" i="28"/>
  <c r="O15" i="28"/>
  <c r="O14" i="28"/>
  <c r="O9" i="28"/>
  <c r="Q70" i="28"/>
  <c r="Q7" i="28"/>
  <c r="O16" i="28"/>
  <c r="C40" i="28"/>
  <c r="O71" i="28"/>
  <c r="C46" i="28"/>
  <c r="O29" i="28"/>
  <c r="C63" i="28"/>
  <c r="O21" i="28"/>
  <c r="C57" i="28"/>
  <c r="O144" i="28"/>
  <c r="C138" i="28"/>
  <c r="W152" i="28"/>
  <c r="C134" i="28"/>
  <c r="C104" i="28"/>
  <c r="U135" i="28"/>
  <c r="C133" i="28"/>
  <c r="U136" i="28"/>
  <c r="O132" i="28"/>
  <c r="E149" i="28"/>
  <c r="I143" i="28"/>
  <c r="U131" i="28"/>
  <c r="O84" i="28"/>
  <c r="U86" i="28"/>
  <c r="O25" i="28"/>
  <c r="C146" i="28"/>
  <c r="C154" i="28"/>
  <c r="C131" i="28"/>
  <c r="I149" i="28"/>
  <c r="C156" i="28"/>
  <c r="O154" i="28"/>
  <c r="U32" i="28"/>
  <c r="I132" i="28"/>
  <c r="U103" i="28"/>
  <c r="U102" i="28"/>
  <c r="U116" i="28"/>
  <c r="U113" i="28"/>
  <c r="I111" i="28"/>
  <c r="U112" i="28"/>
  <c r="I11" i="28"/>
  <c r="U151" i="28"/>
  <c r="I19" i="28"/>
  <c r="W137" i="28"/>
  <c r="C12" i="28"/>
  <c r="C8" i="28"/>
  <c r="C29" i="28"/>
  <c r="C27" i="28"/>
  <c r="K19" i="28"/>
  <c r="I23" i="28"/>
  <c r="Q139" i="28"/>
  <c r="P41" i="28"/>
  <c r="L44" i="28"/>
  <c r="K63" i="28"/>
  <c r="P47" i="28"/>
  <c r="L40" i="28"/>
  <c r="N58" i="28"/>
  <c r="K56" i="28"/>
  <c r="P57" i="28"/>
  <c r="K54" i="28"/>
  <c r="P46" i="28"/>
  <c r="P45" i="28"/>
  <c r="N60" i="28"/>
  <c r="L39" i="28"/>
  <c r="P51" i="28"/>
  <c r="C45" i="28"/>
  <c r="O18" i="28"/>
  <c r="O10" i="28"/>
  <c r="O7" i="28"/>
  <c r="U10" i="28"/>
  <c r="U7" i="28"/>
  <c r="U71" i="28"/>
  <c r="U25" i="28"/>
  <c r="C48" i="28"/>
  <c r="C61" i="28"/>
  <c r="U24" i="28"/>
  <c r="O24" i="28"/>
  <c r="U80" i="28"/>
  <c r="U134" i="28"/>
  <c r="Q147" i="28"/>
  <c r="U90" i="28"/>
  <c r="C137" i="28"/>
  <c r="I103" i="28"/>
  <c r="I154" i="28"/>
  <c r="C108" i="28"/>
  <c r="U76" i="28"/>
  <c r="C142" i="28"/>
  <c r="U78" i="28"/>
  <c r="O141" i="28"/>
  <c r="I142" i="28"/>
  <c r="O149" i="28"/>
  <c r="I138" i="28"/>
  <c r="W155" i="28"/>
  <c r="O148" i="28"/>
  <c r="K132" i="28"/>
  <c r="U142" i="28"/>
  <c r="I139" i="28"/>
  <c r="O153" i="28"/>
  <c r="U82" i="28"/>
  <c r="I104" i="28"/>
  <c r="U121" i="28"/>
  <c r="U123" i="28"/>
  <c r="I123" i="28"/>
  <c r="I22" i="28"/>
  <c r="I8" i="28"/>
  <c r="C16" i="28"/>
  <c r="I32" i="28"/>
  <c r="Q133" i="28"/>
  <c r="N41" i="28"/>
  <c r="K44" i="28"/>
  <c r="L63" i="28"/>
  <c r="L62" i="28"/>
  <c r="K52" i="28"/>
  <c r="P58" i="28"/>
  <c r="L56" i="28"/>
  <c r="N57" i="28"/>
  <c r="K42" i="28"/>
  <c r="N46" i="28"/>
  <c r="N45" i="28"/>
  <c r="N52" i="28"/>
  <c r="K39" i="28"/>
  <c r="N51" i="28"/>
  <c r="Q18" i="28"/>
  <c r="O17" i="28"/>
  <c r="O13" i="28"/>
  <c r="U18" i="28"/>
  <c r="W10" i="28"/>
  <c r="U75" i="28"/>
  <c r="U13" i="28"/>
  <c r="U14" i="28"/>
  <c r="U69" i="28"/>
  <c r="C55" i="28"/>
  <c r="C56" i="28"/>
  <c r="C49" i="28"/>
  <c r="C53" i="28"/>
  <c r="U144" i="28"/>
  <c r="C144" i="28"/>
  <c r="C58" i="28"/>
  <c r="C105" i="28"/>
  <c r="O77" i="28"/>
  <c r="U92" i="28"/>
  <c r="O136" i="28"/>
  <c r="C110" i="28"/>
  <c r="C152" i="28"/>
  <c r="U84" i="28"/>
  <c r="O143" i="28"/>
  <c r="W148" i="28"/>
  <c r="U154" i="28"/>
  <c r="C150" i="28"/>
  <c r="I56" i="28"/>
  <c r="U137" i="28"/>
  <c r="I105" i="28"/>
  <c r="O82" i="28"/>
  <c r="U147" i="28"/>
  <c r="C47" i="28"/>
  <c r="U30" i="28"/>
  <c r="I151" i="28"/>
  <c r="I137" i="28"/>
  <c r="I112" i="28"/>
  <c r="W109" i="28"/>
  <c r="I117" i="28"/>
  <c r="W114" i="28"/>
  <c r="I7" i="28"/>
  <c r="W133" i="28"/>
  <c r="C19" i="28"/>
  <c r="I30" i="28"/>
  <c r="Q131" i="28"/>
  <c r="K62" i="28"/>
  <c r="N48" i="28"/>
  <c r="E46" i="28"/>
  <c r="N38" i="28"/>
  <c r="L42" i="28"/>
  <c r="E57" i="28"/>
  <c r="P55" i="28"/>
  <c r="P52" i="28"/>
  <c r="K46" i="28"/>
  <c r="P42" i="28"/>
  <c r="E62" i="28"/>
  <c r="O72" i="28"/>
  <c r="Q19" i="28"/>
  <c r="Q13" i="28"/>
  <c r="C44" i="28"/>
  <c r="U8" i="28"/>
  <c r="O70" i="28"/>
  <c r="W13" i="28"/>
  <c r="O22" i="28"/>
  <c r="U26" i="28"/>
  <c r="C51" i="28"/>
  <c r="I145" i="28"/>
  <c r="U132" i="28"/>
  <c r="I102" i="28"/>
  <c r="O142" i="28"/>
  <c r="E156" i="28"/>
  <c r="O79" i="28"/>
  <c r="I148" i="28"/>
  <c r="O146" i="28"/>
  <c r="C106" i="28"/>
  <c r="C148" i="28"/>
  <c r="O137" i="28"/>
  <c r="U88" i="28"/>
  <c r="O140" i="28"/>
  <c r="C149" i="28"/>
  <c r="U149" i="28"/>
  <c r="C145" i="28"/>
  <c r="U138" i="28"/>
  <c r="U146" i="28"/>
  <c r="C136" i="28"/>
  <c r="U133" i="28"/>
  <c r="O92" i="28"/>
  <c r="O88" i="28"/>
  <c r="C30" i="28"/>
  <c r="O147" i="28"/>
  <c r="U119" i="28"/>
  <c r="U110" i="28"/>
  <c r="U118" i="28"/>
  <c r="U115" i="28"/>
  <c r="I9" i="28"/>
  <c r="C9" i="28"/>
  <c r="W139" i="28"/>
  <c r="K12" i="28"/>
  <c r="C28" i="28"/>
  <c r="P63" i="28"/>
  <c r="N54" i="28"/>
  <c r="I14" i="28"/>
  <c r="I27" i="28"/>
  <c r="C23" i="28"/>
  <c r="C32" i="28"/>
  <c r="O135" i="28"/>
  <c r="K135" i="28"/>
  <c r="N63" i="28"/>
  <c r="L58" i="28"/>
  <c r="P54" i="28"/>
  <c r="E48" i="28"/>
  <c r="L45" i="28"/>
  <c r="P48" i="28"/>
  <c r="E61" i="28"/>
  <c r="P38" i="28"/>
  <c r="P61" i="28"/>
  <c r="N55" i="28"/>
  <c r="L51" i="28"/>
  <c r="L46" i="28"/>
  <c r="N42" i="28"/>
  <c r="E63" i="28"/>
  <c r="Q14" i="28"/>
  <c r="U15" i="28"/>
  <c r="U74" i="28"/>
  <c r="O12" i="28"/>
  <c r="O11" i="28"/>
  <c r="O74" i="28"/>
  <c r="E101" i="28"/>
  <c r="O20" i="28"/>
  <c r="U19" i="28"/>
  <c r="C59" i="28"/>
  <c r="C60" i="28"/>
  <c r="U21" i="28"/>
  <c r="C52" i="28"/>
  <c r="U77" i="28"/>
  <c r="I152" i="28"/>
  <c r="I147" i="28"/>
  <c r="C141" i="28"/>
  <c r="O76" i="28"/>
  <c r="C151" i="28"/>
  <c r="O81" i="28"/>
  <c r="U79" i="28"/>
  <c r="O80" i="28"/>
  <c r="C103" i="28"/>
  <c r="I135" i="28"/>
  <c r="I108" i="28"/>
  <c r="C135" i="28"/>
  <c r="U29" i="28"/>
  <c r="O32" i="28"/>
  <c r="O31" i="28"/>
  <c r="C62" i="28"/>
  <c r="U107" i="28"/>
  <c r="W102" i="28"/>
  <c r="U108" i="28"/>
  <c r="W116" i="28"/>
  <c r="I10" i="28"/>
  <c r="DP128" i="26"/>
  <c r="E41" i="28"/>
  <c r="CX130" i="26"/>
  <c r="FN82" i="26"/>
  <c r="FN88" i="26"/>
  <c r="FN70" i="26"/>
  <c r="FN73" i="26"/>
  <c r="FN71" i="26"/>
  <c r="FN74" i="26"/>
  <c r="FN92" i="26"/>
  <c r="FN90" i="26"/>
  <c r="FN86" i="26"/>
  <c r="FN83" i="26"/>
  <c r="FN78" i="26"/>
  <c r="FN93" i="26"/>
  <c r="FN85" i="26"/>
  <c r="HI79" i="26"/>
  <c r="HI71" i="26"/>
  <c r="HI87" i="26"/>
  <c r="HI89" i="26"/>
  <c r="HI73" i="26"/>
  <c r="HI81" i="26"/>
  <c r="HI86" i="26"/>
  <c r="HI68" i="26"/>
  <c r="HI92" i="26"/>
  <c r="HI88" i="26"/>
  <c r="HI76" i="26"/>
  <c r="HI77" i="26"/>
  <c r="HI85" i="26"/>
  <c r="HI84" i="26"/>
  <c r="HI82" i="26"/>
  <c r="HI69" i="26"/>
  <c r="HI80" i="26"/>
  <c r="HI78" i="26"/>
  <c r="HI74" i="26"/>
  <c r="HI90" i="26"/>
  <c r="HI91" i="26"/>
  <c r="HI83" i="26"/>
  <c r="HI72" i="26"/>
  <c r="HI70" i="26"/>
  <c r="HI75" i="26"/>
  <c r="HI93" i="26"/>
  <c r="FN80" i="26"/>
  <c r="FN68" i="26"/>
  <c r="FN75" i="26"/>
  <c r="FN76" i="26"/>
  <c r="GS87" i="26"/>
  <c r="GS92" i="26"/>
  <c r="GS79" i="26"/>
  <c r="GS68" i="26"/>
  <c r="GS76" i="26"/>
  <c r="GS71" i="26"/>
  <c r="GS84" i="26"/>
  <c r="GS86" i="26"/>
  <c r="GS85" i="26"/>
  <c r="GS70" i="26"/>
  <c r="GS93" i="26"/>
  <c r="GS82" i="26"/>
  <c r="GS74" i="26"/>
  <c r="GS88" i="26"/>
  <c r="GS69" i="26"/>
  <c r="GS90" i="26"/>
  <c r="GS72" i="26"/>
  <c r="GS77" i="26"/>
  <c r="GS73" i="26"/>
  <c r="GS81" i="26"/>
  <c r="GS83" i="26"/>
  <c r="GS91" i="26"/>
  <c r="GS89" i="26"/>
  <c r="GS78" i="26"/>
  <c r="GS75" i="26"/>
  <c r="GS80" i="26"/>
  <c r="FN84" i="26"/>
  <c r="FN79" i="26"/>
  <c r="FN87" i="26"/>
  <c r="FN69" i="26"/>
  <c r="FN77" i="26"/>
  <c r="FN89" i="26"/>
  <c r="FN91" i="26"/>
  <c r="FN72" i="26"/>
  <c r="FN81" i="26"/>
  <c r="AJ128" i="26"/>
  <c r="AJ106" i="26"/>
  <c r="AJ130" i="26"/>
  <c r="AJ117" i="26"/>
  <c r="AJ131" i="26"/>
  <c r="AJ121" i="26"/>
  <c r="AJ125" i="26"/>
  <c r="AJ126" i="26"/>
  <c r="AJ127" i="26"/>
  <c r="AR126" i="26"/>
  <c r="AS126" i="26"/>
  <c r="AW129" i="26"/>
  <c r="AU129" i="26"/>
  <c r="AW117" i="26"/>
  <c r="AU117" i="26"/>
  <c r="AU107" i="26"/>
  <c r="AW107" i="26"/>
  <c r="AS114" i="26"/>
  <c r="AR114" i="26"/>
  <c r="AR117" i="26"/>
  <c r="AS117" i="26"/>
  <c r="AS109" i="26"/>
  <c r="AR109" i="26"/>
  <c r="AS116" i="26"/>
  <c r="AR116" i="26"/>
  <c r="AU115" i="26"/>
  <c r="AW115" i="26"/>
  <c r="AW113" i="26"/>
  <c r="AU113" i="26"/>
  <c r="AW120" i="26"/>
  <c r="AU120" i="26"/>
  <c r="AJ107" i="26"/>
  <c r="AJ116" i="26"/>
  <c r="AU122" i="26"/>
  <c r="AW122" i="26"/>
  <c r="AR129" i="26"/>
  <c r="AS129" i="26"/>
  <c r="AS128" i="26"/>
  <c r="AS112" i="26"/>
  <c r="AR112" i="26"/>
  <c r="AU123" i="26"/>
  <c r="AW123" i="26"/>
  <c r="AU125" i="26"/>
  <c r="AW125" i="26"/>
  <c r="AU106" i="26"/>
  <c r="AW106" i="26"/>
  <c r="AS130" i="26"/>
  <c r="AR130" i="26"/>
  <c r="AJ122" i="26"/>
  <c r="AS108" i="26"/>
  <c r="AR108" i="26"/>
  <c r="AS127" i="26"/>
  <c r="AR127" i="26"/>
  <c r="AR122" i="26"/>
  <c r="AS122" i="26"/>
  <c r="AS118" i="26"/>
  <c r="AR118" i="26"/>
  <c r="AW128" i="26"/>
  <c r="AU128" i="26"/>
  <c r="AU108" i="26"/>
  <c r="AW108" i="26"/>
  <c r="AR113" i="26"/>
  <c r="AS113" i="26"/>
  <c r="AS119" i="26"/>
  <c r="AR119" i="26"/>
  <c r="AR125" i="26"/>
  <c r="AS125" i="26"/>
  <c r="AW116" i="26"/>
  <c r="AU116" i="26"/>
  <c r="AR111" i="26"/>
  <c r="AS111" i="26"/>
  <c r="AS106" i="26"/>
  <c r="AR106" i="26"/>
  <c r="AW119" i="26"/>
  <c r="AU119" i="26"/>
  <c r="AU121" i="26"/>
  <c r="AW121" i="26"/>
  <c r="AU109" i="26"/>
  <c r="AW109" i="26"/>
  <c r="AU131" i="26"/>
  <c r="AW131" i="26"/>
  <c r="AR110" i="26"/>
  <c r="AS110" i="26"/>
  <c r="AS107" i="26"/>
  <c r="AR107" i="26"/>
  <c r="AJ112" i="26"/>
  <c r="AJ108" i="26"/>
  <c r="AJ118" i="26"/>
  <c r="AJ123" i="26"/>
  <c r="AJ110" i="26"/>
  <c r="AJ114" i="26"/>
  <c r="AJ111" i="26"/>
  <c r="AR115" i="26"/>
  <c r="AS115" i="26"/>
  <c r="AU126" i="26"/>
  <c r="AW126" i="26"/>
  <c r="AR131" i="26"/>
  <c r="AS131" i="26"/>
  <c r="AU110" i="26"/>
  <c r="AW110" i="26"/>
  <c r="AS123" i="26"/>
  <c r="AR123" i="26"/>
  <c r="AU124" i="26"/>
  <c r="AW124" i="26"/>
  <c r="AW130" i="26"/>
  <c r="AU130" i="26"/>
  <c r="AU118" i="26"/>
  <c r="AW118" i="26"/>
  <c r="AW127" i="26"/>
  <c r="AU127" i="26"/>
  <c r="AS120" i="26"/>
  <c r="AJ109" i="26"/>
  <c r="AJ119" i="26"/>
  <c r="AJ115" i="26"/>
  <c r="AJ113" i="26"/>
  <c r="AJ129" i="26"/>
  <c r="AJ120" i="26"/>
  <c r="AS124" i="26"/>
  <c r="AW112" i="26"/>
  <c r="AU112" i="26"/>
  <c r="AU114" i="26"/>
  <c r="AW114" i="26"/>
  <c r="AU111" i="26"/>
  <c r="AW111" i="26"/>
  <c r="AR121" i="26"/>
  <c r="AS121" i="26"/>
  <c r="GD76" i="26" l="1"/>
  <c r="GD85" i="26"/>
  <c r="GD92" i="26"/>
  <c r="GD79" i="26"/>
  <c r="GD80" i="26"/>
  <c r="GD88" i="26"/>
  <c r="GD72" i="26"/>
  <c r="GD70" i="26"/>
  <c r="GD93" i="26"/>
  <c r="GD75" i="26"/>
  <c r="GD78" i="26"/>
  <c r="GD87" i="26"/>
  <c r="GD81" i="26"/>
  <c r="GD86" i="26"/>
  <c r="GD83" i="26"/>
  <c r="GD73" i="26"/>
  <c r="GD71" i="26"/>
  <c r="GD74" i="26"/>
  <c r="GD91" i="26"/>
  <c r="GD84" i="26"/>
  <c r="GD77" i="26"/>
  <c r="GD89" i="26"/>
  <c r="GD82" i="26"/>
  <c r="GD68" i="26"/>
  <c r="GE68" i="26" s="1"/>
  <c r="GF68" i="26" s="1"/>
  <c r="GD90" i="26"/>
  <c r="GD69" i="26"/>
  <c r="HZ90" i="26"/>
  <c r="HZ86" i="26"/>
  <c r="HZ74" i="26"/>
  <c r="HZ78" i="26"/>
  <c r="HZ70" i="26"/>
  <c r="HZ81" i="26"/>
  <c r="HZ92" i="26"/>
  <c r="HZ85" i="26"/>
  <c r="HZ91" i="26"/>
  <c r="HZ71" i="26"/>
  <c r="HZ89" i="26"/>
  <c r="HZ88" i="26"/>
  <c r="HZ77" i="26"/>
  <c r="HZ84" i="26"/>
  <c r="HZ73" i="26"/>
  <c r="HZ75" i="26"/>
  <c r="HZ83" i="26"/>
  <c r="HZ87" i="26"/>
  <c r="HZ79" i="26"/>
  <c r="HZ82" i="26"/>
  <c r="HZ69" i="26"/>
  <c r="HZ80" i="26"/>
  <c r="HZ72" i="26"/>
  <c r="HZ68" i="26"/>
  <c r="HZ93" i="26"/>
  <c r="HZ76" i="26"/>
  <c r="V59" i="28"/>
  <c r="R53" i="28"/>
  <c r="R56" i="28"/>
  <c r="T59" i="28"/>
  <c r="Q55" i="28"/>
  <c r="R47" i="28"/>
  <c r="I44" i="28"/>
  <c r="T41" i="28"/>
  <c r="Q43" i="28"/>
  <c r="Q45" i="28"/>
  <c r="Q54" i="28"/>
  <c r="V38" i="28"/>
  <c r="R60" i="28"/>
  <c r="V52" i="28"/>
  <c r="R41" i="28"/>
  <c r="V49" i="28"/>
  <c r="I53" i="28"/>
  <c r="C155" i="28"/>
  <c r="V44" i="28"/>
  <c r="R52" i="28"/>
  <c r="T56" i="28"/>
  <c r="T58" i="28"/>
  <c r="I40" i="28"/>
  <c r="V41" i="28"/>
  <c r="R43" i="28"/>
  <c r="R45" i="28"/>
  <c r="R54" i="28"/>
  <c r="R62" i="28"/>
  <c r="R44" i="28"/>
  <c r="T52" i="28"/>
  <c r="Q41" i="28"/>
  <c r="T49" i="28"/>
  <c r="I57" i="28"/>
  <c r="T44" i="28"/>
  <c r="V56" i="28"/>
  <c r="V58" i="28"/>
  <c r="I50" i="28"/>
  <c r="T63" i="28"/>
  <c r="R38" i="28"/>
  <c r="R51" i="28"/>
  <c r="R50" i="28"/>
  <c r="Q62" i="28"/>
  <c r="Q44" i="28"/>
  <c r="I39" i="28"/>
  <c r="R48" i="28"/>
  <c r="T39" i="28"/>
  <c r="I58" i="28"/>
  <c r="V43" i="28"/>
  <c r="I51" i="28"/>
  <c r="V62" i="28"/>
  <c r="Q63" i="28"/>
  <c r="I55" i="28"/>
  <c r="V63" i="28"/>
  <c r="Q38" i="28"/>
  <c r="Q51" i="28"/>
  <c r="Q50" i="28"/>
  <c r="I54" i="28"/>
  <c r="T55" i="28"/>
  <c r="I48" i="28"/>
  <c r="Q48" i="28"/>
  <c r="V39" i="28"/>
  <c r="I59" i="28"/>
  <c r="I60" i="28"/>
  <c r="I41" i="28"/>
  <c r="V46" i="28"/>
  <c r="I47" i="28"/>
  <c r="T62" i="28"/>
  <c r="R63" i="28"/>
  <c r="I42" i="28"/>
  <c r="Q42" i="28"/>
  <c r="V51" i="28"/>
  <c r="Q57" i="28"/>
  <c r="V60" i="28"/>
  <c r="R40" i="28"/>
  <c r="V55" i="28"/>
  <c r="T54" i="28"/>
  <c r="T47" i="28"/>
  <c r="R46" i="28"/>
  <c r="Q58" i="28"/>
  <c r="I38" i="28"/>
  <c r="T46" i="28"/>
  <c r="T43" i="28"/>
  <c r="I45" i="28"/>
  <c r="T50" i="28"/>
  <c r="T42" i="28"/>
  <c r="I46" i="28"/>
  <c r="R42" i="28"/>
  <c r="T51" i="28"/>
  <c r="R57" i="28"/>
  <c r="T60" i="28"/>
  <c r="Q40" i="28"/>
  <c r="T57" i="28"/>
  <c r="V54" i="28"/>
  <c r="V47" i="28"/>
  <c r="Q46" i="28"/>
  <c r="R58" i="28"/>
  <c r="I62" i="28"/>
  <c r="I61" i="28"/>
  <c r="V50" i="28"/>
  <c r="V42" i="28"/>
  <c r="I43" i="28"/>
  <c r="R39" i="28"/>
  <c r="T53" i="28"/>
  <c r="V48" i="28"/>
  <c r="T40" i="28"/>
  <c r="R59" i="28"/>
  <c r="V57" i="28"/>
  <c r="Q61" i="28"/>
  <c r="V45" i="28"/>
  <c r="Q49" i="28"/>
  <c r="V61" i="28"/>
  <c r="I49" i="28"/>
  <c r="U153" i="28"/>
  <c r="Q53" i="28"/>
  <c r="I52" i="28"/>
  <c r="R55" i="28"/>
  <c r="Q47" i="28"/>
  <c r="Q39" i="28"/>
  <c r="V53" i="28"/>
  <c r="T48" i="28"/>
  <c r="V40" i="28"/>
  <c r="Q59" i="28"/>
  <c r="T38" i="28"/>
  <c r="R61" i="28"/>
  <c r="T45" i="28"/>
  <c r="R49" i="28"/>
  <c r="T61" i="28"/>
  <c r="I63" i="28"/>
  <c r="GT78" i="26"/>
  <c r="HJ74" i="26"/>
  <c r="HJ76" i="26"/>
  <c r="GT91" i="26"/>
  <c r="GT88" i="26"/>
  <c r="GT71" i="26"/>
  <c r="HJ75" i="26"/>
  <c r="HJ80" i="26"/>
  <c r="HJ92" i="26"/>
  <c r="HJ79" i="26"/>
  <c r="GT89" i="26"/>
  <c r="GT69" i="26"/>
  <c r="GT84" i="26"/>
  <c r="HJ93" i="26"/>
  <c r="HJ78" i="26"/>
  <c r="HJ88" i="26"/>
  <c r="HJ71" i="26"/>
  <c r="GT72" i="26"/>
  <c r="GT80" i="26"/>
  <c r="GT77" i="26"/>
  <c r="GT70" i="26"/>
  <c r="GT92" i="26"/>
  <c r="HJ91" i="26"/>
  <c r="HJ85" i="26"/>
  <c r="HJ73" i="26"/>
  <c r="FO89" i="26"/>
  <c r="FO87" i="26"/>
  <c r="FO91" i="26"/>
  <c r="FO74" i="26"/>
  <c r="FO76" i="26"/>
  <c r="FO86" i="26"/>
  <c r="FO85" i="26"/>
  <c r="FO72" i="26"/>
  <c r="FO68" i="26"/>
  <c r="FO73" i="26"/>
  <c r="FO75" i="26"/>
  <c r="FO82" i="26"/>
  <c r="FO78" i="26"/>
  <c r="FO90" i="26"/>
  <c r="FO83" i="26"/>
  <c r="FO77" i="26"/>
  <c r="FO80" i="26"/>
  <c r="FO93" i="26"/>
  <c r="FO84" i="26"/>
  <c r="FO92" i="26"/>
  <c r="FO81" i="26"/>
  <c r="FO79" i="26"/>
  <c r="FO69" i="26"/>
  <c r="FO88" i="26"/>
  <c r="FO70" i="26"/>
  <c r="FO71" i="26"/>
  <c r="GT86" i="26"/>
  <c r="GT75" i="26"/>
  <c r="HJ90" i="26"/>
  <c r="GT73" i="26"/>
  <c r="GT93" i="26"/>
  <c r="GT79" i="26"/>
  <c r="HJ83" i="26"/>
  <c r="HJ84" i="26"/>
  <c r="HJ81" i="26"/>
  <c r="GT90" i="26"/>
  <c r="GT85" i="26"/>
  <c r="GT87" i="26"/>
  <c r="HJ77" i="26"/>
  <c r="GT81" i="26"/>
  <c r="GT82" i="26"/>
  <c r="GT68" i="26"/>
  <c r="HJ72" i="26"/>
  <c r="HJ82" i="26"/>
  <c r="HJ86" i="26"/>
  <c r="HJ89" i="26"/>
  <c r="HJ68" i="26"/>
  <c r="HJ87" i="26"/>
  <c r="GT83" i="26"/>
  <c r="GT74" i="26"/>
  <c r="GT76" i="26"/>
  <c r="HJ70" i="26"/>
  <c r="HJ69" i="26"/>
  <c r="AP125" i="26"/>
  <c r="AP110" i="26"/>
  <c r="AP126" i="26"/>
  <c r="AP111" i="26"/>
  <c r="AP116" i="26"/>
  <c r="AP117" i="26"/>
  <c r="AP122" i="26"/>
  <c r="AP121" i="26"/>
  <c r="AR120" i="26"/>
  <c r="AP120" i="26"/>
  <c r="AY127" i="26"/>
  <c r="AX127" i="26"/>
  <c r="AX116" i="26"/>
  <c r="AY116" i="26"/>
  <c r="AY125" i="26"/>
  <c r="AX125" i="26"/>
  <c r="BC120" i="26"/>
  <c r="BA120" i="26"/>
  <c r="BC118" i="26"/>
  <c r="BA118" i="26"/>
  <c r="BC111" i="26"/>
  <c r="BA111" i="26"/>
  <c r="BC115" i="26"/>
  <c r="BA115" i="26"/>
  <c r="AX107" i="26"/>
  <c r="AY107" i="26"/>
  <c r="AP123" i="26"/>
  <c r="AP131" i="26"/>
  <c r="AP115" i="26"/>
  <c r="AP106" i="26"/>
  <c r="AP119" i="26"/>
  <c r="AP108" i="26"/>
  <c r="AP112" i="26"/>
  <c r="AY109" i="26"/>
  <c r="AX109" i="26"/>
  <c r="AX120" i="26"/>
  <c r="AY120" i="26"/>
  <c r="BC108" i="26"/>
  <c r="BA108" i="26"/>
  <c r="BA114" i="26"/>
  <c r="BC114" i="26"/>
  <c r="BC124" i="26"/>
  <c r="BA124" i="26"/>
  <c r="BA128" i="26"/>
  <c r="BC128" i="26"/>
  <c r="AY130" i="26"/>
  <c r="AX130" i="26"/>
  <c r="AY106" i="26"/>
  <c r="AX106" i="26"/>
  <c r="AR128" i="26"/>
  <c r="AP128" i="26"/>
  <c r="BC117" i="26"/>
  <c r="BA117" i="26"/>
  <c r="BA131" i="26"/>
  <c r="BC131" i="26"/>
  <c r="BA116" i="26"/>
  <c r="BC116" i="26"/>
  <c r="AX112" i="26"/>
  <c r="AY112" i="26"/>
  <c r="AY110" i="26"/>
  <c r="AX110" i="26"/>
  <c r="AX126" i="26"/>
  <c r="AY126" i="26"/>
  <c r="AV126" i="26"/>
  <c r="AY131" i="26"/>
  <c r="AX131" i="26"/>
  <c r="AY119" i="26"/>
  <c r="AX119" i="26"/>
  <c r="AY115" i="26"/>
  <c r="AX115" i="26"/>
  <c r="BC113" i="26"/>
  <c r="BA113" i="26"/>
  <c r="BA119" i="26"/>
  <c r="BC119" i="26"/>
  <c r="BC126" i="26"/>
  <c r="BA126" i="26"/>
  <c r="AX129" i="26"/>
  <c r="AY129" i="26"/>
  <c r="AX128" i="26"/>
  <c r="AY128" i="26"/>
  <c r="BC130" i="26"/>
  <c r="BA130" i="26"/>
  <c r="BA127" i="26"/>
  <c r="BC127" i="26"/>
  <c r="BA122" i="26"/>
  <c r="BC122" i="26"/>
  <c r="AP129" i="26"/>
  <c r="AP107" i="26"/>
  <c r="AP118" i="26"/>
  <c r="AP113" i="26"/>
  <c r="AP127" i="26"/>
  <c r="AP109" i="26"/>
  <c r="AP114" i="26"/>
  <c r="AY124" i="26"/>
  <c r="AX124" i="26"/>
  <c r="AY108" i="26"/>
  <c r="AX108" i="26"/>
  <c r="AY113" i="26"/>
  <c r="AX113" i="26"/>
  <c r="BA123" i="26"/>
  <c r="BC123" i="26"/>
  <c r="AX118" i="26"/>
  <c r="AY118" i="26"/>
  <c r="AY121" i="26"/>
  <c r="AX121" i="26"/>
  <c r="AY123" i="26"/>
  <c r="AX123" i="26"/>
  <c r="AY122" i="26"/>
  <c r="AX122" i="26"/>
  <c r="BC112" i="26"/>
  <c r="BA112" i="26"/>
  <c r="BA110" i="26"/>
  <c r="BC110" i="26"/>
  <c r="BC125" i="26"/>
  <c r="BA125" i="26"/>
  <c r="BC107" i="26"/>
  <c r="BA107" i="26"/>
  <c r="BC109" i="26"/>
  <c r="BA109" i="26"/>
  <c r="AY111" i="26"/>
  <c r="AX111" i="26"/>
  <c r="AY114" i="26"/>
  <c r="AX114" i="26"/>
  <c r="AR124" i="26"/>
  <c r="AP124" i="26"/>
  <c r="BC129" i="26"/>
  <c r="BA129" i="26"/>
  <c r="BA106" i="26"/>
  <c r="BC106" i="26"/>
  <c r="BC121" i="26"/>
  <c r="BA121" i="26"/>
  <c r="AY117" i="26"/>
  <c r="AX117" i="26"/>
  <c r="AP130" i="26"/>
  <c r="FE106" i="26" l="1"/>
  <c r="N193" i="28" s="1"/>
  <c r="GG68" i="26"/>
  <c r="GE77" i="26"/>
  <c r="GF77" i="26" s="1"/>
  <c r="GE90" i="26"/>
  <c r="GF90" i="26" s="1"/>
  <c r="GE85" i="26"/>
  <c r="GF85" i="26" s="1"/>
  <c r="GE89" i="26"/>
  <c r="GF89" i="26" s="1"/>
  <c r="GE84" i="26"/>
  <c r="GF84" i="26" s="1"/>
  <c r="GE80" i="26"/>
  <c r="GF80" i="26" s="1"/>
  <c r="GE83" i="26"/>
  <c r="GF83" i="26" s="1"/>
  <c r="GE69" i="26"/>
  <c r="GF69" i="26" s="1"/>
  <c r="GE88" i="26"/>
  <c r="GF88" i="26" s="1"/>
  <c r="GE82" i="26"/>
  <c r="GF82" i="26" s="1"/>
  <c r="GE73" i="26"/>
  <c r="GF73" i="26" s="1"/>
  <c r="GE91" i="26"/>
  <c r="GF91" i="26" s="1"/>
  <c r="GE93" i="26"/>
  <c r="GF93" i="26" s="1"/>
  <c r="GE79" i="26"/>
  <c r="GF79" i="26" s="1"/>
  <c r="GE71" i="26"/>
  <c r="GF71" i="26" s="1"/>
  <c r="GE70" i="26"/>
  <c r="GF70" i="26" s="1"/>
  <c r="GE72" i="26"/>
  <c r="GF72" i="26" s="1"/>
  <c r="GE76" i="26"/>
  <c r="GF76" i="26" s="1"/>
  <c r="GE92" i="26"/>
  <c r="GF92" i="26" s="1"/>
  <c r="GE87" i="26"/>
  <c r="GF87" i="26" s="1"/>
  <c r="GE75" i="26"/>
  <c r="GF75" i="26" s="1"/>
  <c r="GE78" i="26"/>
  <c r="GF78" i="26" s="1"/>
  <c r="GE74" i="26"/>
  <c r="GF74" i="26" s="1"/>
  <c r="GE81" i="26"/>
  <c r="GF81" i="26" s="1"/>
  <c r="GE86" i="26"/>
  <c r="GF86" i="26" s="1"/>
  <c r="GI68" i="26"/>
  <c r="FG106" i="26" s="1"/>
  <c r="IA77" i="26"/>
  <c r="IB77" i="26" s="1"/>
  <c r="IC77" i="26" s="1"/>
  <c r="IA83" i="26"/>
  <c r="IB83" i="26" s="1"/>
  <c r="IC83" i="26" s="1"/>
  <c r="IA74" i="26"/>
  <c r="IB74" i="26" s="1"/>
  <c r="IC74" i="26" s="1"/>
  <c r="IA89" i="26"/>
  <c r="IA80" i="26"/>
  <c r="IB80" i="26" s="1"/>
  <c r="IC80" i="26" s="1"/>
  <c r="IA82" i="26"/>
  <c r="IA87" i="26"/>
  <c r="IB87" i="26" s="1"/>
  <c r="IC87" i="26" s="1"/>
  <c r="IA88" i="26"/>
  <c r="IA73" i="26"/>
  <c r="IA76" i="26"/>
  <c r="IA68" i="26"/>
  <c r="IA78" i="26"/>
  <c r="IA90" i="26"/>
  <c r="IB90" i="26" s="1"/>
  <c r="IC90" i="26" s="1"/>
  <c r="IA86" i="26"/>
  <c r="IB86" i="26" s="1"/>
  <c r="IC86" i="26" s="1"/>
  <c r="IA79" i="26"/>
  <c r="IA69" i="26"/>
  <c r="IA92" i="26"/>
  <c r="IA85" i="26"/>
  <c r="IA75" i="26"/>
  <c r="IA71" i="26"/>
  <c r="IA93" i="26"/>
  <c r="IA72" i="26"/>
  <c r="IB72" i="26" s="1"/>
  <c r="IC72" i="26" s="1"/>
  <c r="IA84" i="26"/>
  <c r="IA81" i="26"/>
  <c r="IA91" i="26"/>
  <c r="IB91" i="26" s="1"/>
  <c r="IC91" i="26" s="1"/>
  <c r="IA70" i="26"/>
  <c r="W55" i="28"/>
  <c r="W45" i="28"/>
  <c r="O59" i="28"/>
  <c r="B90" i="28"/>
  <c r="D89" i="28"/>
  <c r="X44" i="28"/>
  <c r="O60" i="28"/>
  <c r="B87" i="28"/>
  <c r="W41" i="28"/>
  <c r="O55" i="28"/>
  <c r="D81" i="28"/>
  <c r="O58" i="28"/>
  <c r="B84" i="28"/>
  <c r="B88" i="28"/>
  <c r="Q56" i="28"/>
  <c r="D70" i="28"/>
  <c r="B86" i="28"/>
  <c r="O41" i="28"/>
  <c r="D90" i="28"/>
  <c r="B89" i="28"/>
  <c r="W51" i="28"/>
  <c r="X42" i="28"/>
  <c r="D80" i="28"/>
  <c r="B91" i="28"/>
  <c r="W52" i="28"/>
  <c r="O63" i="28"/>
  <c r="B81" i="28"/>
  <c r="W59" i="28"/>
  <c r="O43" i="28"/>
  <c r="O62" i="28"/>
  <c r="W46" i="28"/>
  <c r="W49" i="28"/>
  <c r="O56" i="28"/>
  <c r="B70" i="28"/>
  <c r="W54" i="28"/>
  <c r="D86" i="28"/>
  <c r="O46" i="28"/>
  <c r="B85" i="28"/>
  <c r="W61" i="28"/>
  <c r="W42" i="28"/>
  <c r="B80" i="28"/>
  <c r="D91" i="28"/>
  <c r="O47" i="28"/>
  <c r="D74" i="28"/>
  <c r="W48" i="28"/>
  <c r="O48" i="28"/>
  <c r="D72" i="28"/>
  <c r="D75" i="28"/>
  <c r="W50" i="28"/>
  <c r="D85" i="28"/>
  <c r="W47" i="28"/>
  <c r="W58" i="28"/>
  <c r="B94" i="28"/>
  <c r="D71" i="28"/>
  <c r="O38" i="28"/>
  <c r="B74" i="28"/>
  <c r="O49" i="28"/>
  <c r="D92" i="28"/>
  <c r="B75" i="28"/>
  <c r="O61" i="28"/>
  <c r="W60" i="28"/>
  <c r="D76" i="28"/>
  <c r="D94" i="28"/>
  <c r="W62" i="28"/>
  <c r="B71" i="28"/>
  <c r="O51" i="28"/>
  <c r="D78" i="28"/>
  <c r="O54" i="28"/>
  <c r="B72" i="28"/>
  <c r="W56" i="28"/>
  <c r="B69" i="28"/>
  <c r="X43" i="28"/>
  <c r="B73" i="28"/>
  <c r="X40" i="28"/>
  <c r="O39" i="28"/>
  <c r="B76" i="28"/>
  <c r="U58" i="28"/>
  <c r="B79" i="28"/>
  <c r="X38" i="28"/>
  <c r="B77" i="28"/>
  <c r="O40" i="28"/>
  <c r="B78" i="28"/>
  <c r="W57" i="28"/>
  <c r="O53" i="28"/>
  <c r="B92" i="28"/>
  <c r="D69" i="28"/>
  <c r="W43" i="28"/>
  <c r="D73" i="28"/>
  <c r="W53" i="28"/>
  <c r="W40" i="28"/>
  <c r="O50" i="28"/>
  <c r="D93" i="28"/>
  <c r="B82" i="28"/>
  <c r="X63" i="28"/>
  <c r="D79" i="28"/>
  <c r="W38" i="28"/>
  <c r="D77" i="28"/>
  <c r="O44" i="28"/>
  <c r="W39" i="28"/>
  <c r="D83" i="28"/>
  <c r="Q52" i="28"/>
  <c r="O57" i="28"/>
  <c r="D84" i="28"/>
  <c r="X46" i="28"/>
  <c r="D88" i="28"/>
  <c r="X45" i="28"/>
  <c r="O45" i="28"/>
  <c r="B93" i="28"/>
  <c r="D82" i="28"/>
  <c r="W63" i="28"/>
  <c r="W44" i="28"/>
  <c r="Q60" i="28"/>
  <c r="D87" i="28"/>
  <c r="X41" i="28"/>
  <c r="X39" i="28"/>
  <c r="B83" i="28"/>
  <c r="O52" i="28"/>
  <c r="O42" i="28"/>
  <c r="FP69" i="26"/>
  <c r="FP83" i="26"/>
  <c r="FP85" i="26"/>
  <c r="FP88" i="26"/>
  <c r="FP77" i="26"/>
  <c r="FP72" i="26"/>
  <c r="FP70" i="26"/>
  <c r="FP68" i="26"/>
  <c r="FP87" i="26"/>
  <c r="HK91" i="26"/>
  <c r="HK74" i="26"/>
  <c r="HK76" i="26"/>
  <c r="HK72" i="26"/>
  <c r="HK82" i="26"/>
  <c r="HK84" i="26"/>
  <c r="HK81" i="26"/>
  <c r="HK85" i="26"/>
  <c r="HK80" i="26"/>
  <c r="HK90" i="26"/>
  <c r="HK92" i="26"/>
  <c r="HK70" i="26"/>
  <c r="HK77" i="26"/>
  <c r="HK86" i="26"/>
  <c r="HK71" i="26"/>
  <c r="HK73" i="26"/>
  <c r="HK88" i="26"/>
  <c r="HK69" i="26"/>
  <c r="HK75" i="26"/>
  <c r="HK78" i="26"/>
  <c r="HK93" i="26"/>
  <c r="HK79" i="26"/>
  <c r="HK89" i="26"/>
  <c r="HK83" i="26"/>
  <c r="HK87" i="26"/>
  <c r="HK68" i="26"/>
  <c r="FP84" i="26"/>
  <c r="FP75" i="26"/>
  <c r="FP91" i="26"/>
  <c r="FP93" i="26"/>
  <c r="FP73" i="26"/>
  <c r="FP92" i="26"/>
  <c r="FP82" i="26"/>
  <c r="FP74" i="26"/>
  <c r="FP80" i="26"/>
  <c r="FP71" i="26"/>
  <c r="GK68" i="26"/>
  <c r="GJ68" i="26"/>
  <c r="GU69" i="26"/>
  <c r="GU72" i="26"/>
  <c r="GU93" i="26"/>
  <c r="GU83" i="26"/>
  <c r="GU92" i="26"/>
  <c r="GU90" i="26"/>
  <c r="GU80" i="26"/>
  <c r="GU84" i="26"/>
  <c r="GU70" i="26"/>
  <c r="GU89" i="26"/>
  <c r="GU77" i="26"/>
  <c r="GU73" i="26"/>
  <c r="GU71" i="26"/>
  <c r="GU87" i="26"/>
  <c r="GU68" i="26"/>
  <c r="GU82" i="26"/>
  <c r="GU88" i="26"/>
  <c r="GU78" i="26"/>
  <c r="GU86" i="26"/>
  <c r="GU75" i="26"/>
  <c r="GU79" i="26"/>
  <c r="GU81" i="26"/>
  <c r="GU76" i="26"/>
  <c r="GU91" i="26"/>
  <c r="GU85" i="26"/>
  <c r="GU74" i="26"/>
  <c r="FP81" i="26"/>
  <c r="FP78" i="26"/>
  <c r="FP76" i="26"/>
  <c r="FP89" i="26"/>
  <c r="FP79" i="26"/>
  <c r="FP90" i="26"/>
  <c r="FP86" i="26"/>
  <c r="AV111" i="26"/>
  <c r="AV120" i="26"/>
  <c r="AV121" i="26"/>
  <c r="AV122" i="26"/>
  <c r="AV128" i="26"/>
  <c r="AV106" i="26"/>
  <c r="AV125" i="26"/>
  <c r="BE129" i="26"/>
  <c r="BD129" i="26"/>
  <c r="BB129" i="26"/>
  <c r="BG120" i="26"/>
  <c r="BI120" i="26"/>
  <c r="BG111" i="26"/>
  <c r="BI111" i="26"/>
  <c r="BI110" i="26"/>
  <c r="BG110" i="26"/>
  <c r="BD122" i="26"/>
  <c r="BB122" i="26"/>
  <c r="BE122" i="26"/>
  <c r="BE119" i="26"/>
  <c r="BD119" i="26"/>
  <c r="BB119" i="26"/>
  <c r="BG114" i="26"/>
  <c r="BI114" i="26"/>
  <c r="BG131" i="26"/>
  <c r="BI131" i="26"/>
  <c r="BI112" i="26"/>
  <c r="BG112" i="26"/>
  <c r="AV119" i="26"/>
  <c r="AV112" i="26"/>
  <c r="AV117" i="26"/>
  <c r="AV113" i="26"/>
  <c r="AV115" i="26"/>
  <c r="AV130" i="26"/>
  <c r="BE107" i="26"/>
  <c r="BD107" i="26"/>
  <c r="BI128" i="26"/>
  <c r="BG128" i="26"/>
  <c r="BG129" i="26"/>
  <c r="BI129" i="26"/>
  <c r="BI121" i="26"/>
  <c r="BG121" i="26"/>
  <c r="BD113" i="26"/>
  <c r="BE113" i="26"/>
  <c r="BB113" i="26"/>
  <c r="AV108" i="26"/>
  <c r="AV127" i="26"/>
  <c r="BE109" i="26"/>
  <c r="BD109" i="26"/>
  <c r="BB109" i="26"/>
  <c r="BB125" i="26"/>
  <c r="BE125" i="26"/>
  <c r="BD125" i="26"/>
  <c r="BG122" i="26"/>
  <c r="BI122" i="26"/>
  <c r="BG125" i="26"/>
  <c r="BI125" i="26"/>
  <c r="BG113" i="26"/>
  <c r="BI113" i="26"/>
  <c r="BG107" i="26"/>
  <c r="BI107" i="26"/>
  <c r="BD127" i="26"/>
  <c r="BE127" i="26"/>
  <c r="BB127" i="26"/>
  <c r="BE131" i="26"/>
  <c r="BD131" i="26"/>
  <c r="BB131" i="26"/>
  <c r="BB114" i="26"/>
  <c r="BE114" i="26"/>
  <c r="BD114" i="26"/>
  <c r="BD120" i="26"/>
  <c r="BB120" i="26"/>
  <c r="BE120" i="26"/>
  <c r="AV123" i="26"/>
  <c r="AV118" i="26"/>
  <c r="AV131" i="26"/>
  <c r="BD106" i="26"/>
  <c r="BE106" i="26"/>
  <c r="BE110" i="26"/>
  <c r="BB110" i="26"/>
  <c r="BD110" i="26"/>
  <c r="BB123" i="26"/>
  <c r="BE123" i="26"/>
  <c r="BD123" i="26"/>
  <c r="BI108" i="26"/>
  <c r="BG108" i="26"/>
  <c r="BI117" i="26"/>
  <c r="BG117" i="26"/>
  <c r="BG106" i="26"/>
  <c r="BI106" i="26"/>
  <c r="BE118" i="26"/>
  <c r="BD118" i="26"/>
  <c r="BB118" i="26"/>
  <c r="BG126" i="26"/>
  <c r="BI126" i="26"/>
  <c r="BG119" i="26"/>
  <c r="BI119" i="26"/>
  <c r="BG115" i="26"/>
  <c r="BI115" i="26"/>
  <c r="BB130" i="26"/>
  <c r="BD130" i="26"/>
  <c r="BE130" i="26"/>
  <c r="BB126" i="26"/>
  <c r="BD126" i="26"/>
  <c r="BE126" i="26"/>
  <c r="BD117" i="26"/>
  <c r="BB117" i="26"/>
  <c r="BE117" i="26"/>
  <c r="BB128" i="26"/>
  <c r="BD128" i="26"/>
  <c r="BE128" i="26"/>
  <c r="BE108" i="26"/>
  <c r="BB108" i="26"/>
  <c r="BD108" i="26"/>
  <c r="BE111" i="26"/>
  <c r="BB111" i="26"/>
  <c r="BD111" i="26"/>
  <c r="BB121" i="26"/>
  <c r="BD121" i="26"/>
  <c r="BE121" i="26"/>
  <c r="BI116" i="26"/>
  <c r="BG116" i="26"/>
  <c r="BI127" i="26"/>
  <c r="BG127" i="26"/>
  <c r="BI123" i="26"/>
  <c r="BG123" i="26"/>
  <c r="BG130" i="26"/>
  <c r="BI130" i="26"/>
  <c r="AV109" i="26"/>
  <c r="AV107" i="26"/>
  <c r="BE112" i="26"/>
  <c r="BD112" i="26"/>
  <c r="BB112" i="26"/>
  <c r="BI118" i="26"/>
  <c r="BG118" i="26"/>
  <c r="BG109" i="26"/>
  <c r="BI109" i="26"/>
  <c r="BG124" i="26"/>
  <c r="BI124" i="26"/>
  <c r="BE116" i="26"/>
  <c r="BD116" i="26"/>
  <c r="BB116" i="26"/>
  <c r="BE124" i="26"/>
  <c r="BB124" i="26"/>
  <c r="BD124" i="26"/>
  <c r="BD115" i="26"/>
  <c r="BB115" i="26"/>
  <c r="BE115" i="26"/>
  <c r="AV114" i="26"/>
  <c r="AV124" i="26"/>
  <c r="AV129" i="26"/>
  <c r="AV110" i="26"/>
  <c r="AV116" i="26"/>
  <c r="FE117" i="26" l="1"/>
  <c r="N204" i="28" s="1"/>
  <c r="GG79" i="26"/>
  <c r="FE112" i="26"/>
  <c r="N199" i="28" s="1"/>
  <c r="GG74" i="26"/>
  <c r="FE109" i="26"/>
  <c r="N196" i="28" s="1"/>
  <c r="GG71" i="26"/>
  <c r="FE121" i="26"/>
  <c r="N208" i="28" s="1"/>
  <c r="GG83" i="26"/>
  <c r="FE119" i="26"/>
  <c r="N206" i="28" s="1"/>
  <c r="GG81" i="26"/>
  <c r="FE108" i="26"/>
  <c r="N195" i="28" s="1"/>
  <c r="GG70" i="26"/>
  <c r="FE107" i="26"/>
  <c r="N194" i="28" s="1"/>
  <c r="GG69" i="26"/>
  <c r="FE124" i="26"/>
  <c r="N211" i="28" s="1"/>
  <c r="GG86" i="26"/>
  <c r="FE110" i="26"/>
  <c r="N197" i="28" s="1"/>
  <c r="GG72" i="26"/>
  <c r="FE126" i="26"/>
  <c r="N213" i="28" s="1"/>
  <c r="GG88" i="26"/>
  <c r="FE115" i="26"/>
  <c r="N202" i="28" s="1"/>
  <c r="GG77" i="26"/>
  <c r="FE116" i="26"/>
  <c r="N203" i="28" s="1"/>
  <c r="GG78" i="26"/>
  <c r="FE114" i="26"/>
  <c r="N201" i="28" s="1"/>
  <c r="GG76" i="26"/>
  <c r="FE120" i="26"/>
  <c r="N207" i="28" s="1"/>
  <c r="GG82" i="26"/>
  <c r="FE128" i="26"/>
  <c r="N215" i="28" s="1"/>
  <c r="GG90" i="26"/>
  <c r="FE118" i="26"/>
  <c r="N205" i="28" s="1"/>
  <c r="GG80" i="26"/>
  <c r="FE130" i="26"/>
  <c r="N217" i="28" s="1"/>
  <c r="GG92" i="26"/>
  <c r="FE111" i="26"/>
  <c r="N198" i="28" s="1"/>
  <c r="GG73" i="26"/>
  <c r="FE123" i="26"/>
  <c r="N210" i="28" s="1"/>
  <c r="GG85" i="26"/>
  <c r="FE125" i="26"/>
  <c r="N212" i="28" s="1"/>
  <c r="GG87" i="26"/>
  <c r="FE129" i="26"/>
  <c r="N216" i="28" s="1"/>
  <c r="GG91" i="26"/>
  <c r="FE127" i="26"/>
  <c r="N214" i="28" s="1"/>
  <c r="GG89" i="26"/>
  <c r="FE113" i="26"/>
  <c r="N200" i="28" s="1"/>
  <c r="GG75" i="26"/>
  <c r="FE131" i="26"/>
  <c r="N218" i="28" s="1"/>
  <c r="GG93" i="26"/>
  <c r="FE122" i="26"/>
  <c r="N209" i="28" s="1"/>
  <c r="GG84" i="26"/>
  <c r="EY124" i="26"/>
  <c r="H211" i="28" s="1"/>
  <c r="FQ86" i="26"/>
  <c r="EY130" i="26"/>
  <c r="H217" i="28" s="1"/>
  <c r="FQ92" i="26"/>
  <c r="EY125" i="26"/>
  <c r="H212" i="28" s="1"/>
  <c r="FQ87" i="26"/>
  <c r="EY107" i="26"/>
  <c r="H194" i="28" s="1"/>
  <c r="FQ69" i="26"/>
  <c r="EY119" i="26"/>
  <c r="H206" i="28" s="1"/>
  <c r="FQ81" i="26"/>
  <c r="EY120" i="26"/>
  <c r="H207" i="28" s="1"/>
  <c r="FQ82" i="26"/>
  <c r="EY121" i="26"/>
  <c r="H208" i="28" s="1"/>
  <c r="FQ83" i="26"/>
  <c r="EY111" i="26"/>
  <c r="H198" i="28" s="1"/>
  <c r="FQ73" i="26"/>
  <c r="EY106" i="26"/>
  <c r="H193" i="28" s="1"/>
  <c r="FQ68" i="26"/>
  <c r="EY116" i="26"/>
  <c r="H203" i="28" s="1"/>
  <c r="FQ78" i="26"/>
  <c r="EY112" i="26"/>
  <c r="H199" i="28" s="1"/>
  <c r="FQ74" i="26"/>
  <c r="EY123" i="26"/>
  <c r="H210" i="28" s="1"/>
  <c r="FQ85" i="26"/>
  <c r="EY117" i="26"/>
  <c r="H204" i="28" s="1"/>
  <c r="FQ79" i="26"/>
  <c r="EY110" i="26"/>
  <c r="H197" i="28" s="1"/>
  <c r="FQ72" i="26"/>
  <c r="EY114" i="26"/>
  <c r="H201" i="28" s="1"/>
  <c r="FQ76" i="26"/>
  <c r="EY118" i="26"/>
  <c r="H205" i="28" s="1"/>
  <c r="FQ80" i="26"/>
  <c r="EY122" i="26"/>
  <c r="H209" i="28" s="1"/>
  <c r="FQ84" i="26"/>
  <c r="EY126" i="26"/>
  <c r="H213" i="28" s="1"/>
  <c r="FQ88" i="26"/>
  <c r="EY129" i="26"/>
  <c r="H216" i="28" s="1"/>
  <c r="FQ91" i="26"/>
  <c r="EY128" i="26"/>
  <c r="H215" i="28" s="1"/>
  <c r="FQ90" i="26"/>
  <c r="EY131" i="26"/>
  <c r="H218" i="28" s="1"/>
  <c r="FQ93" i="26"/>
  <c r="EY108" i="26"/>
  <c r="H195" i="28" s="1"/>
  <c r="FQ70" i="26"/>
  <c r="EY127" i="26"/>
  <c r="H214" i="28" s="1"/>
  <c r="FQ89" i="26"/>
  <c r="EY109" i="26"/>
  <c r="H196" i="28" s="1"/>
  <c r="FQ71" i="26"/>
  <c r="EY113" i="26"/>
  <c r="H200" i="28" s="1"/>
  <c r="FQ75" i="26"/>
  <c r="EY115" i="26"/>
  <c r="H202" i="28" s="1"/>
  <c r="FQ77" i="26"/>
  <c r="GI69" i="26"/>
  <c r="FG107" i="26" s="1"/>
  <c r="GJ69" i="26"/>
  <c r="FH107" i="26" s="1"/>
  <c r="P193" i="28"/>
  <c r="GI70" i="26"/>
  <c r="FG108" i="26" s="1"/>
  <c r="GK69" i="26"/>
  <c r="GJ70" i="26"/>
  <c r="FH108" i="26" s="1"/>
  <c r="GI71" i="26"/>
  <c r="FG109" i="26" s="1"/>
  <c r="GI79" i="26"/>
  <c r="FG117" i="26" s="1"/>
  <c r="GI73" i="26"/>
  <c r="FG111" i="26" s="1"/>
  <c r="GJ73" i="26"/>
  <c r="FH111" i="26" s="1"/>
  <c r="GJ79" i="26"/>
  <c r="FH117" i="26" s="1"/>
  <c r="GK80" i="26"/>
  <c r="GJ80" i="26"/>
  <c r="FH118" i="26" s="1"/>
  <c r="GK79" i="26"/>
  <c r="GK73" i="26"/>
  <c r="BT120" i="26"/>
  <c r="FH106" i="26"/>
  <c r="GK70" i="26"/>
  <c r="BT122" i="26"/>
  <c r="GH80" i="26"/>
  <c r="FF118" i="26" s="1"/>
  <c r="GH68" i="26"/>
  <c r="FF106" i="26" s="1"/>
  <c r="GJ75" i="26"/>
  <c r="FH113" i="26" s="1"/>
  <c r="GI80" i="26"/>
  <c r="FG118" i="26" s="1"/>
  <c r="GI72" i="26"/>
  <c r="FG110" i="26" s="1"/>
  <c r="GK77" i="26"/>
  <c r="GJ77" i="26"/>
  <c r="FH115" i="26" s="1"/>
  <c r="GK72" i="26"/>
  <c r="GJ72" i="26"/>
  <c r="GI77" i="26"/>
  <c r="FG115" i="26" s="1"/>
  <c r="GI76" i="26"/>
  <c r="FG114" i="26" s="1"/>
  <c r="GK76" i="26"/>
  <c r="GJ82" i="26"/>
  <c r="GK82" i="26"/>
  <c r="GI91" i="26"/>
  <c r="FG129" i="26" s="1"/>
  <c r="GJ76" i="26"/>
  <c r="GK91" i="26"/>
  <c r="GK75" i="26"/>
  <c r="GJ91" i="26"/>
  <c r="GJ71" i="26"/>
  <c r="FH109" i="26" s="1"/>
  <c r="GI75" i="26"/>
  <c r="FG113" i="26" s="1"/>
  <c r="GK71" i="26"/>
  <c r="GI82" i="26"/>
  <c r="FG120" i="26" s="1"/>
  <c r="ID90" i="26"/>
  <c r="IE90" i="26"/>
  <c r="IE83" i="26"/>
  <c r="ID83" i="26"/>
  <c r="ID86" i="26"/>
  <c r="IE86" i="26"/>
  <c r="ID87" i="26"/>
  <c r="IE87" i="26"/>
  <c r="ID80" i="26"/>
  <c r="IE80" i="26"/>
  <c r="IE72" i="26"/>
  <c r="ID72" i="26"/>
  <c r="ID74" i="26"/>
  <c r="IE74" i="26"/>
  <c r="ID77" i="26"/>
  <c r="IE77" i="26"/>
  <c r="IE91" i="26"/>
  <c r="ID91" i="26"/>
  <c r="GI90" i="26"/>
  <c r="FG128" i="26" s="1"/>
  <c r="GH93" i="26"/>
  <c r="FF131" i="26" s="1"/>
  <c r="GI93" i="26"/>
  <c r="FG131" i="26" s="1"/>
  <c r="GK78" i="26"/>
  <c r="GI78" i="26"/>
  <c r="FG116" i="26" s="1"/>
  <c r="GK85" i="26"/>
  <c r="GI85" i="26"/>
  <c r="FG123" i="26" s="1"/>
  <c r="GJ87" i="26"/>
  <c r="GI87" i="26"/>
  <c r="FG125" i="26" s="1"/>
  <c r="IB89" i="26"/>
  <c r="IC89" i="26" s="1"/>
  <c r="GI84" i="26"/>
  <c r="FG122" i="26" s="1"/>
  <c r="GH84" i="26"/>
  <c r="FF122" i="26" s="1"/>
  <c r="GI74" i="26"/>
  <c r="FG112" i="26" s="1"/>
  <c r="GI88" i="26"/>
  <c r="FG126" i="26" s="1"/>
  <c r="GI86" i="26"/>
  <c r="FG124" i="26" s="1"/>
  <c r="GK81" i="26"/>
  <c r="GI81" i="26"/>
  <c r="FG119" i="26" s="1"/>
  <c r="GI83" i="26"/>
  <c r="FG121" i="26" s="1"/>
  <c r="GI89" i="26"/>
  <c r="FG127" i="26" s="1"/>
  <c r="GJ92" i="26"/>
  <c r="FH130" i="26" s="1"/>
  <c r="GI92" i="26"/>
  <c r="FG130" i="26" s="1"/>
  <c r="FS82" i="26"/>
  <c r="FA120" i="26" s="1"/>
  <c r="FS81" i="26"/>
  <c r="FA119" i="26" s="1"/>
  <c r="FS78" i="26"/>
  <c r="FA116" i="26" s="1"/>
  <c r="FS74" i="26"/>
  <c r="FA112" i="26" s="1"/>
  <c r="FS70" i="26"/>
  <c r="FA108" i="26" s="1"/>
  <c r="FS83" i="26"/>
  <c r="FA121" i="26" s="1"/>
  <c r="FS73" i="26"/>
  <c r="FA111" i="26" s="1"/>
  <c r="FS85" i="26"/>
  <c r="FA123" i="26" s="1"/>
  <c r="FS80" i="26"/>
  <c r="FA118" i="26" s="1"/>
  <c r="FS90" i="26"/>
  <c r="FA128" i="26" s="1"/>
  <c r="FS76" i="26"/>
  <c r="FA114" i="26" s="1"/>
  <c r="FS68" i="26"/>
  <c r="FA106" i="26" s="1"/>
  <c r="FS88" i="26"/>
  <c r="FA126" i="26" s="1"/>
  <c r="FR88" i="26"/>
  <c r="EZ126" i="26" s="1"/>
  <c r="GJ93" i="26"/>
  <c r="FS79" i="26"/>
  <c r="FA117" i="26" s="1"/>
  <c r="FS75" i="26"/>
  <c r="FA113" i="26" s="1"/>
  <c r="FS92" i="26"/>
  <c r="FA130" i="26" s="1"/>
  <c r="FS91" i="26"/>
  <c r="FA129" i="26" s="1"/>
  <c r="FS84" i="26"/>
  <c r="FA122" i="26" s="1"/>
  <c r="FS72" i="26"/>
  <c r="FA110" i="26" s="1"/>
  <c r="FS86" i="26"/>
  <c r="FA124" i="26" s="1"/>
  <c r="FS89" i="26"/>
  <c r="FA127" i="26" s="1"/>
  <c r="FS71" i="26"/>
  <c r="FA109" i="26" s="1"/>
  <c r="FR93" i="26"/>
  <c r="EZ131" i="26" s="1"/>
  <c r="FS93" i="26"/>
  <c r="FA131" i="26" s="1"/>
  <c r="FS87" i="26"/>
  <c r="FA125" i="26" s="1"/>
  <c r="FS77" i="26"/>
  <c r="FA115" i="26" s="1"/>
  <c r="FS69" i="26"/>
  <c r="FA107" i="26" s="1"/>
  <c r="IB93" i="26"/>
  <c r="IC93" i="26" s="1"/>
  <c r="IB73" i="26"/>
  <c r="IC73" i="26" s="1"/>
  <c r="GK84" i="26"/>
  <c r="GJ83" i="26"/>
  <c r="GK83" i="26"/>
  <c r="IB82" i="26"/>
  <c r="IC82" i="26" s="1"/>
  <c r="GK92" i="26"/>
  <c r="IB88" i="26"/>
  <c r="IC88" i="26" s="1"/>
  <c r="GK93" i="26"/>
  <c r="GJ89" i="26"/>
  <c r="GK89" i="26"/>
  <c r="GJ85" i="26"/>
  <c r="FH123" i="26" s="1"/>
  <c r="GK88" i="26"/>
  <c r="GJ84" i="26"/>
  <c r="FH122" i="26" s="1"/>
  <c r="GJ78" i="26"/>
  <c r="IB81" i="26"/>
  <c r="IC81" i="26" s="1"/>
  <c r="GK87" i="26"/>
  <c r="IB85" i="26"/>
  <c r="IC85" i="26" s="1"/>
  <c r="IB75" i="26"/>
  <c r="IC75" i="26" s="1"/>
  <c r="IB71" i="26"/>
  <c r="IC71" i="26" s="1"/>
  <c r="IB79" i="26"/>
  <c r="IC79" i="26" s="1"/>
  <c r="GJ81" i="26"/>
  <c r="FH119" i="26" s="1"/>
  <c r="IB69" i="26"/>
  <c r="IC69" i="26" s="1"/>
  <c r="IB84" i="26"/>
  <c r="IC84" i="26" s="1"/>
  <c r="IB76" i="26"/>
  <c r="IC76" i="26" s="1"/>
  <c r="IB92" i="26"/>
  <c r="IC92" i="26" s="1"/>
  <c r="IB78" i="26"/>
  <c r="IC78" i="26" s="1"/>
  <c r="IB68" i="26"/>
  <c r="IC68" i="26" s="1"/>
  <c r="IB70" i="26"/>
  <c r="IC70" i="26" s="1"/>
  <c r="GJ74" i="26"/>
  <c r="GK74" i="26"/>
  <c r="GK86" i="26"/>
  <c r="GJ86" i="26"/>
  <c r="GJ88" i="26"/>
  <c r="GK90" i="26"/>
  <c r="GJ90" i="26"/>
  <c r="F87" i="28"/>
  <c r="H81" i="28"/>
  <c r="H93" i="28"/>
  <c r="E84" i="28"/>
  <c r="F91" i="28"/>
  <c r="C89" i="28"/>
  <c r="J89" i="28"/>
  <c r="J80" i="28"/>
  <c r="F73" i="28"/>
  <c r="E83" i="28"/>
  <c r="F90" i="28"/>
  <c r="J85" i="28"/>
  <c r="U59" i="28"/>
  <c r="H92" i="28"/>
  <c r="U49" i="28"/>
  <c r="H77" i="28"/>
  <c r="J73" i="28"/>
  <c r="U57" i="28"/>
  <c r="U42" i="28"/>
  <c r="C87" i="28"/>
  <c r="H72" i="28"/>
  <c r="J93" i="28"/>
  <c r="F84" i="28"/>
  <c r="F71" i="28"/>
  <c r="E89" i="28"/>
  <c r="H82" i="28"/>
  <c r="H80" i="28"/>
  <c r="C73" i="28"/>
  <c r="C83" i="28"/>
  <c r="C90" i="28"/>
  <c r="H88" i="28"/>
  <c r="F72" i="28"/>
  <c r="J92" i="28"/>
  <c r="U45" i="28"/>
  <c r="J77" i="28"/>
  <c r="H73" i="28"/>
  <c r="F92" i="28"/>
  <c r="U48" i="28"/>
  <c r="J72" i="28"/>
  <c r="J79" i="28"/>
  <c r="C71" i="28"/>
  <c r="F89" i="28"/>
  <c r="J82" i="28"/>
  <c r="H69" i="28"/>
  <c r="E73" i="28"/>
  <c r="F83" i="28"/>
  <c r="F94" i="28"/>
  <c r="J88" i="28"/>
  <c r="E72" i="28"/>
  <c r="J84" i="28"/>
  <c r="U47" i="28"/>
  <c r="H94" i="28"/>
  <c r="E85" i="28"/>
  <c r="E92" i="28"/>
  <c r="U43" i="28"/>
  <c r="E87" i="28"/>
  <c r="E78" i="28"/>
  <c r="H87" i="28"/>
  <c r="H79" i="28"/>
  <c r="E71" i="28"/>
  <c r="E80" i="28"/>
  <c r="H78" i="28"/>
  <c r="J69" i="28"/>
  <c r="C86" i="28"/>
  <c r="U55" i="28"/>
  <c r="E94" i="28"/>
  <c r="H76" i="28"/>
  <c r="C72" i="28"/>
  <c r="H84" i="28"/>
  <c r="U62" i="28"/>
  <c r="J94" i="28"/>
  <c r="C85" i="28"/>
  <c r="C92" i="28"/>
  <c r="U52" i="28"/>
  <c r="J87" i="28"/>
  <c r="J90" i="28"/>
  <c r="F74" i="28"/>
  <c r="C80" i="28"/>
  <c r="J78" i="28"/>
  <c r="F81" i="28"/>
  <c r="F86" i="28"/>
  <c r="U50" i="28"/>
  <c r="C94" i="28"/>
  <c r="J76" i="28"/>
  <c r="C88" i="28"/>
  <c r="E76" i="28"/>
  <c r="F70" i="28"/>
  <c r="J75" i="28"/>
  <c r="F85" i="28"/>
  <c r="H83" i="28"/>
  <c r="U53" i="28"/>
  <c r="U61" i="28"/>
  <c r="F78" i="28"/>
  <c r="E75" i="28"/>
  <c r="H90" i="28"/>
  <c r="C74" i="28"/>
  <c r="F80" i="28"/>
  <c r="C93" i="28"/>
  <c r="E81" i="28"/>
  <c r="E86" i="28"/>
  <c r="U63" i="28"/>
  <c r="C77" i="28"/>
  <c r="H70" i="28"/>
  <c r="F88" i="28"/>
  <c r="F76" i="28"/>
  <c r="E70" i="28"/>
  <c r="H75" i="28"/>
  <c r="F82" i="28"/>
  <c r="J83" i="28"/>
  <c r="U54" i="28"/>
  <c r="F75" i="28"/>
  <c r="U46" i="28"/>
  <c r="E79" i="28"/>
  <c r="C75" i="28"/>
  <c r="J86" i="28"/>
  <c r="E74" i="28"/>
  <c r="C91" i="28"/>
  <c r="E93" i="28"/>
  <c r="C81" i="28"/>
  <c r="J71" i="28"/>
  <c r="E69" i="28"/>
  <c r="F77" i="28"/>
  <c r="J70" i="28"/>
  <c r="E88" i="28"/>
  <c r="C76" i="28"/>
  <c r="J91" i="28"/>
  <c r="U51" i="28"/>
  <c r="E82" i="28"/>
  <c r="H74" i="28"/>
  <c r="U60" i="28"/>
  <c r="C78" i="28"/>
  <c r="F79" i="28"/>
  <c r="U56" i="28"/>
  <c r="C79" i="28"/>
  <c r="J81" i="28"/>
  <c r="H86" i="28"/>
  <c r="C84" i="28"/>
  <c r="E91" i="28"/>
  <c r="F93" i="28"/>
  <c r="H89" i="28"/>
  <c r="H71" i="28"/>
  <c r="F69" i="28"/>
  <c r="E77" i="28"/>
  <c r="E90" i="28"/>
  <c r="H85" i="28"/>
  <c r="U40" i="28"/>
  <c r="H91" i="28"/>
  <c r="U44" i="28"/>
  <c r="C82" i="28"/>
  <c r="J74" i="28"/>
  <c r="U38" i="28"/>
  <c r="U41" i="28"/>
  <c r="DD130" i="26"/>
  <c r="U39" i="28"/>
  <c r="DD128" i="26"/>
  <c r="GV91" i="26"/>
  <c r="HL93" i="26"/>
  <c r="HM93" i="26" s="1"/>
  <c r="HL86" i="26"/>
  <c r="HM86" i="26" s="1"/>
  <c r="FU89" i="26"/>
  <c r="FT89" i="26"/>
  <c r="FB127" i="26" s="1"/>
  <c r="GV89" i="26"/>
  <c r="IF77" i="26"/>
  <c r="IG77" i="26"/>
  <c r="HL71" i="26"/>
  <c r="HM71" i="26" s="1"/>
  <c r="FU72" i="26"/>
  <c r="FT72" i="26"/>
  <c r="FU76" i="26"/>
  <c r="FT76" i="26"/>
  <c r="GV86" i="26"/>
  <c r="GV77" i="26"/>
  <c r="GV93" i="26"/>
  <c r="FU71" i="26"/>
  <c r="FT71" i="26"/>
  <c r="FB109" i="26" s="1"/>
  <c r="FU80" i="26"/>
  <c r="FT80" i="26"/>
  <c r="FB118" i="26" s="1"/>
  <c r="FU92" i="26"/>
  <c r="FT92" i="26"/>
  <c r="HL83" i="26"/>
  <c r="HM83" i="26" s="1"/>
  <c r="HL73" i="26"/>
  <c r="HM73" i="26" s="1"/>
  <c r="HL85" i="26"/>
  <c r="HM85" i="26" s="1"/>
  <c r="FU70" i="26"/>
  <c r="FT70" i="26"/>
  <c r="FU83" i="26"/>
  <c r="FT83" i="26"/>
  <c r="GV82" i="26"/>
  <c r="GV85" i="26"/>
  <c r="IF74" i="26"/>
  <c r="CL126" i="26" s="1"/>
  <c r="IG74" i="26"/>
  <c r="GV74" i="26"/>
  <c r="HL81" i="26"/>
  <c r="HM81" i="26" s="1"/>
  <c r="FT86" i="26"/>
  <c r="FU86" i="26"/>
  <c r="GV75" i="26"/>
  <c r="GV73" i="26"/>
  <c r="GV83" i="26"/>
  <c r="FT91" i="26"/>
  <c r="FB129" i="26" s="1"/>
  <c r="FU91" i="26"/>
  <c r="FU84" i="26"/>
  <c r="FT84" i="26"/>
  <c r="FB122" i="26" s="1"/>
  <c r="HL87" i="26"/>
  <c r="HM87" i="26" s="1"/>
  <c r="HL88" i="26"/>
  <c r="HM88" i="26" s="1"/>
  <c r="HL80" i="26"/>
  <c r="HM80" i="26" s="1"/>
  <c r="HL91" i="26"/>
  <c r="HM91" i="26" s="1"/>
  <c r="FT88" i="26"/>
  <c r="FB126" i="26" s="1"/>
  <c r="FU88" i="26"/>
  <c r="IG80" i="26"/>
  <c r="IF80" i="26"/>
  <c r="HL82" i="26"/>
  <c r="HM82" i="26" s="1"/>
  <c r="IF86" i="26"/>
  <c r="IG86" i="26"/>
  <c r="GV88" i="26"/>
  <c r="FU93" i="26"/>
  <c r="FT93" i="26"/>
  <c r="FB131" i="26" s="1"/>
  <c r="HL84" i="26"/>
  <c r="HM84" i="26" s="1"/>
  <c r="GV72" i="26"/>
  <c r="HL89" i="26"/>
  <c r="HM89" i="26" s="1"/>
  <c r="FU81" i="26"/>
  <c r="FT81" i="26"/>
  <c r="FB119" i="26" s="1"/>
  <c r="GV79" i="26"/>
  <c r="GV71" i="26"/>
  <c r="GV92" i="26"/>
  <c r="IG83" i="26"/>
  <c r="IF83" i="26"/>
  <c r="HL68" i="26"/>
  <c r="HM68" i="26" s="1"/>
  <c r="HL69" i="26"/>
  <c r="HM69" i="26" s="1"/>
  <c r="HL90" i="26"/>
  <c r="HM90" i="26" s="1"/>
  <c r="HL74" i="26"/>
  <c r="HM74" i="26" s="1"/>
  <c r="FU87" i="26"/>
  <c r="FT87" i="26"/>
  <c r="HL77" i="26"/>
  <c r="HM77" i="26" s="1"/>
  <c r="FT90" i="26"/>
  <c r="FU90" i="26"/>
  <c r="GV69" i="26"/>
  <c r="HL79" i="26"/>
  <c r="HM79" i="26" s="1"/>
  <c r="GV78" i="26"/>
  <c r="IG72" i="26"/>
  <c r="IF72" i="26"/>
  <c r="CL124" i="26" s="1"/>
  <c r="FU73" i="26"/>
  <c r="FT73" i="26"/>
  <c r="FB111" i="26" s="1"/>
  <c r="FT79" i="26"/>
  <c r="FU79" i="26"/>
  <c r="GV81" i="26"/>
  <c r="GV87" i="26"/>
  <c r="GV90" i="26"/>
  <c r="FT82" i="26"/>
  <c r="FB120" i="26" s="1"/>
  <c r="FU82" i="26"/>
  <c r="HL75" i="26"/>
  <c r="HM75" i="26" s="1"/>
  <c r="HL92" i="26"/>
  <c r="HM92" i="26" s="1"/>
  <c r="HL76" i="26"/>
  <c r="HM76" i="26" s="1"/>
  <c r="IF90" i="26"/>
  <c r="IG90" i="26"/>
  <c r="FU85" i="26"/>
  <c r="FT85" i="26"/>
  <c r="FT69" i="26"/>
  <c r="FB107" i="26" s="1"/>
  <c r="FU69" i="26"/>
  <c r="GV84" i="26"/>
  <c r="FT74" i="26"/>
  <c r="FU74" i="26"/>
  <c r="GV70" i="26"/>
  <c r="FU78" i="26"/>
  <c r="FT78" i="26"/>
  <c r="FB116" i="26" s="1"/>
  <c r="GV76" i="26"/>
  <c r="GV68" i="26"/>
  <c r="GV80" i="26"/>
  <c r="IG87" i="26"/>
  <c r="IF87" i="26"/>
  <c r="IF91" i="26"/>
  <c r="IG91" i="26"/>
  <c r="FU75" i="26"/>
  <c r="FT75" i="26"/>
  <c r="FB113" i="26" s="1"/>
  <c r="HL78" i="26"/>
  <c r="HM78" i="26" s="1"/>
  <c r="HL70" i="26"/>
  <c r="HM70" i="26" s="1"/>
  <c r="HL72" i="26"/>
  <c r="HM72" i="26" s="1"/>
  <c r="FU68" i="26"/>
  <c r="FT68" i="26"/>
  <c r="FU77" i="26"/>
  <c r="FT77" i="26"/>
  <c r="FB115" i="26" s="1"/>
  <c r="BB107" i="26"/>
  <c r="BJ113" i="26"/>
  <c r="BK113" i="26"/>
  <c r="BH113" i="26"/>
  <c r="BK112" i="26"/>
  <c r="BJ112" i="26"/>
  <c r="BH112" i="26"/>
  <c r="BJ123" i="26"/>
  <c r="BK123" i="26"/>
  <c r="BH123" i="26"/>
  <c r="BJ108" i="26"/>
  <c r="BH108" i="26"/>
  <c r="BK108" i="26"/>
  <c r="BH122" i="26"/>
  <c r="BK122" i="26"/>
  <c r="BJ122" i="26"/>
  <c r="BK111" i="26"/>
  <c r="BJ111" i="26"/>
  <c r="BH111" i="26"/>
  <c r="BH124" i="26"/>
  <c r="BK124" i="26"/>
  <c r="BJ124" i="26"/>
  <c r="BH130" i="26"/>
  <c r="BK130" i="26"/>
  <c r="BJ130" i="26"/>
  <c r="BK125" i="26"/>
  <c r="BH125" i="26"/>
  <c r="BJ125" i="26"/>
  <c r="BK110" i="26"/>
  <c r="BJ110" i="26"/>
  <c r="BH110" i="26"/>
  <c r="BK109" i="26"/>
  <c r="BJ109" i="26"/>
  <c r="BH109" i="26"/>
  <c r="BH116" i="26"/>
  <c r="BK116" i="26"/>
  <c r="BJ116" i="26"/>
  <c r="BJ115" i="26"/>
  <c r="BH115" i="26"/>
  <c r="BK115" i="26"/>
  <c r="BJ107" i="26"/>
  <c r="BK107" i="26"/>
  <c r="BH126" i="26"/>
  <c r="BK126" i="26"/>
  <c r="BJ126" i="26"/>
  <c r="BJ117" i="26"/>
  <c r="BH117" i="26"/>
  <c r="BK117" i="26"/>
  <c r="BH128" i="26"/>
  <c r="BJ128" i="26"/>
  <c r="BK128" i="26"/>
  <c r="BJ131" i="26"/>
  <c r="BH131" i="26"/>
  <c r="BK131" i="26"/>
  <c r="BJ121" i="26"/>
  <c r="BK121" i="26"/>
  <c r="BH121" i="26"/>
  <c r="BH114" i="26"/>
  <c r="BJ114" i="26"/>
  <c r="BK114" i="26"/>
  <c r="BJ118" i="26"/>
  <c r="BK118" i="26"/>
  <c r="BH118" i="26"/>
  <c r="BJ127" i="26"/>
  <c r="BK127" i="26"/>
  <c r="BH127" i="26"/>
  <c r="BJ106" i="26"/>
  <c r="BK106" i="26"/>
  <c r="BJ120" i="26"/>
  <c r="BK120" i="26"/>
  <c r="BH120" i="26"/>
  <c r="BB106" i="26"/>
  <c r="BJ119" i="26"/>
  <c r="BH119" i="26"/>
  <c r="BK119" i="26"/>
  <c r="BH129" i="26"/>
  <c r="BK129" i="26"/>
  <c r="BJ129" i="26"/>
  <c r="FK118" i="26" l="1"/>
  <c r="T205" i="28" s="1"/>
  <c r="GW80" i="26"/>
  <c r="FK124" i="26"/>
  <c r="T211" i="28" s="1"/>
  <c r="GW86" i="26"/>
  <c r="FK119" i="26"/>
  <c r="T206" i="28" s="1"/>
  <c r="GW81" i="26"/>
  <c r="GW73" i="26"/>
  <c r="FK111" i="26" s="1"/>
  <c r="T198" i="28" s="1"/>
  <c r="GW85" i="26"/>
  <c r="FK123" i="26" s="1"/>
  <c r="T210" i="28" s="1"/>
  <c r="FK115" i="26"/>
  <c r="T202" i="28" s="1"/>
  <c r="GW77" i="26"/>
  <c r="GW72" i="26"/>
  <c r="FK110" i="26" s="1"/>
  <c r="T197" i="28" s="1"/>
  <c r="GW82" i="26"/>
  <c r="FK120" i="26" s="1"/>
  <c r="T207" i="28" s="1"/>
  <c r="FK108" i="26"/>
  <c r="T195" i="28" s="1"/>
  <c r="GW70" i="26"/>
  <c r="GW87" i="26"/>
  <c r="FK125" i="26" s="1"/>
  <c r="T212" i="28" s="1"/>
  <c r="GW78" i="26"/>
  <c r="FK116" i="26" s="1"/>
  <c r="T203" i="28" s="1"/>
  <c r="GW79" i="26"/>
  <c r="FK117" i="26" s="1"/>
  <c r="T204" i="28" s="1"/>
  <c r="GW88" i="26"/>
  <c r="FK126" i="26" s="1"/>
  <c r="T213" i="28" s="1"/>
  <c r="GW83" i="26"/>
  <c r="FK121" i="26" s="1"/>
  <c r="T208" i="28" s="1"/>
  <c r="GW93" i="26"/>
  <c r="FK131" i="26" s="1"/>
  <c r="T218" i="28" s="1"/>
  <c r="GW84" i="26"/>
  <c r="FK122" i="26" s="1"/>
  <c r="T209" i="28" s="1"/>
  <c r="GW69" i="26"/>
  <c r="FK107" i="26" s="1"/>
  <c r="T194" i="28" s="1"/>
  <c r="GW90" i="26"/>
  <c r="FK128" i="26" s="1"/>
  <c r="T215" i="28" s="1"/>
  <c r="GW71" i="26"/>
  <c r="FK109" i="26" s="1"/>
  <c r="T196" i="28" s="1"/>
  <c r="GW91" i="26"/>
  <c r="FK129" i="26" s="1"/>
  <c r="T216" i="28" s="1"/>
  <c r="GW75" i="26"/>
  <c r="FK113" i="26" s="1"/>
  <c r="T200" i="28" s="1"/>
  <c r="GW89" i="26"/>
  <c r="FK127" i="26" s="1"/>
  <c r="T214" i="28" s="1"/>
  <c r="GW92" i="26"/>
  <c r="FK130" i="26" s="1"/>
  <c r="T217" i="28" s="1"/>
  <c r="GW74" i="26"/>
  <c r="FK112" i="26" s="1"/>
  <c r="T199" i="28" s="1"/>
  <c r="GW68" i="26"/>
  <c r="FK106" i="26" s="1"/>
  <c r="T193" i="28" s="1"/>
  <c r="GW76" i="26"/>
  <c r="FK114" i="26" s="1"/>
  <c r="T201" i="28" s="1"/>
  <c r="Q194" i="28"/>
  <c r="P194" i="28"/>
  <c r="K200" i="28"/>
  <c r="K194" i="28"/>
  <c r="J214" i="28"/>
  <c r="J198" i="28"/>
  <c r="Q217" i="28"/>
  <c r="O209" i="28"/>
  <c r="P200" i="28"/>
  <c r="P197" i="28"/>
  <c r="U83" i="28"/>
  <c r="P204" i="28"/>
  <c r="K198" i="28"/>
  <c r="K209" i="28"/>
  <c r="K205" i="28"/>
  <c r="J196" i="28"/>
  <c r="J204" i="28"/>
  <c r="J210" i="28"/>
  <c r="P217" i="28"/>
  <c r="P199" i="28"/>
  <c r="P203" i="28"/>
  <c r="Q193" i="28"/>
  <c r="P198" i="28"/>
  <c r="K214" i="28"/>
  <c r="Q210" i="28"/>
  <c r="I218" i="28"/>
  <c r="J200" i="28"/>
  <c r="J205" i="28"/>
  <c r="J207" i="28"/>
  <c r="P213" i="28"/>
  <c r="P207" i="28"/>
  <c r="P216" i="28"/>
  <c r="Q202" i="28"/>
  <c r="Q198" i="28"/>
  <c r="J218" i="28"/>
  <c r="J217" i="28"/>
  <c r="J215" i="28"/>
  <c r="J206" i="28"/>
  <c r="P211" i="28"/>
  <c r="P210" i="28"/>
  <c r="U85" i="28"/>
  <c r="Q204" i="28"/>
  <c r="K206" i="28"/>
  <c r="Q206" i="28"/>
  <c r="Q209" i="28"/>
  <c r="J212" i="28"/>
  <c r="J216" i="28"/>
  <c r="J201" i="28"/>
  <c r="J203" i="28"/>
  <c r="O205" i="28"/>
  <c r="P195" i="28"/>
  <c r="J202" i="28"/>
  <c r="J209" i="28"/>
  <c r="J193" i="28"/>
  <c r="J199" i="28"/>
  <c r="P206" i="28"/>
  <c r="P212" i="28"/>
  <c r="P215" i="28"/>
  <c r="P202" i="28"/>
  <c r="O193" i="28"/>
  <c r="Q205" i="28"/>
  <c r="K213" i="28"/>
  <c r="K216" i="28"/>
  <c r="J194" i="28"/>
  <c r="J197" i="28"/>
  <c r="J213" i="28"/>
  <c r="J195" i="28"/>
  <c r="P208" i="28"/>
  <c r="O218" i="28"/>
  <c r="P201" i="28"/>
  <c r="Q200" i="28"/>
  <c r="Q195" i="28"/>
  <c r="K202" i="28"/>
  <c r="K203" i="28"/>
  <c r="K207" i="28"/>
  <c r="K218" i="28"/>
  <c r="K196" i="28"/>
  <c r="J211" i="28"/>
  <c r="I213" i="28"/>
  <c r="J208" i="28"/>
  <c r="P214" i="28"/>
  <c r="P209" i="28"/>
  <c r="P218" i="28"/>
  <c r="Q196" i="28"/>
  <c r="P205" i="28"/>
  <c r="P196" i="28"/>
  <c r="GH86" i="26"/>
  <c r="FF124" i="26" s="1"/>
  <c r="FH124" i="26"/>
  <c r="GH88" i="26"/>
  <c r="FF126" i="26" s="1"/>
  <c r="FH126" i="26"/>
  <c r="GH89" i="26"/>
  <c r="FF127" i="26" s="1"/>
  <c r="FH127" i="26"/>
  <c r="GH92" i="26"/>
  <c r="FF130" i="26" s="1"/>
  <c r="FH131" i="26"/>
  <c r="GH82" i="26"/>
  <c r="FF120" i="26" s="1"/>
  <c r="FH120" i="26"/>
  <c r="BT128" i="26"/>
  <c r="FH114" i="26"/>
  <c r="GH90" i="26"/>
  <c r="FF128" i="26" s="1"/>
  <c r="FH128" i="26"/>
  <c r="GH83" i="26"/>
  <c r="FF121" i="26" s="1"/>
  <c r="FH121" i="26"/>
  <c r="BT126" i="26"/>
  <c r="FH112" i="26"/>
  <c r="GH87" i="26"/>
  <c r="FF125" i="26" s="1"/>
  <c r="FH125" i="26"/>
  <c r="BT124" i="26"/>
  <c r="FH110" i="26"/>
  <c r="GH78" i="26"/>
  <c r="FF116" i="26" s="1"/>
  <c r="FH116" i="26"/>
  <c r="GH91" i="26"/>
  <c r="FF129" i="26" s="1"/>
  <c r="FH129" i="26"/>
  <c r="BN128" i="26"/>
  <c r="FB114" i="26"/>
  <c r="BN126" i="26"/>
  <c r="FB112" i="26"/>
  <c r="BN120" i="26"/>
  <c r="FB106" i="26"/>
  <c r="FR92" i="26"/>
  <c r="EZ130" i="26" s="1"/>
  <c r="FB130" i="26"/>
  <c r="FR85" i="26"/>
  <c r="EZ123" i="26" s="1"/>
  <c r="FB123" i="26"/>
  <c r="FR87" i="26"/>
  <c r="EZ125" i="26" s="1"/>
  <c r="FB125" i="26"/>
  <c r="BN122" i="26"/>
  <c r="FB108" i="26"/>
  <c r="BN124" i="26"/>
  <c r="FB110" i="26"/>
  <c r="FR78" i="26"/>
  <c r="EZ116" i="26" s="1"/>
  <c r="FB117" i="26"/>
  <c r="FR83" i="26"/>
  <c r="EZ121" i="26" s="1"/>
  <c r="FB121" i="26"/>
  <c r="FR90" i="26"/>
  <c r="EZ128" i="26" s="1"/>
  <c r="FB128" i="26"/>
  <c r="FR86" i="26"/>
  <c r="EZ124" i="26" s="1"/>
  <c r="FB124" i="26"/>
  <c r="FR77" i="26"/>
  <c r="EZ115" i="26" s="1"/>
  <c r="FR76" i="26"/>
  <c r="EZ114" i="26" s="1"/>
  <c r="GH77" i="26"/>
  <c r="FF115" i="26" s="1"/>
  <c r="GH73" i="26"/>
  <c r="FF111" i="26" s="1"/>
  <c r="FR82" i="26"/>
  <c r="EZ120" i="26" s="1"/>
  <c r="FR71" i="26"/>
  <c r="EZ109" i="26" s="1"/>
  <c r="FR73" i="26"/>
  <c r="EZ111" i="26" s="1"/>
  <c r="FR84" i="26"/>
  <c r="EZ122" i="26" s="1"/>
  <c r="FR80" i="26"/>
  <c r="EZ118" i="26" s="1"/>
  <c r="GH76" i="26"/>
  <c r="FF114" i="26" s="1"/>
  <c r="GH69" i="26"/>
  <c r="FF107" i="26" s="1"/>
  <c r="FR69" i="26"/>
  <c r="EZ107" i="26" s="1"/>
  <c r="GH71" i="26"/>
  <c r="FF109" i="26" s="1"/>
  <c r="FR81" i="26"/>
  <c r="EZ119" i="26" s="1"/>
  <c r="GH81" i="26"/>
  <c r="FF119" i="26" s="1"/>
  <c r="GH74" i="26"/>
  <c r="FF112" i="26" s="1"/>
  <c r="GH75" i="26"/>
  <c r="FF113" i="26" s="1"/>
  <c r="GH85" i="26"/>
  <c r="FF123" i="26" s="1"/>
  <c r="GH70" i="26"/>
  <c r="FF108" i="26" s="1"/>
  <c r="GH79" i="26"/>
  <c r="FF117" i="26" s="1"/>
  <c r="GH72" i="26"/>
  <c r="FF110" i="26" s="1"/>
  <c r="FR89" i="26"/>
  <c r="EZ127" i="26" s="1"/>
  <c r="FR91" i="26"/>
  <c r="EZ129" i="26" s="1"/>
  <c r="FR79" i="26"/>
  <c r="EZ117" i="26" s="1"/>
  <c r="FR75" i="26"/>
  <c r="EZ113" i="26" s="1"/>
  <c r="FR72" i="26"/>
  <c r="EZ110" i="26" s="1"/>
  <c r="FR68" i="26"/>
  <c r="EZ106" i="26" s="1"/>
  <c r="FR74" i="26"/>
  <c r="EZ112" i="26" s="1"/>
  <c r="FR70" i="26"/>
  <c r="EZ108" i="26" s="1"/>
  <c r="IF89" i="26"/>
  <c r="IG89" i="26"/>
  <c r="IF88" i="26"/>
  <c r="IG92" i="26"/>
  <c r="IE92" i="26"/>
  <c r="ID92" i="26"/>
  <c r="IF75" i="26"/>
  <c r="IE75" i="26"/>
  <c r="ID75" i="26"/>
  <c r="IF82" i="26"/>
  <c r="ID82" i="26"/>
  <c r="IE82" i="26"/>
  <c r="IF93" i="26"/>
  <c r="ID93" i="26"/>
  <c r="IE93" i="26"/>
  <c r="IF78" i="26"/>
  <c r="ID78" i="26"/>
  <c r="IE78" i="26"/>
  <c r="IG71" i="26"/>
  <c r="ID71" i="26"/>
  <c r="IE71" i="26"/>
  <c r="IG81" i="26"/>
  <c r="ID81" i="26"/>
  <c r="IE81" i="26"/>
  <c r="IG73" i="26"/>
  <c r="ID73" i="26"/>
  <c r="IE73" i="26"/>
  <c r="IE68" i="26"/>
  <c r="ID68" i="26"/>
  <c r="ID69" i="26"/>
  <c r="IE69" i="26"/>
  <c r="IG70" i="26"/>
  <c r="ID70" i="26"/>
  <c r="IE70" i="26"/>
  <c r="IF84" i="26"/>
  <c r="ID84" i="26"/>
  <c r="IE84" i="26"/>
  <c r="ID88" i="26"/>
  <c r="IE88" i="26"/>
  <c r="IG79" i="26"/>
  <c r="IE79" i="26"/>
  <c r="ID79" i="26"/>
  <c r="IF76" i="26"/>
  <c r="IE76" i="26"/>
  <c r="ID76" i="26"/>
  <c r="ID85" i="26"/>
  <c r="IE85" i="26"/>
  <c r="ID89" i="26"/>
  <c r="IE89" i="26"/>
  <c r="HN90" i="26"/>
  <c r="HO90" i="26"/>
  <c r="HN80" i="26"/>
  <c r="HO80" i="26"/>
  <c r="HO76" i="26"/>
  <c r="HN76" i="26"/>
  <c r="HN74" i="26"/>
  <c r="HO74" i="26"/>
  <c r="HN82" i="26"/>
  <c r="HO82" i="26"/>
  <c r="HO68" i="26"/>
  <c r="HN68" i="26"/>
  <c r="HN79" i="26"/>
  <c r="HO79" i="26"/>
  <c r="HN73" i="26"/>
  <c r="HO73" i="26"/>
  <c r="HN78" i="26"/>
  <c r="HO78" i="26"/>
  <c r="HN69" i="26"/>
  <c r="HO69" i="26"/>
  <c r="HO87" i="26"/>
  <c r="HN87" i="26"/>
  <c r="HO72" i="26"/>
  <c r="HN72" i="26"/>
  <c r="HO92" i="26"/>
  <c r="HN92" i="26"/>
  <c r="HN91" i="26"/>
  <c r="HO91" i="26"/>
  <c r="HN70" i="26"/>
  <c r="HO70" i="26"/>
  <c r="HO88" i="26"/>
  <c r="HN88" i="26"/>
  <c r="HN93" i="26"/>
  <c r="HO93" i="26"/>
  <c r="HN71" i="26"/>
  <c r="HO71" i="26"/>
  <c r="HO84" i="26"/>
  <c r="HN84" i="26"/>
  <c r="HO83" i="26"/>
  <c r="HN83" i="26"/>
  <c r="HN77" i="26"/>
  <c r="HO77" i="26"/>
  <c r="HN89" i="26"/>
  <c r="HO89" i="26"/>
  <c r="HN75" i="26"/>
  <c r="HO75" i="26"/>
  <c r="HN81" i="26"/>
  <c r="HO81" i="26"/>
  <c r="HN85" i="26"/>
  <c r="HO85" i="26"/>
  <c r="HN86" i="26"/>
  <c r="HO86" i="26"/>
  <c r="GY70" i="26"/>
  <c r="FM108" i="26" s="1"/>
  <c r="GY78" i="26"/>
  <c r="FM116" i="26" s="1"/>
  <c r="GY75" i="26"/>
  <c r="FM113" i="26" s="1"/>
  <c r="GY74" i="26"/>
  <c r="FM112" i="26" s="1"/>
  <c r="GY80" i="26"/>
  <c r="FM118" i="26" s="1"/>
  <c r="GY72" i="26"/>
  <c r="FM110" i="26" s="1"/>
  <c r="GY82" i="26"/>
  <c r="FM120" i="26" s="1"/>
  <c r="GY86" i="26"/>
  <c r="FM124" i="26" s="1"/>
  <c r="GY88" i="26"/>
  <c r="FM126" i="26" s="1"/>
  <c r="GY85" i="26"/>
  <c r="FM123" i="26" s="1"/>
  <c r="GY77" i="26"/>
  <c r="FM115" i="26" s="1"/>
  <c r="GY92" i="26"/>
  <c r="FM130" i="26" s="1"/>
  <c r="GY73" i="26"/>
  <c r="FM111" i="26" s="1"/>
  <c r="GY84" i="26"/>
  <c r="FM122" i="26" s="1"/>
  <c r="GY87" i="26"/>
  <c r="FM125" i="26" s="1"/>
  <c r="GY69" i="26"/>
  <c r="FM107" i="26" s="1"/>
  <c r="GX93" i="26"/>
  <c r="FL131" i="26" s="1"/>
  <c r="GY93" i="26"/>
  <c r="FM131" i="26" s="1"/>
  <c r="GY68" i="26"/>
  <c r="FM106" i="26" s="1"/>
  <c r="GY79" i="26"/>
  <c r="FM117" i="26" s="1"/>
  <c r="GY81" i="26"/>
  <c r="FM119" i="26" s="1"/>
  <c r="GY71" i="26"/>
  <c r="FM109" i="26" s="1"/>
  <c r="GY91" i="26"/>
  <c r="FM129" i="26" s="1"/>
  <c r="GY76" i="26"/>
  <c r="FM114" i="26" s="1"/>
  <c r="GY83" i="26"/>
  <c r="FM121" i="26" s="1"/>
  <c r="GY89" i="26"/>
  <c r="FM127" i="26" s="1"/>
  <c r="GY90" i="26"/>
  <c r="FM128" i="26" s="1"/>
  <c r="IG93" i="26"/>
  <c r="IG78" i="26"/>
  <c r="IF92" i="26"/>
  <c r="IF73" i="26"/>
  <c r="IF81" i="26"/>
  <c r="IG82" i="26"/>
  <c r="IF79" i="26"/>
  <c r="IG88" i="26"/>
  <c r="IG85" i="26"/>
  <c r="IF71" i="26"/>
  <c r="IF85" i="26"/>
  <c r="IF70" i="26"/>
  <c r="CL122" i="26" s="1"/>
  <c r="IG84" i="26"/>
  <c r="IG75" i="26"/>
  <c r="IF69" i="26"/>
  <c r="IG68" i="26"/>
  <c r="IG69" i="26"/>
  <c r="IF68" i="26"/>
  <c r="CL120" i="26" s="1"/>
  <c r="IG76" i="26"/>
  <c r="L78" i="28"/>
  <c r="L69" i="28"/>
  <c r="K94" i="28"/>
  <c r="K88" i="28"/>
  <c r="L92" i="28"/>
  <c r="K83" i="28"/>
  <c r="K81" i="28"/>
  <c r="I94" i="28"/>
  <c r="K89" i="28"/>
  <c r="K79" i="28"/>
  <c r="L73" i="28"/>
  <c r="L87" i="28"/>
  <c r="L71" i="28"/>
  <c r="L75" i="28"/>
  <c r="C69" i="28"/>
  <c r="K92" i="28"/>
  <c r="L81" i="28"/>
  <c r="K80" i="28"/>
  <c r="K73" i="28"/>
  <c r="K87" i="28"/>
  <c r="K75" i="28"/>
  <c r="I155" i="28"/>
  <c r="L80" i="28"/>
  <c r="L83" i="28"/>
  <c r="L94" i="28"/>
  <c r="K78" i="28"/>
  <c r="I85" i="28"/>
  <c r="I83" i="28"/>
  <c r="I81" i="28"/>
  <c r="K84" i="28"/>
  <c r="I80" i="28"/>
  <c r="I78" i="28"/>
  <c r="I73" i="28"/>
  <c r="I93" i="28"/>
  <c r="L85" i="28"/>
  <c r="I75" i="28"/>
  <c r="K85" i="28"/>
  <c r="K86" i="28"/>
  <c r="O118" i="28"/>
  <c r="I153" i="28"/>
  <c r="L93" i="28"/>
  <c r="L90" i="28"/>
  <c r="I84" i="28"/>
  <c r="I91" i="28"/>
  <c r="K70" i="28"/>
  <c r="K72" i="28"/>
  <c r="K93" i="28"/>
  <c r="L74" i="28"/>
  <c r="L86" i="28"/>
  <c r="C70" i="28"/>
  <c r="L72" i="28"/>
  <c r="I90" i="28"/>
  <c r="K91" i="28"/>
  <c r="L70" i="28"/>
  <c r="I72" i="28"/>
  <c r="L88" i="28"/>
  <c r="K74" i="28"/>
  <c r="I86" i="28"/>
  <c r="K76" i="28"/>
  <c r="O120" i="28"/>
  <c r="L84" i="28"/>
  <c r="K82" i="28"/>
  <c r="I82" i="28"/>
  <c r="I77" i="28"/>
  <c r="L82" i="28"/>
  <c r="K69" i="28"/>
  <c r="K77" i="28"/>
  <c r="L91" i="28"/>
  <c r="I89" i="28"/>
  <c r="I79" i="28"/>
  <c r="I88" i="28"/>
  <c r="I74" i="28"/>
  <c r="K71" i="28"/>
  <c r="L76" i="28"/>
  <c r="K90" i="28"/>
  <c r="I92" i="28"/>
  <c r="L77" i="28"/>
  <c r="L89" i="28"/>
  <c r="L79" i="28"/>
  <c r="I87" i="28"/>
  <c r="I71" i="28"/>
  <c r="I76" i="28"/>
  <c r="GZ80" i="26"/>
  <c r="HA80" i="26"/>
  <c r="GZ70" i="26"/>
  <c r="FN108" i="26" s="1"/>
  <c r="HA70" i="26"/>
  <c r="HP92" i="26"/>
  <c r="HQ92" i="26"/>
  <c r="GZ83" i="26"/>
  <c r="FN121" i="26" s="1"/>
  <c r="HA83" i="26"/>
  <c r="GZ82" i="26"/>
  <c r="HA82" i="26"/>
  <c r="HP74" i="26"/>
  <c r="CF126" i="26" s="1"/>
  <c r="HQ74" i="26"/>
  <c r="HQ84" i="26"/>
  <c r="HP84" i="26"/>
  <c r="HP70" i="26"/>
  <c r="CF122" i="26" s="1"/>
  <c r="HQ70" i="26"/>
  <c r="HA76" i="26"/>
  <c r="GZ76" i="26"/>
  <c r="FN114" i="26" s="1"/>
  <c r="GZ84" i="26"/>
  <c r="FN122" i="26" s="1"/>
  <c r="HA84" i="26"/>
  <c r="HQ79" i="26"/>
  <c r="HP79" i="26"/>
  <c r="GZ91" i="26"/>
  <c r="FN129" i="26" s="1"/>
  <c r="HA91" i="26"/>
  <c r="HQ76" i="26"/>
  <c r="HP76" i="26"/>
  <c r="CF128" i="26" s="1"/>
  <c r="HA81" i="26"/>
  <c r="GZ81" i="26"/>
  <c r="FN119" i="26" s="1"/>
  <c r="GZ78" i="26"/>
  <c r="FN116" i="26" s="1"/>
  <c r="HA78" i="26"/>
  <c r="HA88" i="26"/>
  <c r="GZ88" i="26"/>
  <c r="FN126" i="26" s="1"/>
  <c r="HQ87" i="26"/>
  <c r="HP87" i="26"/>
  <c r="HP81" i="26"/>
  <c r="HQ81" i="26"/>
  <c r="GZ86" i="26"/>
  <c r="FN124" i="26" s="1"/>
  <c r="HA86" i="26"/>
  <c r="HP71" i="26"/>
  <c r="HQ71" i="26"/>
  <c r="HA90" i="26"/>
  <c r="GZ90" i="26"/>
  <c r="FN128" i="26" s="1"/>
  <c r="HQ69" i="26"/>
  <c r="HP69" i="26"/>
  <c r="HA71" i="26"/>
  <c r="GZ71" i="26"/>
  <c r="FN109" i="26" s="1"/>
  <c r="HA69" i="26"/>
  <c r="GZ69" i="26"/>
  <c r="FN107" i="26" s="1"/>
  <c r="GZ75" i="26"/>
  <c r="HA75" i="26"/>
  <c r="HQ83" i="26"/>
  <c r="HP83" i="26"/>
  <c r="HA93" i="26"/>
  <c r="GZ93" i="26"/>
  <c r="FN131" i="26" s="1"/>
  <c r="HP77" i="26"/>
  <c r="HQ77" i="26"/>
  <c r="HP80" i="26"/>
  <c r="HQ80" i="26"/>
  <c r="HP73" i="26"/>
  <c r="HQ73" i="26"/>
  <c r="HA74" i="26"/>
  <c r="GZ74" i="26"/>
  <c r="FN112" i="26" s="1"/>
  <c r="GZ85" i="26"/>
  <c r="FN123" i="26" s="1"/>
  <c r="HA85" i="26"/>
  <c r="HA77" i="26"/>
  <c r="GZ77" i="26"/>
  <c r="HQ72" i="26"/>
  <c r="HP72" i="26"/>
  <c r="CF124" i="26" s="1"/>
  <c r="GZ68" i="26"/>
  <c r="HA68" i="26"/>
  <c r="GZ87" i="26"/>
  <c r="FN125" i="26" s="1"/>
  <c r="HA87" i="26"/>
  <c r="HA92" i="26"/>
  <c r="GZ92" i="26"/>
  <c r="FN130" i="26" s="1"/>
  <c r="HA72" i="26"/>
  <c r="GZ72" i="26"/>
  <c r="FN110" i="26" s="1"/>
  <c r="HP91" i="26"/>
  <c r="HQ91" i="26"/>
  <c r="HQ88" i="26"/>
  <c r="HP88" i="26"/>
  <c r="HA73" i="26"/>
  <c r="GZ73" i="26"/>
  <c r="FN111" i="26" s="1"/>
  <c r="HP85" i="26"/>
  <c r="HQ85" i="26"/>
  <c r="HQ93" i="26"/>
  <c r="HP93" i="26"/>
  <c r="HP75" i="26"/>
  <c r="HQ75" i="26"/>
  <c r="HP90" i="26"/>
  <c r="HQ90" i="26"/>
  <c r="HQ68" i="26"/>
  <c r="HP68" i="26"/>
  <c r="CF120" i="26" s="1"/>
  <c r="HP89" i="26"/>
  <c r="HQ89" i="26"/>
  <c r="HQ82" i="26"/>
  <c r="HP82" i="26"/>
  <c r="HA89" i="26"/>
  <c r="GZ89" i="26"/>
  <c r="FN127" i="26" s="1"/>
  <c r="HQ78" i="26"/>
  <c r="HP78" i="26"/>
  <c r="HA79" i="26"/>
  <c r="GZ79" i="26"/>
  <c r="FN117" i="26" s="1"/>
  <c r="HP86" i="26"/>
  <c r="HQ86" i="26"/>
  <c r="BH106" i="26"/>
  <c r="BH107" i="26"/>
  <c r="O83" i="28" l="1"/>
  <c r="W218" i="28"/>
  <c r="W194" i="28"/>
  <c r="W213" i="28"/>
  <c r="V208" i="28"/>
  <c r="U218" i="28"/>
  <c r="V213" i="28"/>
  <c r="V195" i="28"/>
  <c r="I193" i="28"/>
  <c r="O195" i="28"/>
  <c r="O194" i="28"/>
  <c r="O202" i="28"/>
  <c r="I208" i="28"/>
  <c r="I212" i="28"/>
  <c r="O89" i="28"/>
  <c r="U87" i="28"/>
  <c r="O215" i="28"/>
  <c r="O214" i="28"/>
  <c r="W196" i="28"/>
  <c r="V214" i="28"/>
  <c r="V218" i="28"/>
  <c r="V210" i="28"/>
  <c r="V203" i="28"/>
  <c r="I199" i="28"/>
  <c r="O204" i="28"/>
  <c r="I194" i="28"/>
  <c r="O198" i="28"/>
  <c r="K208" i="28"/>
  <c r="K212" i="28"/>
  <c r="K199" i="28"/>
  <c r="Q197" i="28"/>
  <c r="Q215" i="28"/>
  <c r="Q214" i="28"/>
  <c r="W217" i="28"/>
  <c r="W215" i="28"/>
  <c r="W201" i="28"/>
  <c r="V215" i="28"/>
  <c r="V193" i="28"/>
  <c r="V202" i="28"/>
  <c r="V200" i="28"/>
  <c r="I195" i="28"/>
  <c r="O197" i="28"/>
  <c r="O196" i="28"/>
  <c r="I207" i="28"/>
  <c r="I215" i="28"/>
  <c r="O85" i="28"/>
  <c r="O203" i="28"/>
  <c r="O208" i="28"/>
  <c r="O217" i="28"/>
  <c r="W198" i="28"/>
  <c r="W209" i="28"/>
  <c r="W195" i="28"/>
  <c r="V204" i="28"/>
  <c r="V217" i="28"/>
  <c r="V199" i="28"/>
  <c r="I214" i="28"/>
  <c r="I206" i="28"/>
  <c r="I196" i="28"/>
  <c r="K215" i="28"/>
  <c r="K195" i="28"/>
  <c r="K193" i="28"/>
  <c r="Q203" i="28"/>
  <c r="Q208" i="28"/>
  <c r="Q218" i="28"/>
  <c r="W214" i="28"/>
  <c r="W197" i="28"/>
  <c r="W206" i="28"/>
  <c r="V206" i="28"/>
  <c r="V198" i="28"/>
  <c r="V205" i="28"/>
  <c r="I216" i="28"/>
  <c r="O206" i="28"/>
  <c r="I198" i="28"/>
  <c r="I211" i="28"/>
  <c r="O87" i="28"/>
  <c r="I217" i="28"/>
  <c r="O216" i="28"/>
  <c r="U89" i="28"/>
  <c r="O207" i="28"/>
  <c r="O211" i="28"/>
  <c r="W211" i="28"/>
  <c r="W203" i="28"/>
  <c r="V196" i="28"/>
  <c r="V209" i="28"/>
  <c r="V197" i="28"/>
  <c r="I204" i="28"/>
  <c r="O199" i="28"/>
  <c r="I209" i="28"/>
  <c r="K211" i="28"/>
  <c r="K197" i="28"/>
  <c r="K217" i="28"/>
  <c r="Q216" i="28"/>
  <c r="Q199" i="28"/>
  <c r="Q207" i="28"/>
  <c r="Q211" i="28"/>
  <c r="W204" i="28"/>
  <c r="W199" i="28"/>
  <c r="V216" i="28"/>
  <c r="V212" i="28"/>
  <c r="V207" i="28"/>
  <c r="I200" i="28"/>
  <c r="O200" i="28"/>
  <c r="I205" i="28"/>
  <c r="I202" i="28"/>
  <c r="I203" i="28"/>
  <c r="I210" i="28"/>
  <c r="O91" i="28"/>
  <c r="O212" i="28"/>
  <c r="U91" i="28"/>
  <c r="O213" i="28"/>
  <c r="W212" i="28"/>
  <c r="W210" i="28"/>
  <c r="W216" i="28"/>
  <c r="W208" i="28"/>
  <c r="V201" i="28"/>
  <c r="V194" i="28"/>
  <c r="V211" i="28"/>
  <c r="I197" i="28"/>
  <c r="O210" i="28"/>
  <c r="O201" i="28"/>
  <c r="I201" i="28"/>
  <c r="K204" i="28"/>
  <c r="K210" i="28"/>
  <c r="K201" i="28"/>
  <c r="Q212" i="28"/>
  <c r="Q201" i="28"/>
  <c r="Q213" i="28"/>
  <c r="GX82" i="26"/>
  <c r="FL120" i="26" s="1"/>
  <c r="FN120" i="26"/>
  <c r="GX75" i="26"/>
  <c r="FL113" i="26" s="1"/>
  <c r="FN113" i="26"/>
  <c r="GX80" i="26"/>
  <c r="FL118" i="26" s="1"/>
  <c r="FN118" i="26"/>
  <c r="GX77" i="26"/>
  <c r="FL115" i="26" s="1"/>
  <c r="FN115" i="26"/>
  <c r="BZ120" i="26"/>
  <c r="FN106" i="26"/>
  <c r="GX84" i="26"/>
  <c r="FL122" i="26" s="1"/>
  <c r="GX78" i="26"/>
  <c r="FL116" i="26" s="1"/>
  <c r="GX69" i="26"/>
  <c r="FL107" i="26" s="1"/>
  <c r="GX88" i="26"/>
  <c r="FL126" i="26" s="1"/>
  <c r="GX89" i="26"/>
  <c r="FL127" i="26" s="1"/>
  <c r="GX73" i="26"/>
  <c r="FL111" i="26" s="1"/>
  <c r="GX92" i="26"/>
  <c r="FL130" i="26" s="1"/>
  <c r="GX90" i="26"/>
  <c r="FL128" i="26" s="1"/>
  <c r="GX70" i="26"/>
  <c r="FL108" i="26" s="1"/>
  <c r="GX72" i="26"/>
  <c r="FL110" i="26" s="1"/>
  <c r="GX79" i="26"/>
  <c r="FL117" i="26" s="1"/>
  <c r="GX74" i="26"/>
  <c r="FL112" i="26" s="1"/>
  <c r="GX71" i="26"/>
  <c r="FL109" i="26" s="1"/>
  <c r="GX68" i="26"/>
  <c r="FL106" i="26" s="1"/>
  <c r="GX87" i="26"/>
  <c r="FL125" i="26" s="1"/>
  <c r="GX85" i="26"/>
  <c r="FL123" i="26" s="1"/>
  <c r="GX91" i="26"/>
  <c r="FL129" i="26" s="1"/>
  <c r="GX83" i="26"/>
  <c r="FL121" i="26" s="1"/>
  <c r="GX76" i="26"/>
  <c r="FL114" i="26" s="1"/>
  <c r="GX81" i="26"/>
  <c r="FL119" i="26" s="1"/>
  <c r="GX86" i="26"/>
  <c r="FL124" i="26" s="1"/>
  <c r="O114" i="28"/>
  <c r="O116" i="28"/>
  <c r="I122" i="28"/>
  <c r="I120" i="28"/>
  <c r="I70" i="28"/>
  <c r="I114" i="28"/>
  <c r="I69" i="28"/>
  <c r="I118" i="28"/>
  <c r="I116" i="28"/>
  <c r="U205" i="28" l="1"/>
  <c r="U206" i="28"/>
  <c r="U199" i="28"/>
  <c r="U213" i="28"/>
  <c r="W205" i="28"/>
  <c r="U194" i="28"/>
  <c r="U214" i="28"/>
  <c r="U202" i="28"/>
  <c r="U201" i="28"/>
  <c r="U193" i="28"/>
  <c r="U198" i="28"/>
  <c r="W202" i="28"/>
  <c r="U204" i="28"/>
  <c r="U217" i="28"/>
  <c r="U211" i="28"/>
  <c r="C114" i="28"/>
  <c r="U210" i="28"/>
  <c r="U215" i="28"/>
  <c r="W193" i="28"/>
  <c r="W207" i="28"/>
  <c r="U212" i="28"/>
  <c r="U207" i="28"/>
  <c r="U216" i="28"/>
  <c r="U195" i="28"/>
  <c r="U209" i="28"/>
  <c r="U200" i="28"/>
  <c r="U196" i="28"/>
  <c r="U208" i="28"/>
  <c r="U197" i="28"/>
  <c r="U203" i="28"/>
  <c r="W200" i="28"/>
</calcChain>
</file>

<file path=xl/sharedStrings.xml><?xml version="1.0" encoding="utf-8"?>
<sst xmlns="http://schemas.openxmlformats.org/spreadsheetml/2006/main" count="10847" uniqueCount="3538">
  <si>
    <t>Airport name</t>
  </si>
  <si>
    <t>AIR_SORT_COL_ID</t>
  </si>
  <si>
    <t>barrels/capita/year</t>
  </si>
  <si>
    <t>PORT_SORT_COL</t>
  </si>
  <si>
    <t>AIRPORTS / PORTS</t>
  </si>
  <si>
    <t>Port name</t>
  </si>
  <si>
    <t>Sort by</t>
  </si>
  <si>
    <t>Ordenar por</t>
  </si>
  <si>
    <t>Nombre del puerto</t>
  </si>
  <si>
    <t>Nombre del aeropuerto</t>
  </si>
  <si>
    <t xml:space="preserve">   Top quartile</t>
  </si>
  <si>
    <t xml:space="preserve">   cuartil superior</t>
  </si>
  <si>
    <t xml:space="preserve">   2nd Quartile</t>
  </si>
  <si>
    <t xml:space="preserve">   segundo cuartil</t>
  </si>
  <si>
    <t xml:space="preserve">   3rd Quartile</t>
  </si>
  <si>
    <t xml:space="preserve">   tercero cuartil</t>
  </si>
  <si>
    <t xml:space="preserve">   Bottom quartile</t>
  </si>
  <si>
    <t xml:space="preserve">   cuartil inferior</t>
  </si>
  <si>
    <t>NAC_BZ_1</t>
  </si>
  <si>
    <t>NAC_CO_1</t>
  </si>
  <si>
    <t>NAC_CR_1</t>
  </si>
  <si>
    <t>NAC_DO_1</t>
  </si>
  <si>
    <t>NAC_GT_1</t>
  </si>
  <si>
    <t>NAC_HN_1</t>
  </si>
  <si>
    <t>NAC_MX_1</t>
  </si>
  <si>
    <t>NAC_NI_1</t>
  </si>
  <si>
    <t>NAC_PA_1</t>
  </si>
  <si>
    <t>NAC_SV_1</t>
  </si>
  <si>
    <t>Coeficiente de Correlación</t>
  </si>
  <si>
    <t>INDICADORES COMPUESTOS</t>
  </si>
  <si>
    <t>CALCULATED INDICATORS</t>
  </si>
  <si>
    <t>IndiID</t>
  </si>
  <si>
    <t>IndiCode</t>
  </si>
  <si>
    <t>ParentID</t>
  </si>
  <si>
    <t>Level</t>
  </si>
  <si>
    <t>HasData</t>
  </si>
  <si>
    <t>Description</t>
  </si>
  <si>
    <t>Unit</t>
  </si>
  <si>
    <t>Source</t>
  </si>
  <si>
    <t>GENERAL</t>
  </si>
  <si>
    <t>General indicators</t>
  </si>
  <si>
    <t>GENERAL01</t>
  </si>
  <si>
    <t>GENERAL02</t>
  </si>
  <si>
    <t>#</t>
  </si>
  <si>
    <t>GENERAL03</t>
  </si>
  <si>
    <t>GENERAL04</t>
  </si>
  <si>
    <t>GENERAL05</t>
  </si>
  <si>
    <t>GDP-PPP</t>
  </si>
  <si>
    <t>GENERAL06</t>
  </si>
  <si>
    <t>GENERAL07</t>
  </si>
  <si>
    <t>GENERAL08</t>
  </si>
  <si>
    <t>Exports - value</t>
  </si>
  <si>
    <t>GENERAL09</t>
  </si>
  <si>
    <t>Exports - volume</t>
  </si>
  <si>
    <t>GENERAL10</t>
  </si>
  <si>
    <t>Imports - value</t>
  </si>
  <si>
    <t>GENERAL11</t>
  </si>
  <si>
    <t>ROAD</t>
  </si>
  <si>
    <t>Road transportation</t>
  </si>
  <si>
    <t>ROAD01</t>
  </si>
  <si>
    <t>km</t>
  </si>
  <si>
    <t>ROAD02</t>
  </si>
  <si>
    <t>Motorway/freeway/express road</t>
  </si>
  <si>
    <t>ROAD03</t>
  </si>
  <si>
    <t>Primary network</t>
  </si>
  <si>
    <t>ROAD04</t>
  </si>
  <si>
    <t>Secondary network</t>
  </si>
  <si>
    <t>ROAD05</t>
  </si>
  <si>
    <t>Other networks</t>
  </si>
  <si>
    <t>ROAD06</t>
  </si>
  <si>
    <t>ROAD07</t>
  </si>
  <si>
    <t>ROAD08</t>
  </si>
  <si>
    <t>ROAD09</t>
  </si>
  <si>
    <t>ton</t>
  </si>
  <si>
    <t>ROAD11</t>
  </si>
  <si>
    <t>Fleet average age</t>
  </si>
  <si>
    <t>ROAD12</t>
  </si>
  <si>
    <t>Number of trailers</t>
  </si>
  <si>
    <t>ROAD14</t>
  </si>
  <si>
    <t>Total vehicles</t>
  </si>
  <si>
    <t>ROAD15</t>
  </si>
  <si>
    <t>Number of motor carrier operators</t>
  </si>
  <si>
    <t>ROAD16</t>
  </si>
  <si>
    <t>Motor carrier operators with 1 or 2 units</t>
  </si>
  <si>
    <t>SCATTER_X_INDI_DP</t>
  </si>
  <si>
    <t>SCATTER_X_INDI_NUMBERFORMAT</t>
  </si>
  <si>
    <t>SCATTER_Y_INDI_DP</t>
  </si>
  <si>
    <t>SCATTER_Y_INDI_NUMBERFORMAT</t>
  </si>
  <si>
    <t>Transporte marítimo y fluvial</t>
  </si>
  <si>
    <t>Calculated indicators</t>
  </si>
  <si>
    <t>Indicadores compuestos</t>
  </si>
  <si>
    <t>CALCULATED</t>
  </si>
  <si>
    <t>CALCULADO</t>
  </si>
  <si>
    <t>Cargo Carried (Domestic)-Productivity / Total Cargo Carried (Domestic)</t>
  </si>
  <si>
    <t>Number of Trucks / Number of trailers</t>
  </si>
  <si>
    <t>AIRPORTS_INCLUDE_COUNTRY_1</t>
  </si>
  <si>
    <t>AIRPORTS_INCLUDE_COUNTRY_2</t>
  </si>
  <si>
    <t>AIRPORTS_INCLUDE_COUNTRY_3</t>
  </si>
  <si>
    <t>AIRPORTS_INCLUDE_COUNTRY_4</t>
  </si>
  <si>
    <t>AIRPORTS_INCLUDE_COUNTRY_5</t>
  </si>
  <si>
    <t>AIRPORTS_INCLUDE_COUNTRY_6</t>
  </si>
  <si>
    <t>AIRPORTS_INCLUDE_COUNTRY_7</t>
  </si>
  <si>
    <t>AIRPORTS_INCLUDE_COUNTRY_8</t>
  </si>
  <si>
    <t>AIRPORTS_INCLUDE_COUNTRY_9</t>
  </si>
  <si>
    <t>AIRPORTS_INCLUDE_COUNTRY_10</t>
  </si>
  <si>
    <t>↔</t>
  </si>
  <si>
    <t>Nombre del pais</t>
  </si>
  <si>
    <t>Country name</t>
  </si>
  <si>
    <t>Promedio regional</t>
  </si>
  <si>
    <t>Regional average</t>
  </si>
  <si>
    <t>US$/cápita</t>
  </si>
  <si>
    <t>%DelPIB</t>
  </si>
  <si>
    <t>barriles/cápita/año</t>
  </si>
  <si>
    <t>País a resaltar</t>
  </si>
  <si>
    <t>R: 88</t>
  </si>
  <si>
    <t>G: 87</t>
  </si>
  <si>
    <t>B: 76</t>
  </si>
  <si>
    <t>R: 118</t>
  </si>
  <si>
    <t>G: 117</t>
  </si>
  <si>
    <t>B: 106</t>
  </si>
  <si>
    <t>R: 148</t>
  </si>
  <si>
    <t>G: 148</t>
  </si>
  <si>
    <t>B: 136</t>
  </si>
  <si>
    <t>R: 0</t>
  </si>
  <si>
    <t>G: 0</t>
  </si>
  <si>
    <t>B: 0</t>
  </si>
  <si>
    <t>R: 255</t>
  </si>
  <si>
    <t>G: 194</t>
  </si>
  <si>
    <t>B: 14</t>
  </si>
  <si>
    <t>R: 136</t>
  </si>
  <si>
    <t>G: 199</t>
  </si>
  <si>
    <t>B: 105</t>
  </si>
  <si>
    <t>R: 134</t>
  </si>
  <si>
    <t>G: 186</t>
  </si>
  <si>
    <t>B: 229</t>
  </si>
  <si>
    <t>R: 232</t>
  </si>
  <si>
    <t>G: 231</t>
  </si>
  <si>
    <t>B: 221</t>
  </si>
  <si>
    <t>Chart backgrounds</t>
  </si>
  <si>
    <t>Good strong blue - not in palette</t>
  </si>
  <si>
    <t>This grey is used for text in graphic design examples.</t>
  </si>
  <si>
    <t>original is</t>
  </si>
  <si>
    <t>Light Blue</t>
  </si>
  <si>
    <t>Light Green</t>
  </si>
  <si>
    <t>Yellow (highlight?)</t>
  </si>
  <si>
    <t>Black</t>
  </si>
  <si>
    <t>"Grey"</t>
  </si>
  <si>
    <t>Country Data Charts</t>
  </si>
  <si>
    <t>Title</t>
  </si>
  <si>
    <t>Blue</t>
  </si>
  <si>
    <t>sdsd</t>
  </si>
  <si>
    <t>jjff</t>
  </si>
  <si>
    <t>blue</t>
  </si>
  <si>
    <t>hello</t>
  </si>
  <si>
    <t>Additional "grey"</t>
  </si>
  <si>
    <t>hiya</t>
  </si>
  <si>
    <t>RankDisplay</t>
  </si>
  <si>
    <t/>
  </si>
  <si>
    <t>HIGHLIGHT_COUNTRY_DD</t>
  </si>
  <si>
    <t>HIGHLIGHT_COUNTRY_ID</t>
  </si>
  <si>
    <t>&lt;none&gt;</t>
  </si>
  <si>
    <t>Quartile</t>
  </si>
  <si>
    <t>iMapRank</t>
  </si>
  <si>
    <t>Calculation sheet for [Map]</t>
  </si>
  <si>
    <t>Class</t>
  </si>
  <si>
    <t>R</t>
  </si>
  <si>
    <t>G</t>
  </si>
  <si>
    <t>B</t>
  </si>
  <si>
    <t>N/A</t>
  </si>
  <si>
    <t>Best</t>
  </si>
  <si>
    <t>Worst</t>
  </si>
  <si>
    <t>Sea (as don't  have 5 groups)</t>
  </si>
  <si>
    <t>No change</t>
  </si>
  <si>
    <t>HIGHLIGHT_COUNTRY</t>
  </si>
  <si>
    <t>Comments</t>
  </si>
  <si>
    <t>Select an indicator</t>
  </si>
  <si>
    <t>INDI_HAS_DATA</t>
  </si>
  <si>
    <t>HIGHLIGHT_COUNTRY_ISO</t>
  </si>
  <si>
    <t>ZZZ</t>
  </si>
  <si>
    <t>INDI_ID_1</t>
  </si>
  <si>
    <t>INDI_ID_2</t>
  </si>
  <si>
    <t>INDI_ID_3</t>
  </si>
  <si>
    <t>INDI_ID_4</t>
  </si>
  <si>
    <t>INDI_ID_5</t>
  </si>
  <si>
    <t>INDI_ID_6</t>
  </si>
  <si>
    <t>INDI_ID_7</t>
  </si>
  <si>
    <t>INDI_ID_8</t>
  </si>
  <si>
    <t>INDI_ID_9</t>
  </si>
  <si>
    <t>INDI_ID_10</t>
  </si>
  <si>
    <t>COLLECTION_ID</t>
  </si>
  <si>
    <t>WIDTHY</t>
  </si>
  <si>
    <t>Select country</t>
  </si>
  <si>
    <t>Highlight country</t>
  </si>
  <si>
    <t>CATEGORY_ID</t>
  </si>
  <si>
    <t>CATEGORY TABLES</t>
  </si>
  <si>
    <t>Depth</t>
  </si>
  <si>
    <t>IsScored</t>
  </si>
  <si>
    <t>Score (0)_OR_Data (1)</t>
  </si>
  <si>
    <t>INDI_X</t>
  </si>
  <si>
    <t>INDI_Y</t>
  </si>
  <si>
    <t>COUNTRY_HIGHLIGHT_ID</t>
  </si>
  <si>
    <t>SHOW_LABELS</t>
  </si>
  <si>
    <t>SHOW_OUTLIERS</t>
  </si>
  <si>
    <t>RowCode</t>
  </si>
  <si>
    <t>RowLU</t>
  </si>
  <si>
    <t>INDI_X_YEAR_ID</t>
  </si>
  <si>
    <t>INDI_Y_YEARID</t>
  </si>
  <si>
    <t>TITLE</t>
  </si>
  <si>
    <t>X-LABEL</t>
  </si>
  <si>
    <t>Y-LABEL</t>
  </si>
  <si>
    <t>SLOPE</t>
  </si>
  <si>
    <t>INTERCEPT</t>
  </si>
  <si>
    <t>CORREL</t>
  </si>
  <si>
    <t>CORREL IS NOT ERROR</t>
  </si>
  <si>
    <t>USED TO DECIDE WHETHER TO CALCULATE OUTLIERS OR NOT, SHOULDN'T BE INVOKED IF ALL DATA IS GOOD (?)</t>
  </si>
  <si>
    <t>Raw data</t>
  </si>
  <si>
    <t>Allowable?</t>
  </si>
  <si>
    <t>Don't allow blanks or errors</t>
  </si>
  <si>
    <t>Anticipated</t>
  </si>
  <si>
    <t>CountryHighlight</t>
  </si>
  <si>
    <t>Labels</t>
  </si>
  <si>
    <t>Base (unhighlighted)</t>
  </si>
  <si>
    <t>Highlighted</t>
  </si>
  <si>
    <t>COUNTRY</t>
  </si>
  <si>
    <t>STATUS</t>
  </si>
  <si>
    <t>X</t>
  </si>
  <si>
    <t>Y</t>
  </si>
  <si>
    <t>Diff</t>
  </si>
  <si>
    <t>Label</t>
  </si>
  <si>
    <t>Include?</t>
  </si>
  <si>
    <t>Max Outlier</t>
  </si>
  <si>
    <t>Target</t>
  </si>
  <si>
    <t>Min Outlier</t>
  </si>
  <si>
    <t>SCATTER</t>
  </si>
  <si>
    <t>SCATTER_INDI_X_ID</t>
  </si>
  <si>
    <t>SCATTER_INDI_Y_ID</t>
  </si>
  <si>
    <t>X-Row</t>
  </si>
  <si>
    <t>Y-Row</t>
  </si>
  <si>
    <t>Belice</t>
  </si>
  <si>
    <t>República Dominicana</t>
  </si>
  <si>
    <t>millones t·km</t>
  </si>
  <si>
    <t>tipo de entidad</t>
  </si>
  <si>
    <t>ID_Indic</t>
  </si>
  <si>
    <t>COVERTEXT</t>
  </si>
  <si>
    <t>DP</t>
  </si>
  <si>
    <t>MAP_INDI_DP</t>
  </si>
  <si>
    <t>MAP_INDI_NUMBERFORMAT</t>
  </si>
  <si>
    <t>Seleccione un indicador</t>
  </si>
  <si>
    <t>Seleccionar país</t>
  </si>
  <si>
    <t>&lt;ninguno&gt;</t>
  </si>
  <si>
    <t>INDI_ID_11</t>
  </si>
  <si>
    <t>INDI_ID_12</t>
  </si>
  <si>
    <t>INDI_ID_13</t>
  </si>
  <si>
    <t>INDI_ID_14</t>
  </si>
  <si>
    <t>INDI_ID_15</t>
  </si>
  <si>
    <t>INDI_ID_16</t>
  </si>
  <si>
    <t>INDI_ID_17</t>
  </si>
  <si>
    <t>INDI_ID_18</t>
  </si>
  <si>
    <t>INDI_ID_19</t>
  </si>
  <si>
    <t>INDI_ID_20</t>
  </si>
  <si>
    <t>Unidades</t>
  </si>
  <si>
    <t>Indicador</t>
  </si>
  <si>
    <t>–</t>
  </si>
  <si>
    <t>MISC</t>
  </si>
  <si>
    <t>Correlation co-efficient</t>
  </si>
  <si>
    <t>SCATTER_OK</t>
  </si>
  <si>
    <t>Macros must be enabled</t>
  </si>
  <si>
    <t>Country Data table</t>
  </si>
  <si>
    <t>Indi</t>
  </si>
  <si>
    <t>Category</t>
  </si>
  <si>
    <t>DRAFT - INTERNAL DISTRIBUTION ONLY</t>
  </si>
  <si>
    <t>BORRADOR - DISTRIBUCIÓN INTERIOR</t>
  </si>
  <si>
    <t>MAP_ADD_TEXT</t>
  </si>
  <si>
    <t>INFORMACIÓN ADICIONAL PARA</t>
  </si>
  <si>
    <t>ADDITIONAL INFORMATION FOR</t>
  </si>
  <si>
    <t>Average</t>
  </si>
  <si>
    <t>Promedio</t>
  </si>
  <si>
    <t>Country_Summary_Map</t>
  </si>
  <si>
    <t>CALC:A_INDI</t>
  </si>
  <si>
    <t>CALC:A_MULT</t>
  </si>
  <si>
    <t>CALC:B_INDI</t>
  </si>
  <si>
    <t>CALC:B_MULT</t>
  </si>
  <si>
    <t>CALC:C INDI</t>
  </si>
  <si>
    <t>CALC</t>
  </si>
  <si>
    <t>CALC01</t>
  </si>
  <si>
    <t>XX_CALC</t>
  </si>
  <si>
    <t>Calculation</t>
  </si>
  <si>
    <t>CALC02</t>
  </si>
  <si>
    <t>CALC03</t>
  </si>
  <si>
    <t>CALC04</t>
  </si>
  <si>
    <t>CALC05</t>
  </si>
  <si>
    <t>CALC06</t>
  </si>
  <si>
    <t>CALC07</t>
  </si>
  <si>
    <t>CALC08</t>
  </si>
  <si>
    <t>CALC09</t>
  </si>
  <si>
    <t>CALC10</t>
  </si>
  <si>
    <t>GDP / capita</t>
  </si>
  <si>
    <t>US$/capita</t>
  </si>
  <si>
    <t>PIB / cápita</t>
  </si>
  <si>
    <t>Trade balance / GDP</t>
  </si>
  <si>
    <t>% of GDP</t>
  </si>
  <si>
    <t>Balanza comercial / PIB</t>
  </si>
  <si>
    <t>Diesel oil consumption / capita</t>
  </si>
  <si>
    <t>Gasoline consumption / capita</t>
  </si>
  <si>
    <t>Road density (area)</t>
  </si>
  <si>
    <t>km/km2</t>
  </si>
  <si>
    <t>Road density (population)</t>
  </si>
  <si>
    <t>Country Summary Charts</t>
  </si>
  <si>
    <t>Imports</t>
  </si>
  <si>
    <t>Exports</t>
  </si>
  <si>
    <t>Importaciones</t>
  </si>
  <si>
    <t>Exportaciones</t>
  </si>
  <si>
    <t>million ton km</t>
  </si>
  <si>
    <t>Road</t>
  </si>
  <si>
    <t>Rail</t>
  </si>
  <si>
    <t>Air</t>
  </si>
  <si>
    <t>Aereo</t>
  </si>
  <si>
    <t>Ferroviario</t>
  </si>
  <si>
    <t>Carretero</t>
  </si>
  <si>
    <t>Red de carreteras por tipo de vía</t>
  </si>
  <si>
    <t>Cargas transportadas (domésticas)</t>
  </si>
  <si>
    <t>Freight carried (domestic)</t>
  </si>
  <si>
    <t>Import / Exports</t>
  </si>
  <si>
    <t>Importaciones / exportaciones</t>
  </si>
  <si>
    <t>ROAD17</t>
  </si>
  <si>
    <t>ROAD18</t>
  </si>
  <si>
    <t>ROAD19</t>
  </si>
  <si>
    <t>ROAD20</t>
  </si>
  <si>
    <t>ROAD21</t>
  </si>
  <si>
    <t>ROAD22</t>
  </si>
  <si>
    <t>Retail price - gasoline</t>
  </si>
  <si>
    <t>ROAD23</t>
  </si>
  <si>
    <t>Estimated CO2 emissions</t>
  </si>
  <si>
    <t>ROAD24</t>
  </si>
  <si>
    <t>ROAD25</t>
  </si>
  <si>
    <t>ROAD26</t>
  </si>
  <si>
    <t>Median distance</t>
  </si>
  <si>
    <t>ROAD27</t>
  </si>
  <si>
    <t>ROAD29</t>
  </si>
  <si>
    <t>ROAD30</t>
  </si>
  <si>
    <t>Empty hauls</t>
  </si>
  <si>
    <t>ROAD32</t>
  </si>
  <si>
    <t>RAIL</t>
  </si>
  <si>
    <t>Railway transportation</t>
  </si>
  <si>
    <t>RAIL01</t>
  </si>
  <si>
    <t>RAIL02</t>
  </si>
  <si>
    <t>Railway network with two or more tracks</t>
  </si>
  <si>
    <t>RAIL03</t>
  </si>
  <si>
    <t>Electrified railway network</t>
  </si>
  <si>
    <t>RAIL04</t>
  </si>
  <si>
    <t>Total locomotives</t>
  </si>
  <si>
    <t>RAIL05</t>
  </si>
  <si>
    <t>RAIL06</t>
  </si>
  <si>
    <t>Average power of freight locomotives</t>
  </si>
  <si>
    <t>RAIL07</t>
  </si>
  <si>
    <t>Freight cars</t>
  </si>
  <si>
    <t>RAIL08</t>
  </si>
  <si>
    <t>Freight car fleet static capacity</t>
  </si>
  <si>
    <t>RAIL10</t>
  </si>
  <si>
    <t>RAIL11</t>
  </si>
  <si>
    <t>RAIL12</t>
  </si>
  <si>
    <t>RAIL13</t>
  </si>
  <si>
    <t>RAIL14</t>
  </si>
  <si>
    <t>RAIL15</t>
  </si>
  <si>
    <t>RAIL16</t>
  </si>
  <si>
    <t>RAIL17</t>
  </si>
  <si>
    <t>RAIL18</t>
  </si>
  <si>
    <t>RAIL19</t>
  </si>
  <si>
    <t>AIR</t>
  </si>
  <si>
    <t xml:space="preserve">Air transportation </t>
  </si>
  <si>
    <t>AIR01</t>
  </si>
  <si>
    <t>AIR02</t>
  </si>
  <si>
    <t xml:space="preserve">Maximum aircraft approach category </t>
  </si>
  <si>
    <t>AIR03</t>
  </si>
  <si>
    <t>Instrument approach available IACTF</t>
  </si>
  <si>
    <t>AIR04</t>
  </si>
  <si>
    <t xml:space="preserve">Area of cargo facilities in IACTF </t>
  </si>
  <si>
    <t>AIR05</t>
  </si>
  <si>
    <t>AIR06</t>
  </si>
  <si>
    <t>AIR07</t>
  </si>
  <si>
    <t>WATER</t>
  </si>
  <si>
    <t xml:space="preserve">Water transportation </t>
  </si>
  <si>
    <t>WATER01</t>
  </si>
  <si>
    <t>Maximum draft in container terminal</t>
  </si>
  <si>
    <t>WATER02</t>
  </si>
  <si>
    <t>Bridge cranes</t>
  </si>
  <si>
    <t>WATER03</t>
  </si>
  <si>
    <t>Berth length (container and multipurpose terminals)</t>
  </si>
  <si>
    <t>WATER04</t>
  </si>
  <si>
    <t>Area of container storage facilities</t>
  </si>
  <si>
    <t>WATER05</t>
  </si>
  <si>
    <t>Flag state commercial vessels</t>
  </si>
  <si>
    <t>WATER06</t>
  </si>
  <si>
    <t>Total port traffic</t>
  </si>
  <si>
    <t>WATER07</t>
  </si>
  <si>
    <t>Total port traffic - exports</t>
  </si>
  <si>
    <t>WATER08</t>
  </si>
  <si>
    <t>Total port traffic - imports</t>
  </si>
  <si>
    <t>WATER09</t>
  </si>
  <si>
    <t>Total port traffic - domestic movements (inbound &amp; outbound)</t>
  </si>
  <si>
    <t>WATER10</t>
  </si>
  <si>
    <t>Total container traffic</t>
  </si>
  <si>
    <t>WATER11</t>
  </si>
  <si>
    <t>WATER12</t>
  </si>
  <si>
    <t>Total maritime cabotage traffic</t>
  </si>
  <si>
    <t>WATER14</t>
  </si>
  <si>
    <t>WATER17</t>
  </si>
  <si>
    <t>LOGISTICS</t>
  </si>
  <si>
    <t>Logistics activities</t>
  </si>
  <si>
    <t>LOGISTICS01</t>
  </si>
  <si>
    <t>Logistics centers' surface</t>
  </si>
  <si>
    <t>LOGISTICS02</t>
  </si>
  <si>
    <t>LOGISTICS06</t>
  </si>
  <si>
    <t>SheetName</t>
  </si>
  <si>
    <t>ContentsDescription</t>
  </si>
  <si>
    <t>ContentsTitle</t>
  </si>
  <si>
    <t>Visible</t>
  </si>
  <si>
    <t>uxbWorks</t>
  </si>
  <si>
    <t>tblIndi_EN</t>
  </si>
  <si>
    <t>VERSION_ID</t>
  </si>
  <si>
    <t>COUNTRY_COUNT</t>
  </si>
  <si>
    <t>LANGUAGE_ID</t>
  </si>
  <si>
    <t>LangID</t>
  </si>
  <si>
    <t>Language</t>
  </si>
  <si>
    <t>English</t>
  </si>
  <si>
    <t>Español</t>
  </si>
  <si>
    <t>Seleccione el idioma</t>
  </si>
  <si>
    <t>Select language</t>
  </si>
  <si>
    <t>Indicadores generales</t>
  </si>
  <si>
    <t>Transporte carretero</t>
  </si>
  <si>
    <t>Transporte ferroviario</t>
  </si>
  <si>
    <t>Transporte aereo</t>
  </si>
  <si>
    <t>Actividades logisticas</t>
  </si>
  <si>
    <t>n/a</t>
  </si>
  <si>
    <t>Notes</t>
  </si>
  <si>
    <t>Home</t>
  </si>
  <si>
    <t>Map</t>
  </si>
  <si>
    <t>View data for any indicator on a map.</t>
  </si>
  <si>
    <t>todo</t>
  </si>
  <si>
    <t>Contents</t>
  </si>
  <si>
    <t>View indicator data on a map.</t>
  </si>
  <si>
    <t>InContents</t>
  </si>
  <si>
    <t>tblLookups</t>
  </si>
  <si>
    <t>tblIndi_ES</t>
  </si>
  <si>
    <t>uxbContents</t>
  </si>
  <si>
    <t>Stores all text in English/Spanish</t>
  </si>
  <si>
    <t>Metadata for all worksheets (this sheet!)</t>
  </si>
  <si>
    <t>User settings / global variables</t>
  </si>
  <si>
    <t>Indicator definitions in English</t>
  </si>
  <si>
    <t>Indicator definitions in Spanish</t>
  </si>
  <si>
    <t>Misc lookup tables</t>
  </si>
  <si>
    <t>CountryID</t>
  </si>
  <si>
    <t>ISO</t>
  </si>
  <si>
    <t>Country</t>
  </si>
  <si>
    <t>Country_EN</t>
  </si>
  <si>
    <t>Country_ES</t>
  </si>
  <si>
    <t>tblText</t>
  </si>
  <si>
    <t>tblCountries</t>
  </si>
  <si>
    <t>Country definitions, English/Spanish</t>
  </si>
  <si>
    <t>Panamá</t>
  </si>
  <si>
    <t>Guatemala</t>
  </si>
  <si>
    <t>Costa Rica</t>
  </si>
  <si>
    <t>Nicaragua</t>
  </si>
  <si>
    <t>Colombia</t>
  </si>
  <si>
    <t>Honduras</t>
  </si>
  <si>
    <t>México</t>
  </si>
  <si>
    <t>Dominican Republic</t>
  </si>
  <si>
    <t>El Salvador</t>
  </si>
  <si>
    <t>Fuente</t>
  </si>
  <si>
    <t>MAP_INDI_ID</t>
  </si>
  <si>
    <t>ENGLISH</t>
  </si>
  <si>
    <t>ESPANOL</t>
  </si>
  <si>
    <t>WORKSHEET TITLES</t>
  </si>
  <si>
    <t>tblIndi</t>
  </si>
  <si>
    <t>Indicator definitions (ACTIVE LANGUAGE)</t>
  </si>
  <si>
    <t>Id_indic</t>
  </si>
  <si>
    <t>Id_pais</t>
  </si>
  <si>
    <t>Año</t>
  </si>
  <si>
    <t>Valor</t>
  </si>
  <si>
    <t>Comentario</t>
  </si>
  <si>
    <t>Detalle_Localización</t>
  </si>
  <si>
    <t>MX</t>
  </si>
  <si>
    <t>GT</t>
  </si>
  <si>
    <t>BZ</t>
  </si>
  <si>
    <t>NI</t>
  </si>
  <si>
    <t>PA</t>
  </si>
  <si>
    <t>SV</t>
  </si>
  <si>
    <t>CR</t>
  </si>
  <si>
    <t>CO</t>
  </si>
  <si>
    <t>DO</t>
  </si>
  <si>
    <t>HN</t>
  </si>
  <si>
    <t>Imports - volume</t>
  </si>
  <si>
    <t>Indicator</t>
  </si>
  <si>
    <t>Road network by road type</t>
  </si>
  <si>
    <t>Belize, Colombia, Costa Rica, Dominican Republic, El Salvador, Guatemala, Honduras, México, Nicaragua, Panamá</t>
  </si>
  <si>
    <t>COUNTRY_ID</t>
  </si>
  <si>
    <t>Code</t>
  </si>
  <si>
    <t>Year</t>
  </si>
  <si>
    <t>Value</t>
  </si>
  <si>
    <t>FIELD NAMES</t>
  </si>
  <si>
    <t>INDI_ID</t>
  </si>
  <si>
    <t>Status</t>
  </si>
  <si>
    <t>Row</t>
  </si>
  <si>
    <t>Disallow_Zero</t>
  </si>
  <si>
    <t>Fecha de publicación</t>
  </si>
  <si>
    <t>Publication date</t>
  </si>
  <si>
    <t>CO2 Emissions</t>
  </si>
  <si>
    <t>Fondo Monetario Internacional (FMI)</t>
  </si>
  <si>
    <t>Instituto Nacional de Estadística y Geografía (INEGI)</t>
  </si>
  <si>
    <t>Ministerio de Transporte</t>
  </si>
  <si>
    <t>Comisión Ejecutiva Portuaria Autónoma (CEPA)</t>
  </si>
  <si>
    <t>Total vehicles / 1000 inhabitants</t>
  </si>
  <si>
    <t>Heavy vehicles / 1000 inhabitants</t>
  </si>
  <si>
    <t>km/1,000 habitantes</t>
  </si>
  <si>
    <t>vehículos/1,000 habitantes</t>
  </si>
  <si>
    <t>vehicles/1,000 inhabitants</t>
  </si>
  <si>
    <t>km/1,000 inhabitants</t>
  </si>
  <si>
    <t>Region</t>
  </si>
  <si>
    <t>AR</t>
  </si>
  <si>
    <t>Argentina</t>
  </si>
  <si>
    <t>BB</t>
  </si>
  <si>
    <t>Barbados</t>
  </si>
  <si>
    <t>BO</t>
  </si>
  <si>
    <t>Bolivia</t>
  </si>
  <si>
    <t>BR</t>
  </si>
  <si>
    <t>Brasil</t>
  </si>
  <si>
    <t>BS</t>
  </si>
  <si>
    <t>Bahamas</t>
  </si>
  <si>
    <t>CL</t>
  </si>
  <si>
    <t>Chile</t>
  </si>
  <si>
    <t>EC</t>
  </si>
  <si>
    <t>Ecuador</t>
  </si>
  <si>
    <t>GY</t>
  </si>
  <si>
    <t>Guyana</t>
  </si>
  <si>
    <t>HT</t>
  </si>
  <si>
    <t>Haiti</t>
  </si>
  <si>
    <t>JM</t>
  </si>
  <si>
    <t>Jamaica</t>
  </si>
  <si>
    <t>PE</t>
  </si>
  <si>
    <t>Peru</t>
  </si>
  <si>
    <t>PY</t>
  </si>
  <si>
    <t>Paraguay</t>
  </si>
  <si>
    <t>SR</t>
  </si>
  <si>
    <t>Suriname</t>
  </si>
  <si>
    <t>TT</t>
  </si>
  <si>
    <t>Trinidad and Tobago</t>
  </si>
  <si>
    <t>UY</t>
  </si>
  <si>
    <t>Uruguay</t>
  </si>
  <si>
    <t>VE</t>
  </si>
  <si>
    <t>Venezuela</t>
  </si>
  <si>
    <t>LOGISTICS07</t>
  </si>
  <si>
    <t>LOGISTICS08</t>
  </si>
  <si>
    <t>LOGISTICS09</t>
  </si>
  <si>
    <t>Logistics performance index (LPI) overall score reflects perceptions of a country's logistics. The index ranges from 1 to 5, with a higher score representing better performance.</t>
  </si>
  <si>
    <t>LPI infrastructure index</t>
  </si>
  <si>
    <t>LPI competence (services) index</t>
  </si>
  <si>
    <t>Instituto Nacional de Estadística y Censos (INDEC)</t>
  </si>
  <si>
    <t>Banco Central de Barbados</t>
  </si>
  <si>
    <t>Instituto Brasilero de Geografía y Estadística (IBGE)</t>
  </si>
  <si>
    <t>Instituto de Estadística (IHSI)</t>
  </si>
  <si>
    <t>Instituto Estadístico de Jamaica</t>
  </si>
  <si>
    <t>Instituto Nacional de Estadística e Informática (INEI)</t>
  </si>
  <si>
    <t>Departamento de Estadísticas de Surinam (ABS)</t>
  </si>
  <si>
    <t>Banco Central de Uruguay</t>
  </si>
  <si>
    <t>Banco Central de Venezuela (BCV)</t>
  </si>
  <si>
    <t>Based on data extrapolation from years 2008-2011.</t>
  </si>
  <si>
    <t>Departamento Administrativo Nacional de Estadísticas (DANE)</t>
  </si>
  <si>
    <t>Banco Central de Costa Rica, área de Estadísticas de Servicios y Construcción</t>
  </si>
  <si>
    <t>Banco Central de El Salvador</t>
  </si>
  <si>
    <t>Indicadores de Desarrollo Mundial (WDI)</t>
  </si>
  <si>
    <t>Instituto de Estadísticas y Censos (INEC)</t>
  </si>
  <si>
    <t>Banco Central de Costa Rica; área de Estadísticas del Sector Externo</t>
  </si>
  <si>
    <t>Data corresponds to year 2010.</t>
  </si>
  <si>
    <t>Data corresponds to year 2011.</t>
  </si>
  <si>
    <t>Servicio Estadístico de Barbados (BSS)</t>
  </si>
  <si>
    <t>Data corresponds to year 2008.</t>
  </si>
  <si>
    <t>Special report done by ECLAC in 2005. Total network 2003.</t>
  </si>
  <si>
    <t>Dirección Nacional de Vialidad del Ministerio de Obras Públicas (MOP)</t>
  </si>
  <si>
    <t>Data corresponds to year 2011. Sum of motorways, free roads, express roads, and primary, secondary and other nextworks.</t>
  </si>
  <si>
    <t>Autoridad de Transporte de Jamaica</t>
  </si>
  <si>
    <t>Ministerio de Transportes y Comunicaciones - Oficina de Estadísticas</t>
  </si>
  <si>
    <t>Based on data extrapolation from years 2008-2011. National Network includes not departmental. The data was specially requested.</t>
  </si>
  <si>
    <t>Ministerio de Infraestructura</t>
  </si>
  <si>
    <t>Contraloría de la Nación</t>
  </si>
  <si>
    <t>Dirección Nacional de Vialidad (DNV)</t>
  </si>
  <si>
    <t>Viceministerio de Transportes</t>
  </si>
  <si>
    <t>Data corresponds to year 2011. Special request for national accounts provided by the airport. Can be collected periodically but not publicly available.</t>
  </si>
  <si>
    <t>Observatorio Nacional de Logística - Plan Nacional de Logística 2011</t>
  </si>
  <si>
    <t>Data from special report.</t>
  </si>
  <si>
    <t>Instituto Nacional de Logística (INALOG)</t>
  </si>
  <si>
    <t>Administradora Boliviana de Caminos</t>
  </si>
  <si>
    <t>Data corresponds to year 2011. Includes state roads.</t>
  </si>
  <si>
    <t>Primary network comprises main roads.</t>
  </si>
  <si>
    <t>Data corresponds to year 2011. Includes national roads.</t>
  </si>
  <si>
    <t>Data corresponds to year 2009.</t>
  </si>
  <si>
    <t>Special report done by ECLAC in 2005. Secondary network 2003.</t>
  </si>
  <si>
    <t>Data corresponds to year 2011. Includes provincial roads.</t>
  </si>
  <si>
    <t>Data corresponds to year 2011. Includes departmental roads.</t>
  </si>
  <si>
    <t>Other networks comprise farms roads and forest roads.</t>
  </si>
  <si>
    <t>Ministerio de Obras-Departamento de Diseño Civil</t>
  </si>
  <si>
    <t>Data corresponds to year 2011. Only for state roads.</t>
  </si>
  <si>
    <t>Based on data extrapolation from years 2008-2011. Calculated as asphalt concrete divided by national network total.</t>
  </si>
  <si>
    <t>Based on data extrapolation from years 2008-2011. Includes all pavements except rough.</t>
  </si>
  <si>
    <t>Asociación de Fábricas de Automotores (ADEFA)</t>
  </si>
  <si>
    <t>Vehicles include lorries and trucks.</t>
  </si>
  <si>
    <t>Informe Anual del Parque Vehicular del Instituto Nacional de Estadísticas (INE)</t>
  </si>
  <si>
    <t>Special request for national accounts provided by Ministry of Transportation. Can be collected periodically but not publicly available.</t>
  </si>
  <si>
    <t>Based on data extrapolation from years 2008-2010. Includes only registered vehicles (lorries, trucks, tractors and trawler combis).</t>
  </si>
  <si>
    <t>Viceministerio de Transporte</t>
  </si>
  <si>
    <t>Boletín Parque Vehicular, Dirección General de Impuestos Internos (DGII).</t>
  </si>
  <si>
    <t>Banco Nacional de Desarrollo (BNDES, 2008)</t>
  </si>
  <si>
    <t>Data corresponds to year 2013. Survey data.</t>
  </si>
  <si>
    <t>Ministry estimation. Not frequent.</t>
  </si>
  <si>
    <t>Data corresponds to year 2012.</t>
  </si>
  <si>
    <t>Data corresponds to year 2005.</t>
  </si>
  <si>
    <t>Comisión Económica para América Latina y el Caribe (CEPAL)</t>
  </si>
  <si>
    <t>ECLAC data collection</t>
  </si>
  <si>
    <t>Data corresponds to year 2013.</t>
  </si>
  <si>
    <t>Weighted average using different types of trucks and respective mileage. Data corresponds to year 2009.</t>
  </si>
  <si>
    <t>Comisión Nacional de Regulación del Transporte (CNRT)</t>
  </si>
  <si>
    <t>Secretaria de transporte y Comunicaciones. Anuario Ferroviario 2012</t>
  </si>
  <si>
    <t>Secretaría de Transporte y Comunicaciones. Anuario Ferroviario 2012</t>
  </si>
  <si>
    <t>Empresa Ferroviaria Andina S.A. - Ferroviaria Oriental S.A.</t>
  </si>
  <si>
    <t>Agencia Nacional de Transportes Terrestres (ANTT)</t>
  </si>
  <si>
    <t>Empresa de los Ferrocarriles del Estado (EFE)</t>
  </si>
  <si>
    <t>Secretaría de Transporte y Comunicaciones. Anuario Ferroviario 2013</t>
  </si>
  <si>
    <t>Secretaría de Transporte y Comunicaciones. Anuario Ferroviario 2014</t>
  </si>
  <si>
    <t>Aeropuerto GAIA- Servicio estadístico de Barbados (BSS)</t>
  </si>
  <si>
    <t>Data collected at airport. Special request to BARSTATS. Can be collected periodically but not publicly available.</t>
  </si>
  <si>
    <t>Servicios Aeroportuarios de Bolivia (SABSA)</t>
  </si>
  <si>
    <t>Empresa Brasileira de Infraestrutura Aeroportuaria (INFRAERO)</t>
  </si>
  <si>
    <t>Autoridad Aérea de Jamaica</t>
  </si>
  <si>
    <t>At national level</t>
  </si>
  <si>
    <t>Junta Aeronáutica Civil del Instituto Nacional de Estadísticas (INE)</t>
  </si>
  <si>
    <t>Instituto Nacional de Estadísticas y Censos de Ecuador (INEC)</t>
  </si>
  <si>
    <t>Autoridad de Aviación Civil de Guyana (GCAA)</t>
  </si>
  <si>
    <t>Aeronáutica Civil</t>
  </si>
  <si>
    <t>Servicio estadístico de Barbados (BSS)</t>
  </si>
  <si>
    <t>Based on data extrapolation from years 2008-2011. Special request for national accounts provided by the airport. Can be collected periodically but not publicly available.</t>
  </si>
  <si>
    <t>Dirección Nacional de Aeronáutica Civil (DINAC)</t>
  </si>
  <si>
    <t>Dirección Nacional de Aviación Civil e Infraestructura Aeronáutica Oficina de Planeamiento</t>
  </si>
  <si>
    <t>Dirección General de Aeronáutica Civil de Guatemala (DGAC)</t>
  </si>
  <si>
    <t>Agencia Nacional de Aviación Civil (ANAC)</t>
  </si>
  <si>
    <t>Port of Buenos Aires.</t>
  </si>
  <si>
    <t>Puerto de Bridgetown</t>
  </si>
  <si>
    <t>Agencia Nacional de Transportes Acuáticos (ANTAQ)</t>
  </si>
  <si>
    <t>Port of Santos.</t>
  </si>
  <si>
    <t>Puertos Arawak, Abaco y Freeport</t>
  </si>
  <si>
    <t>Autoridad Portuaria Nacional</t>
  </si>
  <si>
    <t>Autoridad Marítima de Jamaica</t>
  </si>
  <si>
    <t>Banco Central de Costa Rica, Departamento de Estadística Macroeconómica</t>
  </si>
  <si>
    <t>Special report done by ECLAC in 2005.</t>
  </si>
  <si>
    <t>DINATRAN</t>
  </si>
  <si>
    <t>Organización Latinoamericana de Energía (OLADE)</t>
  </si>
  <si>
    <t>Instituto Nacional de Estadística (2011), Banco Mundial (2008-2010)</t>
  </si>
  <si>
    <t>Railway does not operate.</t>
  </si>
  <si>
    <t>Data corresponds to year 2011. Kilometers in operation only.</t>
  </si>
  <si>
    <t>Instituto Nacional de Estadística y Censos (INEC)- Estadística de Transporte 2010</t>
  </si>
  <si>
    <t>Aeropuerto de Lima</t>
  </si>
  <si>
    <t>Red de Inversiones y Exportaciones (REDIEX)</t>
  </si>
  <si>
    <t>Informes Portuarios</t>
  </si>
  <si>
    <t>Conferencia de las Naciones Unidas sobre Comercio y Desarrollo (CNUCYD/UNCTAD)</t>
  </si>
  <si>
    <t>Banco Mundial</t>
  </si>
  <si>
    <t>Includes terminals from the Port of Buenos Aires.</t>
  </si>
  <si>
    <t>Includes terminals from the Port of Freeport.</t>
  </si>
  <si>
    <t>Includes terminals from the Port of Guayaquil.</t>
  </si>
  <si>
    <t>Includes terminals from the Port of Kingston.</t>
  </si>
  <si>
    <t>Includes terminals from the Port of Callao.</t>
  </si>
  <si>
    <t>Includes terminals from the Port of Spain.</t>
  </si>
  <si>
    <t>Includes terminals from the Port of Montevideo.</t>
  </si>
  <si>
    <t>Includes terminals from the port of Cartagena.</t>
  </si>
  <si>
    <t>Includes terminals from Puerto Cortes.</t>
  </si>
  <si>
    <t>Includes terminals from Altamira, Ensenada, Lazaro Cardenas, Manzanillo and Veracruz Ports.</t>
  </si>
  <si>
    <t>Includes terminals from Balboa and Cristobal Ports.</t>
  </si>
  <si>
    <t>Includes terminals from Rio Haina.</t>
  </si>
  <si>
    <t>Includes terminals from Puerto Cabello.</t>
  </si>
  <si>
    <t>Includes terminals from the Cartagena, Barranquilla, Santa Marta, and Buenaventura.</t>
  </si>
  <si>
    <t>Includes terminals from Puerto Corinto.</t>
  </si>
  <si>
    <t>Distance between the Port of Buenos Aires and the outter limits of the city.</t>
  </si>
  <si>
    <t>Distance between port and urban zone.</t>
  </si>
  <si>
    <t>Distance between Callao and the periferal zone of Lima.</t>
  </si>
  <si>
    <t>Distance between Puerto Cabello and the periferal zone of Caracas.</t>
  </si>
  <si>
    <t>Distance between the ports of the Caribbean and Bogota.</t>
  </si>
  <si>
    <t>Distance between the Port of Acajutla and the urban zone of San Salvador.</t>
  </si>
  <si>
    <t>Distance between the ports of the Atlantic and Guatemala City.</t>
  </si>
  <si>
    <t>Distance between the ports of the Pacific/Atlantic and Mexico City.</t>
  </si>
  <si>
    <t>Distance between Puerto Corinto and Managua.</t>
  </si>
  <si>
    <t>Distance between the ports of the Pacific/Atlantic and Panama City.</t>
  </si>
  <si>
    <t>Distance between Rio Haina and the urban zone of Santo Domingo.</t>
  </si>
  <si>
    <t>Observatorio Nacional de Logística - Plan Nacional de Logística 2011 y DNA SOFIA</t>
  </si>
  <si>
    <t>Instituto Nacional de Logística (INALOG) y Administración Nacional de Puertos (ANP)</t>
  </si>
  <si>
    <t>NAC_AR_1</t>
  </si>
  <si>
    <t>NAC_BS_1</t>
  </si>
  <si>
    <t>NAC_BB_1</t>
  </si>
  <si>
    <t>NAC_BO_1</t>
  </si>
  <si>
    <t>NAC_BR_1</t>
  </si>
  <si>
    <t>NAC_CL_1</t>
  </si>
  <si>
    <t>NAC_EC_1</t>
  </si>
  <si>
    <t>NAC_GY_1</t>
  </si>
  <si>
    <t>NAC_HT_1</t>
  </si>
  <si>
    <t>NAC_JM_1</t>
  </si>
  <si>
    <t>NAC_PY_1</t>
  </si>
  <si>
    <t>NAC_PE_1</t>
  </si>
  <si>
    <t>NAC_SR_1</t>
  </si>
  <si>
    <t>NAC_TT_1</t>
  </si>
  <si>
    <t>NAC_UY_1</t>
  </si>
  <si>
    <t>NAC_VE_1</t>
  </si>
  <si>
    <t>WATER20</t>
  </si>
  <si>
    <t>Container terminal utilization</t>
  </si>
  <si>
    <t>WATER21</t>
  </si>
  <si>
    <t>Container terminal extent of competition</t>
  </si>
  <si>
    <t>WATER22</t>
  </si>
  <si>
    <t>Gateway proximity to population center</t>
  </si>
  <si>
    <t>WATER23</t>
  </si>
  <si>
    <t>Truck supply relative to port volume</t>
  </si>
  <si>
    <t>Belize</t>
  </si>
  <si>
    <t>Note</t>
  </si>
  <si>
    <t>Definition</t>
  </si>
  <si>
    <t>Population</t>
  </si>
  <si>
    <t>Land area</t>
  </si>
  <si>
    <t>Gross Domestic Product (GDP)</t>
  </si>
  <si>
    <t>Transport service imports</t>
  </si>
  <si>
    <t>Transport service exports</t>
  </si>
  <si>
    <t>Road network</t>
  </si>
  <si>
    <t>Paved network</t>
  </si>
  <si>
    <t>Heavy vehicles</t>
  </si>
  <si>
    <t>Light trucks -under 3.5 ton</t>
  </si>
  <si>
    <t>Heavy trucks -over 3.5 ton</t>
  </si>
  <si>
    <t>Average number of vehicles per operator</t>
  </si>
  <si>
    <t>Direct employment in surface transportation</t>
  </si>
  <si>
    <t>Annual diesel oil consumption</t>
  </si>
  <si>
    <t>Retail diesel oil price</t>
  </si>
  <si>
    <t>Domestic road freight productivity</t>
  </si>
  <si>
    <t>Domestic road freight carried</t>
  </si>
  <si>
    <t>Freight vehicle traffic - productivity</t>
  </si>
  <si>
    <t>Annual average distance per vehicle</t>
  </si>
  <si>
    <t>Average road freight tariff</t>
  </si>
  <si>
    <t>Railway network</t>
  </si>
  <si>
    <t>Locomotives -freight train engine</t>
  </si>
  <si>
    <t>Railway freight companies</t>
  </si>
  <si>
    <t>Direct employment in railway transportation -freight</t>
  </si>
  <si>
    <t>Fuel consumption -freight</t>
  </si>
  <si>
    <t>Electric power consumption -freight</t>
  </si>
  <si>
    <t>Domestic rail freight productivity</t>
  </si>
  <si>
    <t>Domestic rail freight carried</t>
  </si>
  <si>
    <t>Train engine producvity</t>
  </si>
  <si>
    <t>Freight car productivity</t>
  </si>
  <si>
    <t>Average rail freight tariff</t>
  </si>
  <si>
    <t>International airports with cargo terminal facilities</t>
  </si>
  <si>
    <t>Transporte aéreo</t>
  </si>
  <si>
    <t>Domestic air freight carried</t>
  </si>
  <si>
    <t>International air freight carried</t>
  </si>
  <si>
    <t>Domestic air freight productivity</t>
  </si>
  <si>
    <t>Total inland waterway traffic</t>
  </si>
  <si>
    <t>Average tariff per tkm of freight -maritime cabotage</t>
  </si>
  <si>
    <t>Liner shipping connectivity index</t>
  </si>
  <si>
    <t>Cold facilities total surface</t>
  </si>
  <si>
    <t>Position in LPI ranking</t>
  </si>
  <si>
    <t>Seleccione grupo</t>
  </si>
  <si>
    <t>Select group</t>
  </si>
  <si>
    <t>Scatterplot</t>
  </si>
  <si>
    <t>Airports</t>
  </si>
  <si>
    <t>Ports</t>
  </si>
  <si>
    <t>Aeropuertos</t>
  </si>
  <si>
    <t>Puertos</t>
  </si>
  <si>
    <t>Indicator ranking</t>
  </si>
  <si>
    <t>Ranking de indicadores</t>
  </si>
  <si>
    <t>Tables</t>
  </si>
  <si>
    <t>Tablas</t>
  </si>
  <si>
    <t>Resumen por país</t>
  </si>
  <si>
    <t>Country datasheet</t>
  </si>
  <si>
    <t>Country summary</t>
  </si>
  <si>
    <t>Indicadores por país</t>
  </si>
  <si>
    <t>Gráfico de dispersión</t>
  </si>
  <si>
    <t>National Accounts methods.  Annual frequency. ISIC I.</t>
  </si>
  <si>
    <t>Metodología de Cuentas Nacionales. Frecuencia anual. ISIC I.</t>
  </si>
  <si>
    <t>Based on data extrapolation from years 2008-2011. National Accounts methods.  Annual frequency. ISIC I.</t>
  </si>
  <si>
    <t>Basado en extrapolación de los datos usando los años entre el 2008 y el 2011. Metodología de Cuentas Nacionales. Frecuencia anual. ISIC I.</t>
  </si>
  <si>
    <t>Based on data extrapolation from years 2008-2011. National Accounts methods.  Annual frequency.</t>
  </si>
  <si>
    <t>Basado en extrapolación de los datos usando los años entre el 2008 y el 2011. Metodología de Cuentas Nacionales. Frecuencia anual.</t>
  </si>
  <si>
    <t>National Accounts methods.  Annual frequency. Includes transport, storage and mail.</t>
  </si>
  <si>
    <t>Metodología de Cuentas Nacionales. Frecuencia anual. Incluye transporte, almacenamiento y correo.</t>
  </si>
  <si>
    <t>Instituto Estadístico de Bahamas</t>
  </si>
  <si>
    <t>National Accounts methods.  Annual frequency. Includes land, marine, and air transport.</t>
  </si>
  <si>
    <t>Metodología de Cuentas Nacionales. Frecuencia anual. Incluye transporte terrestre, marítimo y aéreo.</t>
  </si>
  <si>
    <t>Banco Central de Chile</t>
  </si>
  <si>
    <t>National Accounts methods.  Annual frequency.</t>
  </si>
  <si>
    <t>Metodología de Cuentas Nacionales. Frecuencia anual.</t>
  </si>
  <si>
    <t>Banco Central de Ecuador</t>
  </si>
  <si>
    <t>National Accounts methods.  Annual frequency. Includes Transport and Storage.</t>
  </si>
  <si>
    <t>Metodología de Cuentas Nacionales. Frecuencia anual. Incluye transporte y almacenamiento.</t>
  </si>
  <si>
    <t>Oficina de Estadísticas de Guyana</t>
  </si>
  <si>
    <t>Based on data extrapolation from years 2008-2011. National Accounts methods.  Annual frequency. Includes transport and communication.</t>
  </si>
  <si>
    <t>Basado en extrapolación de los datos usando los años entre el 2008 y el 2011. Metodología de Cuentas Nacionales. Frecuencia anual. Incluye transporte y comunicaciones.</t>
  </si>
  <si>
    <t>Based on data extrapolation from years 2008-2011. National Accounts methods.  Annual frequency. Includes transport, storage and communication.</t>
  </si>
  <si>
    <t>Basado en extrapolación de los datos usando los años entre el 2008 y el 2011. Metodología de Cuentas Nacionales. Frecuencia anual. Incluye transporte, almacenamiento y comunicaciones.</t>
  </si>
  <si>
    <t>Based on data extrapolation from years 2008-2011. National Accounts methods.  Annual frequency. Includes transport and storage.</t>
  </si>
  <si>
    <t>Basado en extrapolación de los datos usando los años entre el 2008 y el 2011. Metodología de Cuentas Nacionales. Frecuencia anual. Incluye transporte y almacenamiento.</t>
  </si>
  <si>
    <t>Banco Central de Paraguay</t>
  </si>
  <si>
    <t>Based on data extrapolation from years 2008-2011. National Accounts methods.  Annual frequency. Includes transport.</t>
  </si>
  <si>
    <t>Basado en extrapolación de los datos usando los años entre el 2008 y el 2011. Metodología de Cuentas Nacionales. Frecuencia anual. Incluye transporte.</t>
  </si>
  <si>
    <t>Oficina Central de Estadísticas</t>
  </si>
  <si>
    <t>Basado en extrapolación de los datos usando los años entre el 2008 y el 2011.</t>
  </si>
  <si>
    <t>Banco Central de la República Dominicana</t>
  </si>
  <si>
    <t>Based on data extrapolation from years 2008-2011. World Bank estimations and national census.  Annual frequency.</t>
  </si>
  <si>
    <t>Basado en extrapolación de los datos usando los años entre el 2008 y el 2011. Dato calculado con estimaciones del Banco Mundial y del censo nacional. Frecuencia anual.</t>
  </si>
  <si>
    <t>World Bank estimations and national census.  Annual frequency.</t>
  </si>
  <si>
    <t>Dato calculado con estimaciones del Banco Mundial y del censo nacional. Frecuencia anual.</t>
  </si>
  <si>
    <t>Based on data extrapolation from years 2008-2011. World Bank estimations and national census. Annual frequency.</t>
  </si>
  <si>
    <t>World Bank estimations and national census. Annual frequency.</t>
  </si>
  <si>
    <t>International Monetary Fund data collection. Annual frequency.</t>
  </si>
  <si>
    <t>Dato calculado con estimaciones del Fondo Monetario Internacional. Frecuencia anual.</t>
  </si>
  <si>
    <t>Based on data extrapolation from years 2008-2011. International Monetary Fund data collection. Annual frequency.</t>
  </si>
  <si>
    <t>Basado en extrapolación de los datos usando los años entre el 2008 y el 2011. Dato calculado con estimaciones del Fondo Monetario Internacional. Frecuencia anual.</t>
  </si>
  <si>
    <t>Dato corresponde al año 2010.</t>
  </si>
  <si>
    <t>Banco Interamericano de Desarrollo.</t>
  </si>
  <si>
    <t>Dato corresponde al año 2011.</t>
  </si>
  <si>
    <t>Dato corresponde al año 2008.</t>
  </si>
  <si>
    <t>Banco Interamericano de Desarrollo (2012), Banco Mundial (2008-2010)</t>
  </si>
  <si>
    <t>Reporte especial preparad por la CEPAL en el 2005. Red total 2003.</t>
  </si>
  <si>
    <t>Departamento Nacional de Infraestructura de Transportes (DNIT), Banco Mundial (2009)</t>
  </si>
  <si>
    <t>Annual frequency.</t>
  </si>
  <si>
    <t>Frecuencia anual.</t>
  </si>
  <si>
    <t>Based on data extrapolation from years 2008-2011. MOP data collection. Annual frequency.</t>
  </si>
  <si>
    <t>Basado en extrapolación de los datos usando los años entre el 2008 y el 2011. MOP recolecta los datos. Frecuencia anual.</t>
  </si>
  <si>
    <t>Banco Interamericano de Desarrollo</t>
  </si>
  <si>
    <t>Dato corresponde al año 2011. Incluye autopistas, red primaria, red secundaria y otras redes.</t>
  </si>
  <si>
    <t>Data is updated annually.</t>
  </si>
  <si>
    <t>El dato se actualiza con frecuencia anual.</t>
  </si>
  <si>
    <t>INEI data collection. Annual frequency.  In 2011 it was estimated that 40,000 km of roads are not registered in the current classification and it will be official as soon as the road inventories end.</t>
  </si>
  <si>
    <t>INEI recolecta los datos anualmente. Para 2003-2008 la serie de la red de carreteras ha sido preparada usando la clasificación de las carreteras del país, aprobada por el Decreto N º 009-95-MTC. En 2009-2010 la serie incluye 40.800km de red local.</t>
  </si>
  <si>
    <t>World Bank collection data with annual frequency.</t>
  </si>
  <si>
    <t>Banco Mundial recolecta los datos anualmente.</t>
  </si>
  <si>
    <t>Ministerio de Transporte, Comunicaciones y Turismo. Plan Maestro de Transporte</t>
  </si>
  <si>
    <t>Ministerio de Transporte y Obras Públicas (MTOP)</t>
  </si>
  <si>
    <t>Basado en extrapolación de los datos usando los años entre el 2008 y el 2011. La Red Nacional no inlcuye la red departamental. Pedido especial de la información.</t>
  </si>
  <si>
    <t>Ministerio de Transporte. Anuario estadístico 2012</t>
  </si>
  <si>
    <t>Ministerio de Transporte e Infraestructura, Anuario Estadístico</t>
  </si>
  <si>
    <t>Annual report by the National Roads Directorate.</t>
  </si>
  <si>
    <t>Reporte anual de la Dirección Nacional de Vialidad.</t>
  </si>
  <si>
    <t>Departamento Nacional de Infraestructura de Transportes (DNIT)</t>
  </si>
  <si>
    <t>Dato corresponde al año 2011. Petición especial para las cuentas nacionales proporcionadas por el Ministerio de Transporte. Puede ser recolectada periódicamente, pero no está disponible públicamente.</t>
  </si>
  <si>
    <t>Datos de un reporte especial.</t>
  </si>
  <si>
    <t>Special report by ECLAC in 2005. Primary network 2003.</t>
  </si>
  <si>
    <t>Reporte especial preparado por la CEPAL en el 2005. Red primaria 2003.</t>
  </si>
  <si>
    <t>Data collected annually.</t>
  </si>
  <si>
    <t>Dato recolectado con frecuencia annual.</t>
  </si>
  <si>
    <t>Based on data extrapolation from years 2008-2011. MOP collects the data annually. Includes nacional, main regional and provincial roads.</t>
  </si>
  <si>
    <t>Basado en extrapolación de los datos usando los años entre el 2008 y el 2011. MOP recolecta los datos anualmente. Incluye carreteras nacionales, regionales y provinciales.</t>
  </si>
  <si>
    <t>Dato corresponde al año 2011. Incluye carreteras estatales.</t>
  </si>
  <si>
    <t>Red primaria incluye carreteras principales.</t>
  </si>
  <si>
    <t>INEI collects data annually. Includes national network.</t>
  </si>
  <si>
    <t>INEI recolecta los datos anualmente. Incluye las carreteras nacionales.</t>
  </si>
  <si>
    <t>Dato corresponde al año 2011. Incluye caminos nacionales.</t>
  </si>
  <si>
    <t>Basado en extrapolación de los datos utilizando 2008 a 2011.</t>
  </si>
  <si>
    <t>Dato corresponde al año 2009.</t>
  </si>
  <si>
    <t>Reporte especial preparado por la CEPAL en el 2005. Red secundaria 2003.</t>
  </si>
  <si>
    <t>Dato recolectado con frecuencia anual.</t>
  </si>
  <si>
    <t>Based on data extrapolation from years 2008-2011. MOP collects the data annually. Includes secondary regional roads.</t>
  </si>
  <si>
    <t>Basado en extrapolación de los datos usando los años entre el 2008 y el 2011. MOP recolecta los datos anualmente. Incluye carreteras secundarias regionales.</t>
  </si>
  <si>
    <t>Dato corresponde al año 2011. Incluye carreteras provinciales.</t>
  </si>
  <si>
    <t>Secondary network comprises municipal roads.</t>
  </si>
  <si>
    <t>Red secundaria incluye carreteras municipales.</t>
  </si>
  <si>
    <t>INEI collects the data annually. Includes departmental network.</t>
  </si>
  <si>
    <t>INEI recolecta los datos anualmente. Incluye las carreteras departamentales.</t>
  </si>
  <si>
    <t>Dato corresponde al año 2011. Incluye caminos departamentales.</t>
  </si>
  <si>
    <t>Special report by ECLAC in 2005. Local roads 2003.</t>
  </si>
  <si>
    <t>Reporte especial preparado por la CEPAL en el 2005. Red vecinal 2003.</t>
  </si>
  <si>
    <t>Otras redes incluye caminos forestales y de granjas.</t>
  </si>
  <si>
    <t>INEI collects data annually. Includes local network.</t>
  </si>
  <si>
    <t>INEI recolecta los datos anualmente. Incluye las carreteras vecinales.</t>
  </si>
  <si>
    <t>Data corresponds to year 2011. Includes local roads.</t>
  </si>
  <si>
    <t>Dato corresponde al año 2011. Incluye caminos vecinales.</t>
  </si>
  <si>
    <t>Data corresponds to year 2011. Data does not take into account "other networks".</t>
  </si>
  <si>
    <t>Dato corresponde al año 2011. El dato  no toma en cuenta "otras redes".</t>
  </si>
  <si>
    <t>Reporte especial preparado por la CEPAL en el 2005.</t>
  </si>
  <si>
    <t>Based on data extrapolation from years 2008-2011. MOP data collects data annually.</t>
  </si>
  <si>
    <t>Basado en extrapolación de los datos usando los años entre el 2008 y el 2011. MOP recolecta los datos anualmente.</t>
  </si>
  <si>
    <t>Dato corresponde al año 2011. Solo para carreteras estatales.</t>
  </si>
  <si>
    <t>Basado en extrapolación de los datos usando los años entre el 2008 y el 2011. Calculado como concreto asfáltico dividido por el total de la red nacional.</t>
  </si>
  <si>
    <t>Basado en extrapolación de los datos usando los años entre el 2008 y el 2011. Incluye todos los pavimentos menos tosca.</t>
  </si>
  <si>
    <t>Data collected annually. Trucks do not include semitrailers.</t>
  </si>
  <si>
    <t>Dato recolectado con frecuencia annual. Camiones no incluyen semirremolque.</t>
  </si>
  <si>
    <t>Vehículos incluye camionetas y camiones.</t>
  </si>
  <si>
    <t>Instituto Nacional de Estadística de Bolivia (2008-2009) y estimaciones propias</t>
  </si>
  <si>
    <t>Departamento Nacional de Tránsito (DENATRAN)</t>
  </si>
  <si>
    <t>Includes registered vehicles. Data collected annually.</t>
  </si>
  <si>
    <t>Incluye vehículos registrados. Dato recolectado con frecuencia anual.</t>
  </si>
  <si>
    <t>MOP data collection. Data collected annually.</t>
  </si>
  <si>
    <t>MOP recolecta los datos. Dato recolectado con frecuencia anual.</t>
  </si>
  <si>
    <t>Based on data extrapolation from years 2008-2011. Data collected annually.</t>
  </si>
  <si>
    <t>Basado en extrapolación de los datos usando los años entre el 2008 y el 2011. Dato recolectado con frecuencia anual.</t>
  </si>
  <si>
    <t>Petición especial para las cuentas nacionales proporcionadas por el Ministerio de Transporte. Puede ser recolectada periódicamente, pero no está disponible públicamente.</t>
  </si>
  <si>
    <t>Basado en extrapolación de los datos usando los años entre el 2008 y el 2011. Incluye sólo los vehículos matriculados (camiones, camiones, tractores y combis de arrastre).</t>
  </si>
  <si>
    <t>Ministerio de Obras Públicas y Comunicaciones, Plan Maestro de Transporte (2011)</t>
  </si>
  <si>
    <t>El dato corresponde al año 2005.</t>
  </si>
  <si>
    <t>Data collected annually since 2010. In 2010 and 2011 source is RNTRC .</t>
  </si>
  <si>
    <t>Dato recolectado con frecuencia anual desde 2010. En 2010 y 2011 la fuente es RNTRC .</t>
  </si>
  <si>
    <t>Dato corresponde al año 2013. Datos del censo.</t>
  </si>
  <si>
    <t>Ministerio de Transportes y Comunicaciones</t>
  </si>
  <si>
    <t>Estimación del Ministerio. No frecuente.</t>
  </si>
  <si>
    <t>Dato corresponde al año 2012.</t>
  </si>
  <si>
    <t>Dato corresponde al año 2005.</t>
  </si>
  <si>
    <t>Instituto Nacional de Estadística de Chile (INE), Informe del parque vehicular</t>
  </si>
  <si>
    <t>Dirección General de Estadísticas, Encuestas y Censos</t>
  </si>
  <si>
    <t>Instituto Nacional de Estadística (INE), Informe Anual Transporte por Carretera</t>
  </si>
  <si>
    <t>Departmento de Estadísticas de Bahamas</t>
  </si>
  <si>
    <t>Based on data extrapolation from years 2008-2011. Annual frequency.</t>
  </si>
  <si>
    <t>Basado en extrapolación de los datos usando los años entre el 2008 y el 2011. Frecuencia anual.</t>
  </si>
  <si>
    <t>Sociedad Alemana para la Cooperación Internacional (GIZ)</t>
  </si>
  <si>
    <t>Based on data extrapolation from years 2008-2011. GIZ collects prices from Ministry every 2 years. Refers to retail prices.</t>
  </si>
  <si>
    <t>Basado en extrapolación de los datos usando los años entre el 2008 y el 2011. GIZ recolecta precios del Ministerio cada 2 años. Dato corresponde a precio minorista.</t>
  </si>
  <si>
    <t>Annual frequency. Refers to retail prices.</t>
  </si>
  <si>
    <t>Frecuencia anual. Dato corresponde a precio minorista.</t>
  </si>
  <si>
    <t>Based on data extrapolation from years 2008-2011. Annual frequency. Refers to retail prices.</t>
  </si>
  <si>
    <t>Basado en extrapolación de los datos usando los años entre el 2008 y el 2011. Frecuencia anual. Dato corresponde a precio minorista.</t>
  </si>
  <si>
    <t>ECLAC annual price collection. Available upon request. Refers to retail price.</t>
  </si>
  <si>
    <t>CEPAL recolecta datos de precio anualmente. Disponible bajo petición. Dato corresponde a precio minorista.</t>
  </si>
  <si>
    <t>GIZ collects prices from Ministry every 2 years. Refers to retail prices.</t>
  </si>
  <si>
    <t>GIZ recolecta precios del Ministerio cada 2 años. Dato corresponde a precio minorista.</t>
  </si>
  <si>
    <t>Dato recolectado anualmente.</t>
  </si>
  <si>
    <t>Based on data extrapolation from years 2008-2011. ECLAC annual data collection on prices. Available upon request.</t>
  </si>
  <si>
    <t>Basado en extrapolación de los datos usando los años entre el 2008 y el 2011. CEPAL recolecta los datos de precios anualmente. Disponible bajo petición.</t>
  </si>
  <si>
    <t>CEPAL recolecta los datos</t>
  </si>
  <si>
    <t>Based on data extrapolation from years 2008-2011. Private database. OLADE collects info from Ministry annually.</t>
  </si>
  <si>
    <t>Basado en extrapolación de los datos usando los años entre el 2008 y el 2011. Base de datos privada. OLADE recolecta datos  del Ministerio anualmente.</t>
  </si>
  <si>
    <t>Based on data extrapolation from years 2008-2011. Annual collection since 2010. In 2010 and 2011 source is RNTRC .</t>
  </si>
  <si>
    <t>Basado en extrapolación de los datos usando los años entre el 2008 y el 2011. Frecuencia anual desde 2010. En 2010 y 2011 la fuente es RNTRC .</t>
  </si>
  <si>
    <t>Comisión de Ciencia del Medio Ambiente y Tecnología</t>
  </si>
  <si>
    <t>Basado en extrapolación de los datos usando los años entre el 2008 y el 2011. Frecuencia anual</t>
  </si>
  <si>
    <t>Basado en extrapolación de los datos usando los años entre el 2008 y el 2011. Base de datos privada. OLADE recolecta los datos del Ministerio anualmente.</t>
  </si>
  <si>
    <t>Based on data extrapolation from years 2008-2011. OLADE collects the data from the Ministry annually.</t>
  </si>
  <si>
    <t>Basado en extrapolación de los datos usando los años entre el 2008 y el 2011. OLADE recolecta los datos del Ministerio anualmente.</t>
  </si>
  <si>
    <t>OLADE collects the data from the Ministry annually.</t>
  </si>
  <si>
    <t>OLADE recolecta los datos del Ministerio anualmente.</t>
  </si>
  <si>
    <t>Basado en extrapolación de los datos usando los años entre el 2008 y el 2011. Datos recolectados anualmente.</t>
  </si>
  <si>
    <t>Based on data extrapolation from years 2008-2011. OLADE data collection from Ministry. Annual frequency.</t>
  </si>
  <si>
    <t>Basado en extrapolación de los datos usando los años entre el 2008 y el 2011. OLADE recolecta los datos del Ministerio. Frecuencia anual.</t>
  </si>
  <si>
    <t>Based on data extrapolation from years 2008-2011. OLADE collects data from the Ministry annually.</t>
  </si>
  <si>
    <t>Based on data extrapolation from years 2008-2011. Includes fuel oil, diesel oil, kerosene, turbo, petrol and alcohol. Annual frequency.</t>
  </si>
  <si>
    <t>Basado en extrapolación de los datos usando los años entre el 2008 y el 2011. Incluye aceite, petróleo diésel, kerosene, turbo, gasolinas y alcohol. Dato recolectado anualmente.</t>
  </si>
  <si>
    <t>Ministerio de Transporte-PNLT (septiembre 2012), ANTT (Evolución Transporte Ferroviario)</t>
  </si>
  <si>
    <t>Ministerio de Transporte. Anuario estadístico 2011</t>
  </si>
  <si>
    <t>Ministerio Transporte, ANTT, ANTAQ</t>
  </si>
  <si>
    <t>Based on data extrapolation from years 2008-2011. INE collects the data annually. Survey data.</t>
  </si>
  <si>
    <t>Basado en extrapolación de los datos usando los años entre el 2008 y el 2011. INE recolecta los datos anualmente. Datos del censo.</t>
  </si>
  <si>
    <t>Ministerio de Transporte y Comunicaciones, Plan Maestro de Transporte 2011</t>
  </si>
  <si>
    <t>Secretaría de Transporte y Comunicaciones. 2012. Estudio de campo de autotransporte</t>
  </si>
  <si>
    <t>Inventario Nacional de Emisiones (MMA)</t>
  </si>
  <si>
    <t>Dato corresponde al año 2013.</t>
  </si>
  <si>
    <t>Media ponderada con valores de tipos de camiones y distancia recorridas por c/u de ellos. Dato corresponde al año 2009.</t>
  </si>
  <si>
    <t>Plan Director de Desarrollo de Transporte (PDDT-SP)</t>
  </si>
  <si>
    <t>Estimación, Banco Interamericano de Desarrollo</t>
  </si>
  <si>
    <t>Transport rate from the port of Buenos Aires to the city of Zarate (150km)</t>
  </si>
  <si>
    <t>Precio de transporte desde el puerto de Buenos Aires hasta la ciudad de Zarate (150km)</t>
  </si>
  <si>
    <t>Transport rate from the port of Bridgetown to the city (20km). Based on regression.</t>
  </si>
  <si>
    <t>Precio de transporte desde el puerto de Bridgetown hasta la ciudad (20km). Basado en regresión.</t>
  </si>
  <si>
    <t>Transport rate from the port of Arica in Chile to the city of La Paz (484km)</t>
  </si>
  <si>
    <t>Precio de transporte desde el puerto de Arica (Chile) hasta la ciudad de La Paz (484km)</t>
  </si>
  <si>
    <t>Rate for transport between the port of Santos and the city of Sao Paulo (73 km).</t>
  </si>
  <si>
    <t>Precio de transporte desde el puerto de  Santos y la ciudad de San Pablo (73 km).</t>
  </si>
  <si>
    <t>Transport rate from the port of Freeport to the city (20km). Based on regression.</t>
  </si>
  <si>
    <t>Precio de transporte desde el puerto de Freeport hasta la ciudad (20km). Basado en regresión.</t>
  </si>
  <si>
    <t>Transport rate from the port of San Antonio to the city of Santiago (108km)</t>
  </si>
  <si>
    <t>Precio de transporte desde el puerto de San Antonio hasta la ciudad de Santiago (108km)</t>
  </si>
  <si>
    <t>Transport rate from the port of Guayaquil to the city of Quito (423km). Based on regression.</t>
  </si>
  <si>
    <t>Precio de transporte de el puerto de Guayaquil hasta la ciudad de Quito (423km). Basado en regresión.</t>
  </si>
  <si>
    <t>Own estimation, based on regression.</t>
  </si>
  <si>
    <t>Estimación propia, basada en regresión</t>
  </si>
  <si>
    <t>Transport rate from the port of Kingston to the city (15km).</t>
  </si>
  <si>
    <t>Precio de transporte desde el puerto de Kingston hasta la ciudad (15km).</t>
  </si>
  <si>
    <t>Transport rate from the port of Callao to the city of Lima (15km)</t>
  </si>
  <si>
    <t>Precio de transporte desde el puerto del Callao hasta la ciudad de Lima (15km)</t>
  </si>
  <si>
    <t>Transport rate from the port of Montevideo to the city of Paysandu (300km)</t>
  </si>
  <si>
    <t>Precio de transporte desde el puerto de Montevideo a la ciudad de Paysandu (300km)</t>
  </si>
  <si>
    <t>Transport rate from Port of Cabello to the city of Caracas (207km). Based on regression.</t>
  </si>
  <si>
    <t>Precio del transporte desde Puerto Cabello a la ciudad de Caracas (207km). Basado en regresión.</t>
  </si>
  <si>
    <t>Own estimation</t>
  </si>
  <si>
    <t>Estimación propia.</t>
  </si>
  <si>
    <t>Transport rate from the port of Cartagena to the city of Bogota (1125km)</t>
  </si>
  <si>
    <t>Precio de transporte desde el puerto de Cartagena hasta la ciudad de Bogota (1125km)</t>
  </si>
  <si>
    <t>Transport rate from the port of Limon-Moin to the city of San Jose (140km)</t>
  </si>
  <si>
    <t>Precio de transporte desde el puerto de Limon-Moin hasta la ciudad de San Jose (140km).</t>
  </si>
  <si>
    <t>Transport rate from the port of Acajutla to the city of San Salvador (120km)</t>
  </si>
  <si>
    <t>Precio de transporte desde el puerto de Acajutla hasta la ciudad de San Salvador (120km)</t>
  </si>
  <si>
    <t>Transport rate from the port of Santo Tomas to the city of Guatemala (300km)</t>
  </si>
  <si>
    <t>Precio de transporte desde Puerto de Santo Tomas hasta ciudad de Guatemala (300km)</t>
  </si>
  <si>
    <t>Transport rate from the port Cortes to the city of Tegucigalpa (250km)</t>
  </si>
  <si>
    <t>Precio de transporte desde Puerto Cortes hasta la ciudad de Tegucigalpa (250km)</t>
  </si>
  <si>
    <t>Transport rate from the port of Corinto to the city of Managua (130km)</t>
  </si>
  <si>
    <t>Precio de transporte desde el puerto de Corinto hasta la ciudad de Managua (130km)</t>
  </si>
  <si>
    <t>Transport rate from Panama city terminals to a distance of 75km.</t>
  </si>
  <si>
    <t>Precio de transporte desde terminales en ciudad de Panama hasta una distancia de 75km.</t>
  </si>
  <si>
    <t>Estimación propia</t>
  </si>
  <si>
    <t>Dato del año 2011.</t>
  </si>
  <si>
    <t>AETT Annual Statistical Land Transport Report. Annual frequency.</t>
  </si>
  <si>
    <t>AETT Informe Estadístico Anual de Transporte Terrestre. Frecuencia anual.</t>
  </si>
  <si>
    <t>Ferrocarril no opera.</t>
  </si>
  <si>
    <t>Corporación Ferroviaria de Jamaica (JRC)</t>
  </si>
  <si>
    <t>Administración de Ferrocarriles del Estado (AFE)</t>
  </si>
  <si>
    <t>Instituto Costarricense de Ferrocarriles (INCOFER)</t>
  </si>
  <si>
    <t>Dato corresponde al año 2011. Kilómetros en operación.</t>
  </si>
  <si>
    <t>Ferroviaria Oriental S.A., Ferroviaria Andina S.A. (2012). Memorias Anuales</t>
  </si>
  <si>
    <t>Instituto Nacional de Estadística de Chile (INE)</t>
  </si>
  <si>
    <t>Dato corresponde a  2011.</t>
  </si>
  <si>
    <t>ANTT collects the data annually</t>
  </si>
  <si>
    <t>ANTT recolecta los datos anualmente.</t>
  </si>
  <si>
    <t>Dato corresponde a 2011.</t>
  </si>
  <si>
    <t>Cuentas Nacionales</t>
  </si>
  <si>
    <t>CNRT collects data from the companies annually.</t>
  </si>
  <si>
    <t>CNRT recolecta los datos de las empresas annually.</t>
  </si>
  <si>
    <t>ANTT collects the data annually.</t>
  </si>
  <si>
    <t>CNRT recolecta los datos de las empresas anualmente.</t>
  </si>
  <si>
    <t>Órgano Regulador del Sistema Nacional de Aeropuertos</t>
  </si>
  <si>
    <t>M Pistarini, Comodoro R Salomon, El Calafate, Formosa, E Mosconi, T. Noel, F. Gabrielli, Guzman, N. Fernandez, Gral S Martin, Pte Peron, Taravella, Resistencia, Islas Malvinas, M. de Guemes, Matienzo, Ushuaia, J Newbery</t>
  </si>
  <si>
    <t>Data collected at airport. Special request to BARSTATS. Can be collected periodically but not publicly available. Grantley Adams International  Airport</t>
  </si>
  <si>
    <t>Datos recolectados en el aeropuerto. Pedido especial a BARSTATS. Puede ser recolectado periódicamente pero no accesible públicamente. Grantley Adams.</t>
  </si>
  <si>
    <t>La Paz, Cochabamba</t>
  </si>
  <si>
    <t>Freeport, Exuma and Linden Pyndling Airports</t>
  </si>
  <si>
    <t>Freeport, Exuma, Linden Pyndling</t>
  </si>
  <si>
    <t>Ministerio de Obras Públicas (MOP), Dirección de Aeropuertos</t>
  </si>
  <si>
    <t>Artuto Benitez, Carlos Ibañez, Cerro Moreno, El tepual, Diego Acarena, Chacaluta, Mataveri</t>
  </si>
  <si>
    <t>Quito, Guayaquil, Esmeraldas, Manta, Latacunga</t>
  </si>
  <si>
    <t>Special request for national accounts provided by the airport. Can be collected periodically but not publicly available. Cheddi Jagan, Kaieteur.</t>
  </si>
  <si>
    <t>Petición especial para las cuentas nacionales proporcionadas por el aeropuerto. Puede ser recolectada periódicamente, pero no está disponible públicamente. Cheddi Jagan, Kaieteur.</t>
  </si>
  <si>
    <t>Aeropuertos Internacionales Touissant y Chavez</t>
  </si>
  <si>
    <t>Toussaint Louverture, Hugo Chavez</t>
  </si>
  <si>
    <t>Norman Manley, Sangster</t>
  </si>
  <si>
    <t>Jorge Chavez, Rodriguez Ballon, Alejandro Velasco Astete, Francisco Secada Vignetta, Guillermo Concha Iberico.</t>
  </si>
  <si>
    <t>Silvio Pettirossi, Guarani</t>
  </si>
  <si>
    <t>Aeropuerto Internacional Johan Adolf Pengel</t>
  </si>
  <si>
    <t>Johan Adolf Pengel</t>
  </si>
  <si>
    <t>Autoridad Aeroportuaria de Trinidad y Tobago</t>
  </si>
  <si>
    <t>Piarco, ANR Robinson</t>
  </si>
  <si>
    <t>Terminal de Cargas de Uruguay (TCU)</t>
  </si>
  <si>
    <t>Carrasco, Cesareo, L Berisso.</t>
  </si>
  <si>
    <t>Simon Bolivar, La Chinita, Jose Antonio Anzoategi, Jacinto Lara, Maturin, Mayor Buenaventura Vivas, Arturo Michelena, Juan Vicente Gomez, Manuel Carlos Piar</t>
  </si>
  <si>
    <t>Secretaría de Transporte y Comunicaciones, Área  Aeronáutica</t>
  </si>
  <si>
    <t>Data corresponds to year 2011. Airports used by the Secretaría de Transporte Aeronáutica</t>
  </si>
  <si>
    <t>Dato corresponde al año 2011. Aeropuertos de la Secretaría de Transporte Aeronáutica</t>
  </si>
  <si>
    <t>Grantley Adams</t>
  </si>
  <si>
    <t>Aracaju,Belem,Brasilia,VBista,Confins,CGrande,Campos,Corumba,Cuiaba,Curtitiba,Florianopolis,F.Iguazu,Fortaleza,Goiana,JPessoa,Joinville,Londrina,Macapa,Maceio,Manaus,Navegante,Natal,Petrol,PAlegre,PVelho,Galeao,Recife,Salvador,SJCampos,SLuis,etc</t>
  </si>
  <si>
    <t>Jorge Chavez, Rodriguez Ballon, Alejandro Velasco Astete, Francisco Secada Vignetta, Guillermo Concha Iberico</t>
  </si>
  <si>
    <t>Data collected at airport. Special request to BARSTATS. Can be collected periodically but not publicly available. Grantley Adams.</t>
  </si>
  <si>
    <t>Dato corresponde a 2011</t>
  </si>
  <si>
    <t>Data corresponds to year 2011. Quito, Guayaquil, Esmeraldas, Manta, Latacunga</t>
  </si>
  <si>
    <t>Dato corresponde a 2011. Quito, Guayaquil, Esmeraldas, Manta, Latacunga</t>
  </si>
  <si>
    <t>Data corresponds to year 2011. Adding warehouses from both international airports (AIG: 1200 and PSIA: 1600). Silvio Pettirossi, Guarani</t>
  </si>
  <si>
    <t>Dato corresponde al año 2011. Se suman bodegas de ambos aeropuertos internacionales AIG: 1200 y AISP: 1600. Silvio Pettirossi, Guarani</t>
  </si>
  <si>
    <t>Carrasco, Cesareo, and L Berisso airports.</t>
  </si>
  <si>
    <t>Aeropuertos de Carrasco, Cesareo, L Berisso</t>
  </si>
  <si>
    <t>A nivel nacional</t>
  </si>
  <si>
    <t>INDEC collects the data annually.</t>
  </si>
  <si>
    <t>INDEC recolecta los datos anualmente.</t>
  </si>
  <si>
    <t>INFRAERO collects the data annually.</t>
  </si>
  <si>
    <t>INFRAERO recolecta los datos anualmente.</t>
  </si>
  <si>
    <t>Dato corresponde al año 2011. Petición especial para las cuentas nacionales proporcionadas por el aeropuerto. Puede ser recolectada periódicamente, pero no está disponible públicamente.</t>
  </si>
  <si>
    <t>Annual frequency. Includes cargo and mail.</t>
  </si>
  <si>
    <t>Frecuencia anual. Incluye carga y correo.</t>
  </si>
  <si>
    <t>BARSTATS collects data annually.</t>
  </si>
  <si>
    <t>BARSTATS recolecta los datos anualmente.</t>
  </si>
  <si>
    <t>Based on data extrapolation from years 2008-2011. Information published with delay. Annual frequency.</t>
  </si>
  <si>
    <t>Basado en extrapolación de los datos usando los años entre el 2008 y el 2011. Los datos se publican con retraso. Frecuencia anual.</t>
  </si>
  <si>
    <t>Basado en extrapolación de los datos usando los años entre el 2008 y el 2011. Petición especial para las cuentas nacionales proporcionadas por el aeropuerto. Puede ser recolectada periódicamente, pero no está disponible públicamente.</t>
  </si>
  <si>
    <t>Based on data extrapolation from years 2008-2011. ANAC data collection. Annual frequency.</t>
  </si>
  <si>
    <t>Basado en extrapolación de los datos usando los años entre el 2008 y el 2011. ANAC recolecta los datos. Frecuencia anual.</t>
  </si>
  <si>
    <t>Consejo  Portuario Argentino</t>
  </si>
  <si>
    <t>Puerto de Buenos Aires.</t>
  </si>
  <si>
    <t>Special request for BARSTATS. Can be collected periodically but not publicly available. Port of Bridgetown.</t>
  </si>
  <si>
    <t>Pedido especial a BARSTATS. Puede ser recolectado periódicamente pero no accesible públicamente. Puerto de Bridgetown.</t>
  </si>
  <si>
    <t>Puerto de Santos.</t>
  </si>
  <si>
    <t>Port of Freeport.</t>
  </si>
  <si>
    <t>Puerto de Freeport.</t>
  </si>
  <si>
    <t>Ministerio de Obras Públicas-MOP (2005) Informe de infraestructura portuaria</t>
  </si>
  <si>
    <t>Port of San Antonio.</t>
  </si>
  <si>
    <t>Puerto de San Antonio.</t>
  </si>
  <si>
    <t>Autoridad Portuaria de Ecuador</t>
  </si>
  <si>
    <t>Port of Guayaquil.</t>
  </si>
  <si>
    <t>Puerto de Guayaquil.</t>
  </si>
  <si>
    <t>Compañía naviera</t>
  </si>
  <si>
    <t>Port of Georgetown.</t>
  </si>
  <si>
    <t>Puerto de Georgetown.</t>
  </si>
  <si>
    <t>Port-au-Price.</t>
  </si>
  <si>
    <t>Puerto Príncipe</t>
  </si>
  <si>
    <t>Port of Kingston.</t>
  </si>
  <si>
    <t>Puerto de Kingston..</t>
  </si>
  <si>
    <t>Port of Callao.</t>
  </si>
  <si>
    <t>Puerto del Callao.</t>
  </si>
  <si>
    <t>Paramaribo.</t>
  </si>
  <si>
    <t>Autoridad Portuaria de Trinidad y Tobago</t>
  </si>
  <si>
    <t>Port of Spain.</t>
  </si>
  <si>
    <t>Puerto España</t>
  </si>
  <si>
    <t>Port of Montevideo.</t>
  </si>
  <si>
    <t>Puerto de Montevideo.</t>
  </si>
  <si>
    <t>Puerto Cabello.</t>
  </si>
  <si>
    <t>Port of Belize.</t>
  </si>
  <si>
    <t>Puerto de Belice.</t>
  </si>
  <si>
    <t>Port of Cartagena.</t>
  </si>
  <si>
    <t>Puerto de Cartagena.</t>
  </si>
  <si>
    <t>Port of Moin.</t>
  </si>
  <si>
    <t>Puerto Moin.</t>
  </si>
  <si>
    <t>Puerto de Acajutla.</t>
  </si>
  <si>
    <t>Puerto Quetzal.</t>
  </si>
  <si>
    <t>Puerto Cortes.</t>
  </si>
  <si>
    <t>Puerto Cortés.</t>
  </si>
  <si>
    <t>Port Lázaro Cárdenas</t>
  </si>
  <si>
    <t>Puerto Lázaro Cárdenas</t>
  </si>
  <si>
    <t>Port of Corinto.</t>
  </si>
  <si>
    <t>Puerto Corinto.</t>
  </si>
  <si>
    <t>Port of Balboa.</t>
  </si>
  <si>
    <t>Puerto Balboa.</t>
  </si>
  <si>
    <t>Port of Rio Haina.</t>
  </si>
  <si>
    <t>Puerto Rio Haina.</t>
  </si>
  <si>
    <t>Port of Buenos Aires terminals.</t>
  </si>
  <si>
    <t>En terminales del Puerto de Buenos Aires.</t>
  </si>
  <si>
    <t>Port of Bridgetown.</t>
  </si>
  <si>
    <t>Puerto de Bridgetown.</t>
  </si>
  <si>
    <t>Santos and Paranaguá  terminals.</t>
  </si>
  <si>
    <t>En terminales de Santos y Paranaguá .</t>
  </si>
  <si>
    <t>Valparaíso and San Antonio terminals.</t>
  </si>
  <si>
    <t>En terminales de Valparaíso y San Antonio.</t>
  </si>
  <si>
    <t>Puerto de Kingston.</t>
  </si>
  <si>
    <t>Cámara Paraguaya de Terminales Portuarias</t>
  </si>
  <si>
    <t>San Antonio, Asuncion.</t>
  </si>
  <si>
    <t>Puerto de San Antonio, Asuncion.</t>
  </si>
  <si>
    <t>Cartagena (10), Santa Marta (2), Buenaventura (4).</t>
  </si>
  <si>
    <t>Port of Limón.</t>
  </si>
  <si>
    <t>Puerto Limón.</t>
  </si>
  <si>
    <t>Port of Acajutla.</t>
  </si>
  <si>
    <t>Port of Santo Tomás .</t>
  </si>
  <si>
    <t>Puerto Santo Tomás .</t>
  </si>
  <si>
    <t>Altamira (11), Ensenada (4), Lazaro Cardenas (5), Manzanillo (6), Veracruz (6).</t>
  </si>
  <si>
    <t>Corinto.</t>
  </si>
  <si>
    <t>Balboa (20), Colon (MIT 16, CCT 5, Cristobal PPC 6).</t>
  </si>
  <si>
    <t>Rio Haina.</t>
  </si>
  <si>
    <t>Buenos Aires, Bahia Blanca, Mar del Plata, Barranqueras, Villa Constitucion, Comodoro Rivadavia, Madryn, Formosa, Caleta Paula, Deseado, Punta Quilla, Rio Gallegos, San Julian, Ushuaia</t>
  </si>
  <si>
    <t>Port of Bridgetown</t>
  </si>
  <si>
    <t>38 ports incl S Ana,P Velho,Manaus,Belem, Santarem,V do Conde,Itaqui,Fortaleza,A Branca,Natal,Cabedelo,Recife,Suape,Maceio,I Barbosa,Aratu,Ilheus,Salvador,Vitoria,R de Janeiro,A dos Reis,Forno,Itagui,Niteroi,Santos,S Sebastian,Paranaguá ,Antonina, etc</t>
  </si>
  <si>
    <t>38 puertos incl S Ana,P Velho,Manaus,Belem, Santarem,V do Conde,Itaqui,Fortaleza,A Branca,Natal,Cabedelo,Recife,Suape,Maceio,I Barbosa,Aratu,Ilheus,Salvador,Vitoria,R de Janeiro,A dos Reis,Forno,Itagui,Niteroi,Santos,S Sebastian,Paranaguá ,Antonina, etc</t>
  </si>
  <si>
    <t>Arawak, Abaco, Freeport ports</t>
  </si>
  <si>
    <t>Arica, Iquique, Tocopilla Electroandina, Angamos, Antofagasta, Coquimbo, Valparaiso, San Antonio, Lirquen, Talcahuano, San Vicente, Coronel, San Jose Calbuco, Punta Arenas, Cabo Forward</t>
  </si>
  <si>
    <t>Esmeraldas, Guayaquil,  Manta</t>
  </si>
  <si>
    <t>Asuncion, Villeta, Encarnacion, C del Este, B Vista, Concepcion, P J Caballero, C Babo, Y hu, Pindoly, 29 de Sept, S de Guaira, Cont Chaco 1, T Fonteras, Falcon, Algesa, C Meza, M Otaño, P Franco, B Vista Sur,  Rosario, Alberdi, Pabla, I Enramada, S Juan</t>
  </si>
  <si>
    <t>Albina, Moengo, New Nickerie, Paramaribo, Paranam, La Vigilatia</t>
  </si>
  <si>
    <t>Port of Spain</t>
  </si>
  <si>
    <t>Montevideo, Colonia, Fray Ventos, Nueva Palmira, Juan Lacaze, Paysandu, Salto</t>
  </si>
  <si>
    <t>Autoridad Portuaria de Venezuela</t>
  </si>
  <si>
    <t>Arawak, Abaco, Freeport</t>
  </si>
  <si>
    <t>Georgetown</t>
  </si>
  <si>
    <t>Autoridad Portuaria Trinidad y Tobago</t>
  </si>
  <si>
    <t>Puerto Espana</t>
  </si>
  <si>
    <t>Autoridad Portuaria de México</t>
  </si>
  <si>
    <t>DIRECTMAR, Boletín Estadístico Marítimo</t>
  </si>
  <si>
    <t>Comisión Portuaria Nacional</t>
  </si>
  <si>
    <t>Secretaría de Transporte y Comunicaciones, Área de Puertos</t>
  </si>
  <si>
    <t>Puerto de Freeport</t>
  </si>
  <si>
    <t>Anuario Internacional de Conteinerización (2012)</t>
  </si>
  <si>
    <t>Dirección Nacional de Aduanas</t>
  </si>
  <si>
    <t>Administración Nacional de Puertos (ANP)</t>
  </si>
  <si>
    <t>UNCTAD calculates the index annually.</t>
  </si>
  <si>
    <t>UNCTAD calcula el índice anualmente.</t>
  </si>
  <si>
    <t>Datos recolectados en el aeropuerto. Pedido especial a BARSTATS. Puede ser recolectado periódicamente pero no accesible públicamente.</t>
  </si>
  <si>
    <t>Índice de desempeño logístico (LPI), Banco Mundial</t>
  </si>
  <si>
    <t>Collection every 2 years.</t>
  </si>
  <si>
    <t>Recoleccion cada 2 años.</t>
  </si>
  <si>
    <t>Incluye terminales del Puerto de Buenos Aires.</t>
  </si>
  <si>
    <t>Includes terminals from Port of Bridgetown Port.</t>
  </si>
  <si>
    <t>Incluye terminales del Puerto de Puerto de Bridgetown.</t>
  </si>
  <si>
    <t>Includes terminals from Santos and Paranaguá Ports.</t>
  </si>
  <si>
    <t>Incluye terminales de los puertos de Santos y Paranaguá.</t>
  </si>
  <si>
    <t>Includes terminals from the Port of Port of Freeport.</t>
  </si>
  <si>
    <t>Incluye terminales del Puerto de Puerto de Freeport.</t>
  </si>
  <si>
    <t>Includes terminals from Valparaíso and San Antonio Ports.</t>
  </si>
  <si>
    <t>Incluye terminales de los puertos de Valparaíso y San Antonio.</t>
  </si>
  <si>
    <t>Incluye terminales del Puerto de Guayaquil.</t>
  </si>
  <si>
    <t>Includes terminals from the Port of Port of Port of Kingston..</t>
  </si>
  <si>
    <t>Incluye terminales del Puerto de Kingston.</t>
  </si>
  <si>
    <t>Includes terminals from the Port of Port of Callao.</t>
  </si>
  <si>
    <t>Incluye terminales del Puerto del Callao.</t>
  </si>
  <si>
    <t>Incluye terminales de Puerto Espana.</t>
  </si>
  <si>
    <t>Incluye terminales del Puerto de Montevideo.</t>
  </si>
  <si>
    <t>Incluye terminales del Puerto de Cartagena.</t>
  </si>
  <si>
    <t>Includes terminals from Limón-Moin and Caldera Ports.</t>
  </si>
  <si>
    <t>Incluye terminales de los puertos Limón -Moin y Caldera.</t>
  </si>
  <si>
    <t>Includes terminals from Santo Tomás, Barrios and Quetzal Ports.</t>
  </si>
  <si>
    <t>Incluye terminales de los puertos Santo Tomás, Barrios y Quetzal.</t>
  </si>
  <si>
    <t>Includes terminals from Puerto Cortés.</t>
  </si>
  <si>
    <t>Incluye terminales del Puerto Cortés.</t>
  </si>
  <si>
    <t>Includes terminals from Altamira, Ensenada, Lázaro Cárdenas, Manzanillo and Veracruz Ports.</t>
  </si>
  <si>
    <t>Incluye terminales de los puertos Altamira, Ensenada, Lázaro Cárdenas, Manzanillo y Veracruz.</t>
  </si>
  <si>
    <t>Includes terminals from Balboa and Cristóbal Ports.</t>
  </si>
  <si>
    <t>Incluye terminales de los puertos de Balboa y Cristóbal .</t>
  </si>
  <si>
    <t>Includes terminals from Río  Haina.</t>
  </si>
  <si>
    <t>Incluye terminales de Río Haina.</t>
  </si>
  <si>
    <t>Drewry, Informe Anual de Operadores Globales de Terminales de Contenedores (2012)</t>
  </si>
  <si>
    <t>Includes terminals from Port of Bridgetown.</t>
  </si>
  <si>
    <t>Incluye terminales del Puerto de Bridgetown.</t>
  </si>
  <si>
    <t>Includes terminals from Santos and Paranaguá  Ports.</t>
  </si>
  <si>
    <t>Incluye terminales de los puertos de Santos y Paranaguá .</t>
  </si>
  <si>
    <t>Incluye terminales del Puerto de Freeport.</t>
  </si>
  <si>
    <t>Includes terminals from the Port of Georgetown.</t>
  </si>
  <si>
    <t>Incluye terminales del Puerto de Georgetown.</t>
  </si>
  <si>
    <t>Includes terminals from the Port of Port-au-Prince.</t>
  </si>
  <si>
    <t>Incluye terminales del Puerto de Port-au-Prince.</t>
  </si>
  <si>
    <t>Includes terminals from the Port of Paramaribo.</t>
  </si>
  <si>
    <t>Incluye terminales del Puerto de Paramaibo.</t>
  </si>
  <si>
    <t>Includes terminals from Port of Spain.</t>
  </si>
  <si>
    <t>Incluye terminales de Puerto Cabello.</t>
  </si>
  <si>
    <t>Incluye terminales del Puerto de Cartagena, Barranquilla, Santa Marta y Buenaventura.</t>
  </si>
  <si>
    <t>Port of Moin</t>
  </si>
  <si>
    <t>Includes terminals from the Port of Acajutla.</t>
  </si>
  <si>
    <t>Incluye terminales del Puerto de Acajutla.</t>
  </si>
  <si>
    <t>Includes terminals from Santo Tomás , Barrios and Quetzal Ports.</t>
  </si>
  <si>
    <t>Incluye terminales de Puerto Cortés.</t>
  </si>
  <si>
    <t>Incluye terminales de los puertos Altamira, Ensenada, Lazaro Cardenas, Manzanillo y Veracruz.</t>
  </si>
  <si>
    <t>Incluye terminales de Puerto Corinto.</t>
  </si>
  <si>
    <t>Incluye terminales de los puertos de Balboa y Cristobal.</t>
  </si>
  <si>
    <t>Incluye terminales de Rio Haina.</t>
  </si>
  <si>
    <t>Distancia entre puerto de Buenos Aires y las afueras de la cuidad.</t>
  </si>
  <si>
    <t>Distancia entre puerto y la zona urbana.</t>
  </si>
  <si>
    <t>Weighted average TEU-km from Santos to Sao Paulo and Curitiba-Paranaguá .</t>
  </si>
  <si>
    <t>Promedio ponderado de los TEU-km entre Santos-Sao Paulo y Paranaguá -Curitiba.</t>
  </si>
  <si>
    <t>Distance between Guayaquil and Quito</t>
  </si>
  <si>
    <t>Distancia entre Guayaquil y Quito</t>
  </si>
  <si>
    <t>Distancia entre Callao y zona perimetral de Lima.</t>
  </si>
  <si>
    <t>Distance between the Montevideo port terminals and the city's suburban area</t>
  </si>
  <si>
    <t>Distancia entre las terminales de Montevideo y la zona perimetral de la ciudad.</t>
  </si>
  <si>
    <t>Distancia entre Puerto Cabello y zona perimetral de Caracas.</t>
  </si>
  <si>
    <t>Distancia entre puertos del Caribe y Bogota.</t>
  </si>
  <si>
    <t>Distance bweent the Port of Limón-Moin and San Jose.</t>
  </si>
  <si>
    <t>Distancia entre puerto Limón-Moin y San Jose.</t>
  </si>
  <si>
    <t>Distancia entre puerto de Acajutla y zona urbana de San Salvador.</t>
  </si>
  <si>
    <t>Distancia entre puertos del Atlantico y Ciudad de Guatemala.</t>
  </si>
  <si>
    <t>Distance between Puerto Cortés and Tegucigalpa.</t>
  </si>
  <si>
    <t>Distancia entre Puerto Cortés y Tegucigalpa.</t>
  </si>
  <si>
    <t>Distancia entre puertos del Pacifico/Atlantico y Ciudad de Mexico.</t>
  </si>
  <si>
    <t>Distancia entre Puerto Corinto y Managua.</t>
  </si>
  <si>
    <t>Distancia entre puertos del Pacifico/Atlantico y Ciudad de Panama.</t>
  </si>
  <si>
    <t>Distancia entre Rio Haina y la zona urbana de Santo Domingo.</t>
  </si>
  <si>
    <t>Ministerio de Transporte y compañía naviera</t>
  </si>
  <si>
    <t>Autoridad de Transporte de Jamaica y Autoridad Marítima de Jamaica</t>
  </si>
  <si>
    <t>Banco Interamericano de Desarrollo. CEPAL.</t>
  </si>
  <si>
    <t>Comment</t>
  </si>
  <si>
    <t>Comment_ESP</t>
  </si>
  <si>
    <t>LANG_ID</t>
  </si>
  <si>
    <t>Source_EN</t>
  </si>
  <si>
    <t>Comment_EN</t>
  </si>
  <si>
    <t>None</t>
  </si>
  <si>
    <t>Andean Countries</t>
  </si>
  <si>
    <t>Region_EN</t>
  </si>
  <si>
    <t>Region_ES</t>
  </si>
  <si>
    <t>Southern Cone</t>
  </si>
  <si>
    <t>Caribbean</t>
  </si>
  <si>
    <t>Central America</t>
  </si>
  <si>
    <t>Cono Sur</t>
  </si>
  <si>
    <t>Países Andinos</t>
  </si>
  <si>
    <t>Caribe</t>
  </si>
  <si>
    <t>Centroamérica</t>
  </si>
  <si>
    <t>REGION_HIGHLIGHT_ID</t>
  </si>
  <si>
    <t>Highlight group</t>
  </si>
  <si>
    <t>Grupo a resaltar</t>
  </si>
  <si>
    <t>Sort_Order</t>
  </si>
  <si>
    <t>CALC???</t>
  </si>
  <si>
    <t>Annual gasoline consumption</t>
  </si>
  <si>
    <t>Indic_ID</t>
  </si>
  <si>
    <t>Description - SPANISH</t>
  </si>
  <si>
    <t>Unit - SPANISH</t>
  </si>
  <si>
    <t>Category - SPANISH</t>
  </si>
  <si>
    <t>Note - SPANISH</t>
  </si>
  <si>
    <t>Definition - SPANISH</t>
  </si>
  <si>
    <t>Air transport</t>
  </si>
  <si>
    <t>Water transport</t>
  </si>
  <si>
    <t>CHECK COLUMN</t>
  </si>
  <si>
    <t>Banco Interamericano de Desarrollo. 2014. Logística de cargas en Mesoamérica (de próxima publicación)</t>
  </si>
  <si>
    <t>MOPT, Dirección de Planificación Sectorial, Depto. Medios de Transporte.</t>
  </si>
  <si>
    <t>Dirección Nacional de Vialidad</t>
  </si>
  <si>
    <t>Data corresponds to 2011.</t>
  </si>
  <si>
    <t>MOPT, Dirección de Planificación Sectorial</t>
  </si>
  <si>
    <t>Banco Interamericano de Desarrollo, estimación propia</t>
  </si>
  <si>
    <t>Banco Interamericano de Desarrollo. 2014. Transporte automotor de carga en Argentina (próxima publicación)</t>
  </si>
  <si>
    <t>MOPT, Dirección de Planificación Sectorial con datos de JAPDEVA e INCOP</t>
  </si>
  <si>
    <t>NAC_AR_1_GENERAL01</t>
  </si>
  <si>
    <t>NAC_BB_1_GENERAL01</t>
  </si>
  <si>
    <t>NAC_BO_1_GENERAL01</t>
  </si>
  <si>
    <t>NAC_BR_1_GENERAL01</t>
  </si>
  <si>
    <t>NAC_BS_1_GENERAL01</t>
  </si>
  <si>
    <t>NAC_CL_1_GENERAL01</t>
  </si>
  <si>
    <t>NAC_EC_1_GENERAL01</t>
  </si>
  <si>
    <t>NAC_GY_1_GENERAL01</t>
  </si>
  <si>
    <t>NAC_HT_1_GENERAL01</t>
  </si>
  <si>
    <t>NAC_JM_1_GENERAL01</t>
  </si>
  <si>
    <t>NAC_PE_1_GENERAL01</t>
  </si>
  <si>
    <t>NAC_PY_1_GENERAL01</t>
  </si>
  <si>
    <t>NAC_SR_1_GENERAL01</t>
  </si>
  <si>
    <t>NAC_TT_1_GENERAL01</t>
  </si>
  <si>
    <t>NAC_UY_1_GENERAL01</t>
  </si>
  <si>
    <t>NAC_VE_1_GENERAL01</t>
  </si>
  <si>
    <t>NAC_BZ_1_GENERAL01</t>
  </si>
  <si>
    <t>NAC_CO_1_GENERAL01</t>
  </si>
  <si>
    <t>NAC_CR_1_GENERAL01</t>
  </si>
  <si>
    <t>NAC_SV_1_GENERAL01</t>
  </si>
  <si>
    <t>NAC_GT_1_GENERAL01</t>
  </si>
  <si>
    <t>NAC_MX_1_GENERAL01</t>
  </si>
  <si>
    <t>NAC_NI_1_GENERAL01</t>
  </si>
  <si>
    <t>NAC_PA_1_GENERAL01</t>
  </si>
  <si>
    <t>NAC_DO_1_GENERAL01</t>
  </si>
  <si>
    <t>NAC_AR_1_GENERAL02</t>
  </si>
  <si>
    <t>NAC_BB_1_GENERAL02</t>
  </si>
  <si>
    <t>NAC_BO_1_GENERAL02</t>
  </si>
  <si>
    <t>NAC_BR_1_GENERAL02</t>
  </si>
  <si>
    <t>NAC_BS_1_GENERAL02</t>
  </si>
  <si>
    <t>NAC_CL_1_GENERAL02</t>
  </si>
  <si>
    <t>NAC_EC_1_GENERAL02</t>
  </si>
  <si>
    <t>NAC_GY_1_GENERAL02</t>
  </si>
  <si>
    <t>NAC_HT_1_GENERAL02</t>
  </si>
  <si>
    <t>NAC_JM_1_GENERAL02</t>
  </si>
  <si>
    <t>NAC_PE_1_GENERAL02</t>
  </si>
  <si>
    <t>NAC_PY_1_GENERAL02</t>
  </si>
  <si>
    <t>NAC_SR_1_GENERAL02</t>
  </si>
  <si>
    <t>NAC_TT_1_GENERAL02</t>
  </si>
  <si>
    <t>NAC_UY_1_GENERAL02</t>
  </si>
  <si>
    <t>NAC_VE_1_GENERAL02</t>
  </si>
  <si>
    <t>NAC_BZ_1_GENERAL02</t>
  </si>
  <si>
    <t>NAC_CO_1_GENERAL02</t>
  </si>
  <si>
    <t>NAC_CR_1_GENERAL02</t>
  </si>
  <si>
    <t>NAC_SV_1_GENERAL02</t>
  </si>
  <si>
    <t>NAC_GT_1_GENERAL02</t>
  </si>
  <si>
    <t>NAC_HN_1_GENERAL02</t>
  </si>
  <si>
    <t>NAC_MX_1_GENERAL02</t>
  </si>
  <si>
    <t>NAC_NI_1_GENERAL02</t>
  </si>
  <si>
    <t>NAC_PA_1_GENERAL02</t>
  </si>
  <si>
    <t>NAC_DO_1_GENERAL02</t>
  </si>
  <si>
    <t>NAC_AR_1_GENERAL03</t>
  </si>
  <si>
    <t>NAC_BB_1_GENERAL03</t>
  </si>
  <si>
    <t>NAC_BO_1_GENERAL03</t>
  </si>
  <si>
    <t>NAC_BR_1_GENERAL03</t>
  </si>
  <si>
    <t>NAC_BS_1_GENERAL03</t>
  </si>
  <si>
    <t>NAC_CL_1_GENERAL03</t>
  </si>
  <si>
    <t>NAC_EC_1_GENERAL03</t>
  </si>
  <si>
    <t>NAC_GY_1_GENERAL03</t>
  </si>
  <si>
    <t>NAC_HT_1_GENERAL03</t>
  </si>
  <si>
    <t>NAC_JM_1_GENERAL03</t>
  </si>
  <si>
    <t>NAC_PE_1_GENERAL03</t>
  </si>
  <si>
    <t>NAC_PY_1_GENERAL03</t>
  </si>
  <si>
    <t>NAC_SR_1_GENERAL03</t>
  </si>
  <si>
    <t>NAC_TT_1_GENERAL03</t>
  </si>
  <si>
    <t>NAC_UY_1_GENERAL03</t>
  </si>
  <si>
    <t>NAC_VE_1_GENERAL03</t>
  </si>
  <si>
    <t>NAC_BZ_1_GENERAL03</t>
  </si>
  <si>
    <t>NAC_CO_1_GENERAL03</t>
  </si>
  <si>
    <t>NAC_CR_1_GENERAL03</t>
  </si>
  <si>
    <t>NAC_SV_1_GENERAL03</t>
  </si>
  <si>
    <t>NAC_GT_1_GENERAL03</t>
  </si>
  <si>
    <t>NAC_HN_1_GENERAL03</t>
  </si>
  <si>
    <t>NAC_MX_1_GENERAL03</t>
  </si>
  <si>
    <t>NAC_NI_1_GENERAL03</t>
  </si>
  <si>
    <t>NAC_PA_1_GENERAL03</t>
  </si>
  <si>
    <t>NAC_DO_1_GENERAL03</t>
  </si>
  <si>
    <t>NAC_AR_1_GENERAL04</t>
  </si>
  <si>
    <t>NAC_BB_1_GENERAL04</t>
  </si>
  <si>
    <t>NAC_BO_1_GENERAL04</t>
  </si>
  <si>
    <t>NAC_BR_1_GENERAL04</t>
  </si>
  <si>
    <t>NAC_BS_1_GENERAL04</t>
  </si>
  <si>
    <t>NAC_CL_1_GENERAL04</t>
  </si>
  <si>
    <t>NAC_EC_1_GENERAL04</t>
  </si>
  <si>
    <t>NAC_GY_1_GENERAL04</t>
  </si>
  <si>
    <t>NAC_HT_1_GENERAL04</t>
  </si>
  <si>
    <t>NAC_JM_1_GENERAL04</t>
  </si>
  <si>
    <t>NAC_PE_1_GENERAL04</t>
  </si>
  <si>
    <t>NAC_PY_1_GENERAL04</t>
  </si>
  <si>
    <t>NAC_SR_1_GENERAL04</t>
  </si>
  <si>
    <t>NAC_TT_1_GENERAL04</t>
  </si>
  <si>
    <t>NAC_UY_1_GENERAL04</t>
  </si>
  <si>
    <t>NAC_VE_1_GENERAL04</t>
  </si>
  <si>
    <t>NAC_BZ_1_GENERAL04</t>
  </si>
  <si>
    <t>NAC_CO_1_GENERAL04</t>
  </si>
  <si>
    <t>NAC_CR_1_GENERAL04</t>
  </si>
  <si>
    <t>NAC_SV_1_GENERAL04</t>
  </si>
  <si>
    <t>NAC_GT_1_GENERAL04</t>
  </si>
  <si>
    <t>NAC_HN_1_GENERAL04</t>
  </si>
  <si>
    <t>NAC_MX_1_GENERAL04</t>
  </si>
  <si>
    <t>NAC_NI_1_GENERAL04</t>
  </si>
  <si>
    <t>NAC_PA_1_GENERAL04</t>
  </si>
  <si>
    <t>NAC_DO_1_GENERAL04</t>
  </si>
  <si>
    <t>NAC_AR_1_GENERAL05</t>
  </si>
  <si>
    <t>NAC_BB_1_GENERAL05</t>
  </si>
  <si>
    <t>NAC_BO_1_GENERAL05</t>
  </si>
  <si>
    <t>NAC_BR_1_GENERAL05</t>
  </si>
  <si>
    <t>NAC_BS_1_GENERAL05</t>
  </si>
  <si>
    <t>NAC_CL_1_GENERAL05</t>
  </si>
  <si>
    <t>NAC_EC_1_GENERAL05</t>
  </si>
  <si>
    <t>NAC_GY_1_GENERAL05</t>
  </si>
  <si>
    <t>NAC_HT_1_GENERAL05</t>
  </si>
  <si>
    <t>NAC_JM_1_GENERAL05</t>
  </si>
  <si>
    <t>NAC_PE_1_GENERAL05</t>
  </si>
  <si>
    <t>NAC_PY_1_GENERAL05</t>
  </si>
  <si>
    <t>NAC_SR_1_GENERAL05</t>
  </si>
  <si>
    <t>NAC_TT_1_GENERAL05</t>
  </si>
  <si>
    <t>NAC_UY_1_GENERAL05</t>
  </si>
  <si>
    <t>NAC_VE_1_GENERAL05</t>
  </si>
  <si>
    <t>NAC_BZ_1_GENERAL05</t>
  </si>
  <si>
    <t>NAC_CO_1_GENERAL05</t>
  </si>
  <si>
    <t>NAC_CR_1_GENERAL05</t>
  </si>
  <si>
    <t>NAC_SV_1_GENERAL05</t>
  </si>
  <si>
    <t>NAC_GT_1_GENERAL05</t>
  </si>
  <si>
    <t>NAC_HN_1_GENERAL05</t>
  </si>
  <si>
    <t>NAC_MX_1_GENERAL05</t>
  </si>
  <si>
    <t>NAC_NI_1_GENERAL05</t>
  </si>
  <si>
    <t>NAC_PA_1_GENERAL05</t>
  </si>
  <si>
    <t>NAC_DO_1_GENERAL05</t>
  </si>
  <si>
    <t>NAC_AR_1_GENERAL06</t>
  </si>
  <si>
    <t>NAC_BB_1_GENERAL06</t>
  </si>
  <si>
    <t>NAC_BO_1_GENERAL06</t>
  </si>
  <si>
    <t>NAC_BR_1_GENERAL06</t>
  </si>
  <si>
    <t>NAC_BS_1_GENERAL06</t>
  </si>
  <si>
    <t>NAC_CL_1_GENERAL06</t>
  </si>
  <si>
    <t>NAC_EC_1_GENERAL06</t>
  </si>
  <si>
    <t>NAC_GY_1_GENERAL06</t>
  </si>
  <si>
    <t>NAC_HT_1_GENERAL06</t>
  </si>
  <si>
    <t>NAC_JM_1_GENERAL06</t>
  </si>
  <si>
    <t>NAC_PE_1_GENERAL06</t>
  </si>
  <si>
    <t>NAC_PY_1_GENERAL06</t>
  </si>
  <si>
    <t>NAC_SR_1_GENERAL06</t>
  </si>
  <si>
    <t>NAC_TT_1_GENERAL06</t>
  </si>
  <si>
    <t>NAC_UY_1_GENERAL06</t>
  </si>
  <si>
    <t>NAC_VE_1_GENERAL06</t>
  </si>
  <si>
    <t>NAC_BZ_1_GENERAL06</t>
  </si>
  <si>
    <t>NAC_CO_1_GENERAL06</t>
  </si>
  <si>
    <t>NAC_CR_1_GENERAL06</t>
  </si>
  <si>
    <t>NAC_SV_1_GENERAL06</t>
  </si>
  <si>
    <t>NAC_GT_1_GENERAL06</t>
  </si>
  <si>
    <t>NAC_HN_1_GENERAL06</t>
  </si>
  <si>
    <t>NAC_MX_1_GENERAL06</t>
  </si>
  <si>
    <t>NAC_NI_1_GENERAL06</t>
  </si>
  <si>
    <t>NAC_PA_1_GENERAL06</t>
  </si>
  <si>
    <t>NAC_DO_1_GENERAL06</t>
  </si>
  <si>
    <t>NAC_AR_1_GENERAL07</t>
  </si>
  <si>
    <t>NAC_BB_1_GENERAL07</t>
  </si>
  <si>
    <t>NAC_BO_1_GENERAL07</t>
  </si>
  <si>
    <t>NAC_BR_1_GENERAL07</t>
  </si>
  <si>
    <t>NAC_BS_1_GENERAL07</t>
  </si>
  <si>
    <t>NAC_CL_1_GENERAL07</t>
  </si>
  <si>
    <t>NAC_EC_1_GENERAL07</t>
  </si>
  <si>
    <t>NAC_GY_1_GENERAL07</t>
  </si>
  <si>
    <t>NAC_JM_1_GENERAL07</t>
  </si>
  <si>
    <t>NAC_PE_1_GENERAL07</t>
  </si>
  <si>
    <t>NAC_PY_1_GENERAL07</t>
  </si>
  <si>
    <t>NAC_SR_1_GENERAL07</t>
  </si>
  <si>
    <t>NAC_TT_1_GENERAL07</t>
  </si>
  <si>
    <t>NAC_UY_1_GENERAL07</t>
  </si>
  <si>
    <t>NAC_VE_1_GENERAL07</t>
  </si>
  <si>
    <t>NAC_BZ_1_GENERAL07</t>
  </si>
  <si>
    <t>NAC_CO_1_GENERAL07</t>
  </si>
  <si>
    <t>NAC_CR_1_GENERAL07</t>
  </si>
  <si>
    <t>NAC_SV_1_GENERAL07</t>
  </si>
  <si>
    <t>NAC_GT_1_GENERAL07</t>
  </si>
  <si>
    <t>NAC_HN_1_GENERAL07</t>
  </si>
  <si>
    <t>NAC_MX_1_GENERAL07</t>
  </si>
  <si>
    <t>NAC_NI_1_GENERAL07</t>
  </si>
  <si>
    <t>NAC_PA_1_GENERAL07</t>
  </si>
  <si>
    <t>NAC_AR_1_GENERAL08</t>
  </si>
  <si>
    <t>NAC_BB_1_GENERAL08</t>
  </si>
  <si>
    <t>NAC_BO_1_GENERAL08</t>
  </si>
  <si>
    <t>NAC_BR_1_GENERAL08</t>
  </si>
  <si>
    <t>NAC_BS_1_GENERAL08</t>
  </si>
  <si>
    <t>NAC_CL_1_GENERAL08</t>
  </si>
  <si>
    <t>NAC_EC_1_GENERAL08</t>
  </si>
  <si>
    <t>NAC_GY_1_GENERAL08</t>
  </si>
  <si>
    <t>NAC_HT_1_GENERAL08</t>
  </si>
  <si>
    <t>NAC_JM_1_GENERAL08</t>
  </si>
  <si>
    <t>NAC_PE_1_GENERAL08</t>
  </si>
  <si>
    <t>NAC_PY_1_GENERAL08</t>
  </si>
  <si>
    <t>NAC_SR_1_GENERAL08</t>
  </si>
  <si>
    <t>NAC_TT_1_GENERAL08</t>
  </si>
  <si>
    <t>NAC_UY_1_GENERAL08</t>
  </si>
  <si>
    <t>NAC_VE_1_GENERAL08</t>
  </si>
  <si>
    <t>NAC_BZ_1_GENERAL08</t>
  </si>
  <si>
    <t>NAC_CO_1_GENERAL08</t>
  </si>
  <si>
    <t>NAC_CR_1_GENERAL08</t>
  </si>
  <si>
    <t>NAC_SV_1_GENERAL08</t>
  </si>
  <si>
    <t>NAC_GT_1_GENERAL08</t>
  </si>
  <si>
    <t>NAC_HN_1_GENERAL08</t>
  </si>
  <si>
    <t>NAC_MX_1_GENERAL08</t>
  </si>
  <si>
    <t>NAC_NI_1_GENERAL08</t>
  </si>
  <si>
    <t>NAC_PA_1_GENERAL08</t>
  </si>
  <si>
    <t>NAC_DO_1_GENERAL08</t>
  </si>
  <si>
    <t>NAC_AR_1_GENERAL09</t>
  </si>
  <si>
    <t>NAC_BB_1_GENERAL09</t>
  </si>
  <si>
    <t>NAC_BO_1_GENERAL09</t>
  </si>
  <si>
    <t>NAC_BR_1_GENERAL09</t>
  </si>
  <si>
    <t>NAC_BS_1_GENERAL09</t>
  </si>
  <si>
    <t>NAC_CL_1_GENERAL09</t>
  </si>
  <si>
    <t>NAC_EC_1_GENERAL09</t>
  </si>
  <si>
    <t>NAC_GY_1_GENERAL09</t>
  </si>
  <si>
    <t>NAC_JM_1_GENERAL09</t>
  </si>
  <si>
    <t>NAC_PE_1_GENERAL09</t>
  </si>
  <si>
    <t>NAC_PY_1_GENERAL09</t>
  </si>
  <si>
    <t>NAC_SR_1_GENERAL09</t>
  </si>
  <si>
    <t>NAC_TT_1_GENERAL09</t>
  </si>
  <si>
    <t>NAC_UY_1_GENERAL09</t>
  </si>
  <si>
    <t>NAC_VE_1_GENERAL09</t>
  </si>
  <si>
    <t>NAC_BZ_1_GENERAL09</t>
  </si>
  <si>
    <t>NAC_CO_1_GENERAL09</t>
  </si>
  <si>
    <t>NAC_CR_1_GENERAL09</t>
  </si>
  <si>
    <t>NAC_SV_1_GENERAL09</t>
  </si>
  <si>
    <t>NAC_GT_1_GENERAL09</t>
  </si>
  <si>
    <t>NAC_HN_1_GENERAL09</t>
  </si>
  <si>
    <t>NAC_MX_1_GENERAL09</t>
  </si>
  <si>
    <t>NAC_NI_1_GENERAL09</t>
  </si>
  <si>
    <t>NAC_PA_1_GENERAL09</t>
  </si>
  <si>
    <t>NAC_DO_1_GENERAL09</t>
  </si>
  <si>
    <t>NAC_AR_1_GENERAL10</t>
  </si>
  <si>
    <t>NAC_BB_1_GENERAL10</t>
  </si>
  <si>
    <t>NAC_BO_1_GENERAL10</t>
  </si>
  <si>
    <t>NAC_BR_1_GENERAL10</t>
  </si>
  <si>
    <t>NAC_BS_1_GENERAL10</t>
  </si>
  <si>
    <t>NAC_CL_1_GENERAL10</t>
  </si>
  <si>
    <t>NAC_EC_1_GENERAL10</t>
  </si>
  <si>
    <t>NAC_GY_1_GENERAL10</t>
  </si>
  <si>
    <t>NAC_HT_1_GENERAL10</t>
  </si>
  <si>
    <t>NAC_JM_1_GENERAL10</t>
  </si>
  <si>
    <t>NAC_PE_1_GENERAL10</t>
  </si>
  <si>
    <t>NAC_PY_1_GENERAL10</t>
  </si>
  <si>
    <t>NAC_SR_1_GENERAL10</t>
  </si>
  <si>
    <t>NAC_TT_1_GENERAL10</t>
  </si>
  <si>
    <t>NAC_UY_1_GENERAL10</t>
  </si>
  <si>
    <t>NAC_VE_1_GENERAL10</t>
  </si>
  <si>
    <t>NAC_BZ_1_GENERAL10</t>
  </si>
  <si>
    <t>NAC_CO_1_GENERAL10</t>
  </si>
  <si>
    <t>NAC_CR_1_GENERAL10</t>
  </si>
  <si>
    <t>NAC_SV_1_GENERAL10</t>
  </si>
  <si>
    <t>NAC_GT_1_GENERAL10</t>
  </si>
  <si>
    <t>NAC_HN_1_GENERAL10</t>
  </si>
  <si>
    <t>NAC_MX_1_GENERAL10</t>
  </si>
  <si>
    <t>NAC_NI_1_GENERAL10</t>
  </si>
  <si>
    <t>NAC_PA_1_GENERAL10</t>
  </si>
  <si>
    <t>NAC_DO_1_GENERAL10</t>
  </si>
  <si>
    <t>NAC_AR_1_GENERAL11</t>
  </si>
  <si>
    <t>NAC_BB_1_GENERAL11</t>
  </si>
  <si>
    <t>NAC_BO_1_GENERAL11</t>
  </si>
  <si>
    <t>NAC_BR_1_GENERAL11</t>
  </si>
  <si>
    <t>NAC_BS_1_GENERAL11</t>
  </si>
  <si>
    <t>NAC_CL_1_GENERAL11</t>
  </si>
  <si>
    <t>NAC_EC_1_GENERAL11</t>
  </si>
  <si>
    <t>NAC_GY_1_GENERAL11</t>
  </si>
  <si>
    <t>NAC_JM_1_GENERAL11</t>
  </si>
  <si>
    <t>NAC_PE_1_GENERAL11</t>
  </si>
  <si>
    <t>NAC_PY_1_GENERAL11</t>
  </si>
  <si>
    <t>NAC_SR_1_GENERAL11</t>
  </si>
  <si>
    <t>NAC_TT_1_GENERAL11</t>
  </si>
  <si>
    <t>NAC_UY_1_GENERAL11</t>
  </si>
  <si>
    <t>NAC_BZ_1_GENERAL11</t>
  </si>
  <si>
    <t>NAC_CO_1_GENERAL11</t>
  </si>
  <si>
    <t>NAC_CR_1_GENERAL11</t>
  </si>
  <si>
    <t>NAC_SV_1_GENERAL11</t>
  </si>
  <si>
    <t>NAC_GT_1_GENERAL11</t>
  </si>
  <si>
    <t>NAC_HN_1_GENERAL11</t>
  </si>
  <si>
    <t>NAC_MX_1_GENERAL11</t>
  </si>
  <si>
    <t>NAC_NI_1_GENERAL11</t>
  </si>
  <si>
    <t>NAC_PA_1_GENERAL11</t>
  </si>
  <si>
    <t>NAC_DO_1_GENERAL11</t>
  </si>
  <si>
    <t>NAC_AR_1_ROAD01</t>
  </si>
  <si>
    <t>NAC_BB_1_ROAD01</t>
  </si>
  <si>
    <t>NAC_BO_1_ROAD01</t>
  </si>
  <si>
    <t>NAC_BR_1_ROAD01</t>
  </si>
  <si>
    <t>NAC_BS_1_ROAD01</t>
  </si>
  <si>
    <t>NAC_CL_1_ROAD01</t>
  </si>
  <si>
    <t>NAC_EC_1_ROAD01</t>
  </si>
  <si>
    <t>NAC_GY_1_ROAD01</t>
  </si>
  <si>
    <t>NAC_HT_1_ROAD01</t>
  </si>
  <si>
    <t>NAC_JM_1_ROAD01</t>
  </si>
  <si>
    <t>NAC_PE_1_ROAD01</t>
  </si>
  <si>
    <t>NAC_PY_1_ROAD01</t>
  </si>
  <si>
    <t>NAC_SR_1_ROAD01</t>
  </si>
  <si>
    <t>NAC_TT_1_ROAD01</t>
  </si>
  <si>
    <t>NAC_UY_1_ROAD01</t>
  </si>
  <si>
    <t>NAC_VE_1_ROAD01</t>
  </si>
  <si>
    <t>NAC_BZ_1_ROAD01</t>
  </si>
  <si>
    <t>NAC_CO_1_ROAD01</t>
  </si>
  <si>
    <t>NAC_CR_1_ROAD01</t>
  </si>
  <si>
    <t>NAC_SV_1_ROAD01</t>
  </si>
  <si>
    <t>NAC_GT_1_ROAD01</t>
  </si>
  <si>
    <t>NAC_HN_1_ROAD01</t>
  </si>
  <si>
    <t>NAC_MX_1_ROAD01</t>
  </si>
  <si>
    <t>NAC_NI_1_ROAD01</t>
  </si>
  <si>
    <t>NAC_PA_1_ROAD01</t>
  </si>
  <si>
    <t>NAC_DO_1_ROAD01</t>
  </si>
  <si>
    <t>NAC_AR_1_ROAD02</t>
  </si>
  <si>
    <t>NAC_BO_1_ROAD02</t>
  </si>
  <si>
    <t>NAC_BR_1_ROAD02</t>
  </si>
  <si>
    <t>NAC_GY_1_ROAD02</t>
  </si>
  <si>
    <t>NAC_JM_1_ROAD02</t>
  </si>
  <si>
    <t>NAC_PY_1_ROAD02</t>
  </si>
  <si>
    <t>NAC_UY_1_ROAD02</t>
  </si>
  <si>
    <t>NAC_CO_1_ROAD02</t>
  </si>
  <si>
    <t>NAC_CR_1_ROAD02</t>
  </si>
  <si>
    <t>NAC_MX_1_ROAD02</t>
  </si>
  <si>
    <t>NAC_PA_1_ROAD02</t>
  </si>
  <si>
    <t>NAC_DO_1_ROAD02</t>
  </si>
  <si>
    <t>NAC_AR_1_ROAD03</t>
  </si>
  <si>
    <t>NAC_BB_1_ROAD03</t>
  </si>
  <si>
    <t>NAC_BO_1_ROAD03</t>
  </si>
  <si>
    <t>NAC_BR_1_ROAD03</t>
  </si>
  <si>
    <t>NAC_CL_1_ROAD03</t>
  </si>
  <si>
    <t>NAC_EC_1_ROAD03</t>
  </si>
  <si>
    <t>NAC_GY_1_ROAD03</t>
  </si>
  <si>
    <t>NAC_JM_1_ROAD03</t>
  </si>
  <si>
    <t>NAC_PE_1_ROAD03</t>
  </si>
  <si>
    <t>NAC_PY_1_ROAD03</t>
  </si>
  <si>
    <t>NAC_TT_1_ROAD03</t>
  </si>
  <si>
    <t>NAC_UY_1_ROAD03</t>
  </si>
  <si>
    <t>NAC_BZ_1_ROAD03</t>
  </si>
  <si>
    <t>NAC_CO_1_ROAD03</t>
  </si>
  <si>
    <t>NAC_CR_1_ROAD03</t>
  </si>
  <si>
    <t>NAC_SV_1_ROAD03</t>
  </si>
  <si>
    <t>NAC_GT_1_ROAD03</t>
  </si>
  <si>
    <t>NAC_HN_1_ROAD03</t>
  </si>
  <si>
    <t>NAC_MX_1_ROAD03</t>
  </si>
  <si>
    <t>NAC_NI_1_ROAD03</t>
  </si>
  <si>
    <t>NAC_PA_1_ROAD03</t>
  </si>
  <si>
    <t>NAC_DO_1_ROAD03</t>
  </si>
  <si>
    <t>NAC_AR_1_ROAD04</t>
  </si>
  <si>
    <t>NAC_BB_1_ROAD04</t>
  </si>
  <si>
    <t>NAC_BO_1_ROAD04</t>
  </si>
  <si>
    <t>NAC_BR_1_ROAD04</t>
  </si>
  <si>
    <t>NAC_CL_1_ROAD04</t>
  </si>
  <si>
    <t>NAC_EC_1_ROAD04</t>
  </si>
  <si>
    <t>NAC_GY_1_ROAD04</t>
  </si>
  <si>
    <t>NAC_JM_1_ROAD04</t>
  </si>
  <si>
    <t>NAC_PE_1_ROAD04</t>
  </si>
  <si>
    <t>NAC_PY_1_ROAD04</t>
  </si>
  <si>
    <t>NAC_TT_1_ROAD04</t>
  </si>
  <si>
    <t>NAC_UY_1_ROAD04</t>
  </si>
  <si>
    <t>NAC_BZ_1_ROAD04</t>
  </si>
  <si>
    <t>NAC_CO_1_ROAD04</t>
  </si>
  <si>
    <t>NAC_CR_1_ROAD04</t>
  </si>
  <si>
    <t>NAC_SV_1_ROAD04</t>
  </si>
  <si>
    <t>NAC_MX_1_ROAD04</t>
  </si>
  <si>
    <t>NAC_NI_1_ROAD04</t>
  </si>
  <si>
    <t>NAC_PA_1_ROAD04</t>
  </si>
  <si>
    <t>NAC_DO_1_ROAD04</t>
  </si>
  <si>
    <t>NAC_AR_1_ROAD05</t>
  </si>
  <si>
    <t>NAC_BB_1_ROAD05</t>
  </si>
  <si>
    <t>NAC_BO_1_ROAD05</t>
  </si>
  <si>
    <t>NAC_BR_1_ROAD05</t>
  </si>
  <si>
    <t>NAC_EC_1_ROAD05</t>
  </si>
  <si>
    <t>NAC_GY_1_ROAD05</t>
  </si>
  <si>
    <t>NAC_JM_1_ROAD05</t>
  </si>
  <si>
    <t>NAC_PE_1_ROAD05</t>
  </si>
  <si>
    <t>NAC_PY_1_ROAD05</t>
  </si>
  <si>
    <t>NAC_TT_1_ROAD05</t>
  </si>
  <si>
    <t>NAC_UY_1_ROAD05</t>
  </si>
  <si>
    <t>NAC_BZ_1_ROAD05</t>
  </si>
  <si>
    <t>NAC_CO_1_ROAD05</t>
  </si>
  <si>
    <t>NAC_CR_1_ROAD05</t>
  </si>
  <si>
    <t>NAC_SV_1_ROAD05</t>
  </si>
  <si>
    <t>NAC_GT_1_ROAD05</t>
  </si>
  <si>
    <t>NAC_HN_1_ROAD05</t>
  </si>
  <si>
    <t>NAC_MX_1_ROAD05</t>
  </si>
  <si>
    <t>NAC_NI_1_ROAD05</t>
  </si>
  <si>
    <t>NAC_PA_1_ROAD05</t>
  </si>
  <si>
    <t>NAC_DO_1_ROAD05</t>
  </si>
  <si>
    <t>NAC_AR_1_ROAD06</t>
  </si>
  <si>
    <t>NAC_BB_1_ROAD06</t>
  </si>
  <si>
    <t>NAC_BO_1_ROAD06</t>
  </si>
  <si>
    <t>NAC_BR_1_ROAD06</t>
  </si>
  <si>
    <t>NAC_BS_1_ROAD06</t>
  </si>
  <si>
    <t>NAC_CL_1_ROAD06</t>
  </si>
  <si>
    <t>NAC_EC_1_ROAD06</t>
  </si>
  <si>
    <t>NAC_GY_1_ROAD06</t>
  </si>
  <si>
    <t>NAC_JM_1_ROAD06</t>
  </si>
  <si>
    <t>NAC_PE_1_ROAD06</t>
  </si>
  <si>
    <t>NAC_PY_1_ROAD06</t>
  </si>
  <si>
    <t>NAC_SR_1_ROAD06</t>
  </si>
  <si>
    <t>NAC_UY_1_ROAD06</t>
  </si>
  <si>
    <t>NAC_BZ_1_ROAD06</t>
  </si>
  <si>
    <t>NAC_CO_1_ROAD06</t>
  </si>
  <si>
    <t>NAC_CR_1_ROAD06</t>
  </si>
  <si>
    <t>NAC_SV_1_ROAD06</t>
  </si>
  <si>
    <t>NAC_GT_1_ROAD06</t>
  </si>
  <si>
    <t>NAC_HN_1_ROAD06</t>
  </si>
  <si>
    <t>NAC_MX_1_ROAD06</t>
  </si>
  <si>
    <t>NAC_NI_1_ROAD06</t>
  </si>
  <si>
    <t>NAC_PA_1_ROAD06</t>
  </si>
  <si>
    <t>NAC_AR_1_ROAD07</t>
  </si>
  <si>
    <t>NAC_BB_1_ROAD07</t>
  </si>
  <si>
    <t>NAC_BO_1_ROAD07</t>
  </si>
  <si>
    <t>NAC_BR_1_ROAD07</t>
  </si>
  <si>
    <t>NAC_BS_1_ROAD07</t>
  </si>
  <si>
    <t>NAC_CL_1_ROAD07</t>
  </si>
  <si>
    <t>NAC_EC_1_ROAD07</t>
  </si>
  <si>
    <t>NAC_GY_1_ROAD07</t>
  </si>
  <si>
    <t>NAC_JM_1_ROAD07</t>
  </si>
  <si>
    <t>NAC_PE_1_ROAD07</t>
  </si>
  <si>
    <t>NAC_PY_1_ROAD07</t>
  </si>
  <si>
    <t>NAC_SR_1_ROAD07</t>
  </si>
  <si>
    <t>NAC_UY_1_ROAD07</t>
  </si>
  <si>
    <t>NAC_VE_1_ROAD07</t>
  </si>
  <si>
    <t>NAC_CO_1_ROAD07</t>
  </si>
  <si>
    <t>NAC_CR_1_ROAD07</t>
  </si>
  <si>
    <t>NAC_SV_1_ROAD07</t>
  </si>
  <si>
    <t>NAC_GT_1_ROAD07</t>
  </si>
  <si>
    <t>NAC_HN_1_ROAD07</t>
  </si>
  <si>
    <t>NAC_MX_1_ROAD07</t>
  </si>
  <si>
    <t>NAC_NI_1_ROAD07</t>
  </si>
  <si>
    <t>NAC_PA_1_ROAD07</t>
  </si>
  <si>
    <t>NAC_DO_1_ROAD07</t>
  </si>
  <si>
    <t>NAC_AR_1_ROAD08</t>
  </si>
  <si>
    <t>NAC_BR_1_ROAD08</t>
  </si>
  <si>
    <t>NAC_EC_1_ROAD08</t>
  </si>
  <si>
    <t>NAC_GY_1_ROAD08</t>
  </si>
  <si>
    <t>NAC_JM_1_ROAD08</t>
  </si>
  <si>
    <t>NAC_PE_1_ROAD08</t>
  </si>
  <si>
    <t>NAC_PY_1_ROAD08</t>
  </si>
  <si>
    <t>NAC_SR_1_ROAD08</t>
  </si>
  <si>
    <t>NAC_UY_1_ROAD08</t>
  </si>
  <si>
    <t>NAC_CO_1_ROAD08</t>
  </si>
  <si>
    <t>NAC_CR_1_ROAD08</t>
  </si>
  <si>
    <t>NAC_SV_1_ROAD08</t>
  </si>
  <si>
    <t>NAC_GT_1_ROAD08</t>
  </si>
  <si>
    <t>NAC_HN_1_ROAD08</t>
  </si>
  <si>
    <t>NAC_MX_1_ROAD08</t>
  </si>
  <si>
    <t>NAC_NI_1_ROAD08</t>
  </si>
  <si>
    <t>NAC_PA_1_ROAD08</t>
  </si>
  <si>
    <t>NAC_AR_1_ROAD09</t>
  </si>
  <si>
    <t>NAC_BR_1_ROAD09</t>
  </si>
  <si>
    <t>NAC_EC_1_ROAD09</t>
  </si>
  <si>
    <t>NAC_GY_1_ROAD09</t>
  </si>
  <si>
    <t>NAC_JM_1_ROAD09</t>
  </si>
  <si>
    <t>NAC_PE_1_ROAD09</t>
  </si>
  <si>
    <t>NAC_PY_1_ROAD09</t>
  </si>
  <si>
    <t>NAC_SR_1_ROAD09</t>
  </si>
  <si>
    <t>NAC_UY_1_ROAD09</t>
  </si>
  <si>
    <t>NAC_CO_1_ROAD09</t>
  </si>
  <si>
    <t>NAC_CR_1_ROAD09</t>
  </si>
  <si>
    <t>NAC_SV_1_ROAD09</t>
  </si>
  <si>
    <t>NAC_GT_1_ROAD09</t>
  </si>
  <si>
    <t>NAC_HN_1_ROAD09</t>
  </si>
  <si>
    <t>NAC_MX_1_ROAD09</t>
  </si>
  <si>
    <t>NAC_NI_1_ROAD09</t>
  </si>
  <si>
    <t>NAC_PA_1_ROAD09</t>
  </si>
  <si>
    <t>NAC_AR_1_ROAD11</t>
  </si>
  <si>
    <t>NAC_BR_1_ROAD11</t>
  </si>
  <si>
    <t>NAC_CL_1_ROAD11</t>
  </si>
  <si>
    <t>NAC_PE_1_ROAD11</t>
  </si>
  <si>
    <t>NAC_PY_1_ROAD11</t>
  </si>
  <si>
    <t>NAC_UY_1_ROAD11</t>
  </si>
  <si>
    <t>NAC_BZ_1_ROAD11</t>
  </si>
  <si>
    <t>NAC_CO_1_ROAD11</t>
  </si>
  <si>
    <t>NAC_CR_1_ROAD11</t>
  </si>
  <si>
    <t>NAC_GT_1_ROAD11</t>
  </si>
  <si>
    <t>NAC_HN_1_ROAD11</t>
  </si>
  <si>
    <t>NAC_MX_1_ROAD11</t>
  </si>
  <si>
    <t>NAC_NI_1_ROAD11</t>
  </si>
  <si>
    <t>NAC_PA_1_ROAD11</t>
  </si>
  <si>
    <t>NAC_DO_1_ROAD11</t>
  </si>
  <si>
    <t>NAC_AR_1_ROAD12</t>
  </si>
  <si>
    <t>NAC_BB_1_ROAD12</t>
  </si>
  <si>
    <t>NAC_BR_1_ROAD12</t>
  </si>
  <si>
    <t>NAC_CL_1_ROAD12</t>
  </si>
  <si>
    <t>NAC_GY_1_ROAD12</t>
  </si>
  <si>
    <t>NAC_JM_1_ROAD12</t>
  </si>
  <si>
    <t>NAC_PE_1_ROAD12</t>
  </si>
  <si>
    <t>NAC_PY_1_ROAD12</t>
  </si>
  <si>
    <t>NAC_UY_1_ROAD12</t>
  </si>
  <si>
    <t>NAC_CO_1_ROAD12</t>
  </si>
  <si>
    <t>NAC_SV_1_ROAD12</t>
  </si>
  <si>
    <t>NAC_GT_1_ROAD12</t>
  </si>
  <si>
    <t>NAC_HN_1_ROAD12</t>
  </si>
  <si>
    <t>NAC_MX_1_ROAD12</t>
  </si>
  <si>
    <t>NAC_NI_1_ROAD12</t>
  </si>
  <si>
    <t>NAC_PA_1_ROAD12</t>
  </si>
  <si>
    <t>NAC_AR_1_ROAD14</t>
  </si>
  <si>
    <t>NAC_BB_1_ROAD14</t>
  </si>
  <si>
    <t>NAC_BO_1_ROAD14</t>
  </si>
  <si>
    <t>NAC_BR_1_ROAD14</t>
  </si>
  <si>
    <t>NAC_BS_1_ROAD14</t>
  </si>
  <si>
    <t>NAC_CL_1_ROAD14</t>
  </si>
  <si>
    <t>NAC_EC_1_ROAD14</t>
  </si>
  <si>
    <t>NAC_GY_1_ROAD14</t>
  </si>
  <si>
    <t>NAC_JM_1_ROAD14</t>
  </si>
  <si>
    <t>NAC_PE_1_ROAD14</t>
  </si>
  <si>
    <t>NAC_PY_1_ROAD14</t>
  </si>
  <si>
    <t>NAC_SR_1_ROAD14</t>
  </si>
  <si>
    <t>NAC_TT_1_ROAD14</t>
  </si>
  <si>
    <t>NAC_UY_1_ROAD14</t>
  </si>
  <si>
    <t>NAC_BZ_1_ROAD14</t>
  </si>
  <si>
    <t>NAC_CO_1_ROAD14</t>
  </si>
  <si>
    <t>NAC_CR_1_ROAD14</t>
  </si>
  <si>
    <t>NAC_SV_1_ROAD14</t>
  </si>
  <si>
    <t>NAC_GT_1_ROAD14</t>
  </si>
  <si>
    <t>NAC_HN_1_ROAD14</t>
  </si>
  <si>
    <t>NAC_MX_1_ROAD14</t>
  </si>
  <si>
    <t>NAC_NI_1_ROAD14</t>
  </si>
  <si>
    <t>NAC_PA_1_ROAD14</t>
  </si>
  <si>
    <t>NAC_DO_1_ROAD14</t>
  </si>
  <si>
    <t>NAC_AR_1_ROAD15</t>
  </si>
  <si>
    <t>NAC_BR_1_ROAD15</t>
  </si>
  <si>
    <t>NAC_CL_1_ROAD15</t>
  </si>
  <si>
    <t>NAC_JM_1_ROAD15</t>
  </si>
  <si>
    <t>NAC_PE_1_ROAD15</t>
  </si>
  <si>
    <t>NAC_PY_1_ROAD15</t>
  </si>
  <si>
    <t>NAC_UY_1_ROAD15</t>
  </si>
  <si>
    <t>NAC_CO_1_ROAD15</t>
  </si>
  <si>
    <t>NAC_CR_1_ROAD15</t>
  </si>
  <si>
    <t>NAC_SV_1_ROAD15</t>
  </si>
  <si>
    <t>NAC_GT_1_ROAD15</t>
  </si>
  <si>
    <t>NAC_HN_1_ROAD15</t>
  </si>
  <si>
    <t>NAC_MX_1_ROAD15</t>
  </si>
  <si>
    <t>NAC_NI_1_ROAD15</t>
  </si>
  <si>
    <t>NAC_PA_1_ROAD15</t>
  </si>
  <si>
    <t>NAC_AR_1_ROAD16</t>
  </si>
  <si>
    <t>NAC_PY_1_ROAD16</t>
  </si>
  <si>
    <t>NAC_CO_1_ROAD16</t>
  </si>
  <si>
    <t>NAC_MX_1_ROAD16</t>
  </si>
  <si>
    <t>NAC_AR_1_ROAD17</t>
  </si>
  <si>
    <t>NAC_BR_1_ROAD17</t>
  </si>
  <si>
    <t>NAC_CL_1_ROAD17</t>
  </si>
  <si>
    <t>NAC_PY_1_ROAD17</t>
  </si>
  <si>
    <t>NAC_UY_1_ROAD17</t>
  </si>
  <si>
    <t>NAC_CO_1_ROAD17</t>
  </si>
  <si>
    <t>NAC_CR_1_ROAD17</t>
  </si>
  <si>
    <t>NAC_SV_1_ROAD17</t>
  </si>
  <si>
    <t>NAC_GT_1_ROAD17</t>
  </si>
  <si>
    <t>NAC_HN_1_ROAD17</t>
  </si>
  <si>
    <t>NAC_MX_1_ROAD17</t>
  </si>
  <si>
    <t>NAC_NI_1_ROAD17</t>
  </si>
  <si>
    <t>NAC_PA_1_ROAD17</t>
  </si>
  <si>
    <t>NAC_DO_1_ROAD17</t>
  </si>
  <si>
    <t>NAC_AR_1_ROAD18</t>
  </si>
  <si>
    <t>NAC_BR_1_ROAD18</t>
  </si>
  <si>
    <t>NAC_CL_1_ROAD18</t>
  </si>
  <si>
    <t>NAC_JM_1_ROAD18</t>
  </si>
  <si>
    <t>NAC_PY_1_ROAD18</t>
  </si>
  <si>
    <t>NAC_UY_1_ROAD18</t>
  </si>
  <si>
    <t>NAC_CO_1_ROAD18</t>
  </si>
  <si>
    <t>NAC_GT_1_ROAD18</t>
  </si>
  <si>
    <t>NAC_MX_1_ROAD18</t>
  </si>
  <si>
    <t>NAC_DO_1_ROAD18</t>
  </si>
  <si>
    <t>NAC_AR_1_ROAD19</t>
  </si>
  <si>
    <t>NAC_BB_1_ROAD19</t>
  </si>
  <si>
    <t>NAC_BO_1_ROAD19</t>
  </si>
  <si>
    <t>NAC_BR_1_ROAD19</t>
  </si>
  <si>
    <t>NAC_BS_1_ROAD19</t>
  </si>
  <si>
    <t>NAC_CL_1_ROAD19</t>
  </si>
  <si>
    <t>NAC_EC_1_ROAD19</t>
  </si>
  <si>
    <t>NAC_GY_1_ROAD19</t>
  </si>
  <si>
    <t>NAC_HT_1_ROAD19</t>
  </si>
  <si>
    <t>NAC_JM_1_ROAD19</t>
  </si>
  <si>
    <t>NAC_PE_1_ROAD19</t>
  </si>
  <si>
    <t>NAC_PY_1_ROAD19</t>
  </si>
  <si>
    <t>NAC_SR_1_ROAD19</t>
  </si>
  <si>
    <t>NAC_TT_1_ROAD19</t>
  </si>
  <si>
    <t>NAC_UY_1_ROAD19</t>
  </si>
  <si>
    <t>NAC_VE_1_ROAD19</t>
  </si>
  <si>
    <t>NAC_BZ_1_ROAD19</t>
  </si>
  <si>
    <t>NAC_CO_1_ROAD19</t>
  </si>
  <si>
    <t>NAC_CR_1_ROAD19</t>
  </si>
  <si>
    <t>NAC_SV_1_ROAD19</t>
  </si>
  <si>
    <t>NAC_GT_1_ROAD19</t>
  </si>
  <si>
    <t>NAC_HN_1_ROAD19</t>
  </si>
  <si>
    <t>NAC_MX_1_ROAD19</t>
  </si>
  <si>
    <t>NAC_NI_1_ROAD19</t>
  </si>
  <si>
    <t>NAC_PA_1_ROAD19</t>
  </si>
  <si>
    <t>NAC_DO_1_ROAD19</t>
  </si>
  <si>
    <t>NAC_AR_1_ROAD20</t>
  </si>
  <si>
    <t>NAC_BB_1_ROAD20</t>
  </si>
  <si>
    <t>NAC_BO_1_ROAD20</t>
  </si>
  <si>
    <t>NAC_BR_1_ROAD20</t>
  </si>
  <si>
    <t>NAC_BS_1_ROAD20</t>
  </si>
  <si>
    <t>NAC_CL_1_ROAD20</t>
  </si>
  <si>
    <t>NAC_EC_1_ROAD20</t>
  </si>
  <si>
    <t>NAC_GY_1_ROAD20</t>
  </si>
  <si>
    <t>NAC_HT_1_ROAD20</t>
  </si>
  <si>
    <t>NAC_JM_1_ROAD20</t>
  </si>
  <si>
    <t>NAC_PE_1_ROAD20</t>
  </si>
  <si>
    <t>NAC_PY_1_ROAD20</t>
  </si>
  <si>
    <t>NAC_SR_1_ROAD20</t>
  </si>
  <si>
    <t>NAC_TT_1_ROAD20</t>
  </si>
  <si>
    <t>NAC_UY_1_ROAD20</t>
  </si>
  <si>
    <t>NAC_VE_1_ROAD20</t>
  </si>
  <si>
    <t>NAC_BZ_1_ROAD20</t>
  </si>
  <si>
    <t>NAC_CO_1_ROAD20</t>
  </si>
  <si>
    <t>NAC_CR_1_ROAD20</t>
  </si>
  <si>
    <t>NAC_SV_1_ROAD20</t>
  </si>
  <si>
    <t>NAC_GT_1_ROAD20</t>
  </si>
  <si>
    <t>NAC_HN_1_ROAD20</t>
  </si>
  <si>
    <t>NAC_MX_1_ROAD20</t>
  </si>
  <si>
    <t>NAC_NI_1_ROAD20</t>
  </si>
  <si>
    <t>NAC_PA_1_ROAD20</t>
  </si>
  <si>
    <t>NAC_DO_1_ROAD20</t>
  </si>
  <si>
    <t>NAC_AR_1_ROAD21</t>
  </si>
  <si>
    <t>NAC_BB_1_ROAD21</t>
  </si>
  <si>
    <t>NAC_BO_1_ROAD21</t>
  </si>
  <si>
    <t>NAC_BR_1_ROAD21</t>
  </si>
  <si>
    <t>NAC_BS_1_ROAD21</t>
  </si>
  <si>
    <t>NAC_CL_1_ROAD21</t>
  </si>
  <si>
    <t>NAC_EC_1_ROAD21</t>
  </si>
  <si>
    <t>NAC_GY_1_ROAD21</t>
  </si>
  <si>
    <t>NAC_HT_1_ROAD21</t>
  </si>
  <si>
    <t>NAC_JM_1_ROAD21</t>
  </si>
  <si>
    <t>NAC_PE_1_ROAD21</t>
  </si>
  <si>
    <t>NAC_PY_1_ROAD21</t>
  </si>
  <si>
    <t>NAC_SR_1_ROAD21</t>
  </si>
  <si>
    <t>NAC_UY_1_ROAD21</t>
  </si>
  <si>
    <t>NAC_VE_1_ROAD21</t>
  </si>
  <si>
    <t>NAC_BZ_1_ROAD21</t>
  </si>
  <si>
    <t>NAC_CO_1_ROAD21</t>
  </si>
  <si>
    <t>NAC_CR_1_ROAD21</t>
  </si>
  <si>
    <t>NAC_SV_1_ROAD21</t>
  </si>
  <si>
    <t>NAC_GT_1_ROAD21</t>
  </si>
  <si>
    <t>NAC_HN_1_ROAD21</t>
  </si>
  <si>
    <t>NAC_MX_1_ROAD21</t>
  </si>
  <si>
    <t>NAC_NI_1_ROAD21</t>
  </si>
  <si>
    <t>NAC_PA_1_ROAD21</t>
  </si>
  <si>
    <t>NAC_DO_1_ROAD21</t>
  </si>
  <si>
    <t>NAC_AR_1_ROAD22</t>
  </si>
  <si>
    <t>NAC_BB_1_ROAD22</t>
  </si>
  <si>
    <t>NAC_BO_1_ROAD22</t>
  </si>
  <si>
    <t>NAC_BR_1_ROAD22</t>
  </si>
  <si>
    <t>NAC_BS_1_ROAD22</t>
  </si>
  <si>
    <t>NAC_CL_1_ROAD22</t>
  </si>
  <si>
    <t>NAC_EC_1_ROAD22</t>
  </si>
  <si>
    <t>NAC_GY_1_ROAD22</t>
  </si>
  <si>
    <t>NAC_HT_1_ROAD22</t>
  </si>
  <si>
    <t>NAC_JM_1_ROAD22</t>
  </si>
  <si>
    <t>NAC_PE_1_ROAD22</t>
  </si>
  <si>
    <t>NAC_PY_1_ROAD22</t>
  </si>
  <si>
    <t>NAC_SR_1_ROAD22</t>
  </si>
  <si>
    <t>NAC_UY_1_ROAD22</t>
  </si>
  <si>
    <t>NAC_VE_1_ROAD22</t>
  </si>
  <si>
    <t>NAC_BZ_1_ROAD22</t>
  </si>
  <si>
    <t>NAC_CO_1_ROAD22</t>
  </si>
  <si>
    <t>NAC_CR_1_ROAD22</t>
  </si>
  <si>
    <t>NAC_SV_1_ROAD22</t>
  </si>
  <si>
    <t>NAC_GT_1_ROAD22</t>
  </si>
  <si>
    <t>NAC_HN_1_ROAD22</t>
  </si>
  <si>
    <t>NAC_MX_1_ROAD22</t>
  </si>
  <si>
    <t>NAC_NI_1_ROAD22</t>
  </si>
  <si>
    <t>NAC_PA_1_ROAD22</t>
  </si>
  <si>
    <t>NAC_DO_1_ROAD22</t>
  </si>
  <si>
    <t>NAC_AR_1_ROAD23</t>
  </si>
  <si>
    <t>NAC_BB_1_ROAD23</t>
  </si>
  <si>
    <t>NAC_BO_1_ROAD23</t>
  </si>
  <si>
    <t>NAC_BR_1_ROAD23</t>
  </si>
  <si>
    <t>NAC_BS_1_ROAD23</t>
  </si>
  <si>
    <t>NAC_CL_1_ROAD23</t>
  </si>
  <si>
    <t>NAC_EC_1_ROAD23</t>
  </si>
  <si>
    <t>NAC_GY_1_ROAD23</t>
  </si>
  <si>
    <t>NAC_HT_1_ROAD23</t>
  </si>
  <si>
    <t>NAC_JM_1_ROAD23</t>
  </si>
  <si>
    <t>NAC_PE_1_ROAD23</t>
  </si>
  <si>
    <t>NAC_PY_1_ROAD23</t>
  </si>
  <si>
    <t>NAC_SR_1_ROAD23</t>
  </si>
  <si>
    <t>NAC_TT_1_ROAD23</t>
  </si>
  <si>
    <t>NAC_UY_1_ROAD23</t>
  </si>
  <si>
    <t>NAC_VE_1_ROAD23</t>
  </si>
  <si>
    <t>NAC_BZ_1_ROAD23</t>
  </si>
  <si>
    <t>NAC_CO_1_ROAD23</t>
  </si>
  <si>
    <t>NAC_CR_1_ROAD23</t>
  </si>
  <si>
    <t>NAC_SV_1_ROAD23</t>
  </si>
  <si>
    <t>NAC_GT_1_ROAD23</t>
  </si>
  <si>
    <t>NAC_HN_1_ROAD23</t>
  </si>
  <si>
    <t>NAC_MX_1_ROAD23</t>
  </si>
  <si>
    <t>NAC_NI_1_ROAD23</t>
  </si>
  <si>
    <t>NAC_PA_1_ROAD23</t>
  </si>
  <si>
    <t>NAC_DO_1_ROAD23</t>
  </si>
  <si>
    <t>NAC_AR_1_ROAD24</t>
  </si>
  <si>
    <t>NAC_BR_1_ROAD24</t>
  </si>
  <si>
    <t>NAC_PY_1_ROAD24</t>
  </si>
  <si>
    <t>NAC_UY_1_ROAD24</t>
  </si>
  <si>
    <t>NAC_BZ_1_ROAD24</t>
  </si>
  <si>
    <t>NAC_CO_1_ROAD24</t>
  </si>
  <si>
    <t>NAC_CR_1_ROAD24</t>
  </si>
  <si>
    <t>NAC_SV_1_ROAD24</t>
  </si>
  <si>
    <t>NAC_GT_1_ROAD24</t>
  </si>
  <si>
    <t>NAC_HN_1_ROAD24</t>
  </si>
  <si>
    <t>NAC_MX_1_ROAD24</t>
  </si>
  <si>
    <t>NAC_NI_1_ROAD24</t>
  </si>
  <si>
    <t>NAC_PA_1_ROAD24</t>
  </si>
  <si>
    <t>NAC_AR_1_ROAD25</t>
  </si>
  <si>
    <t>NAC_BR_1_ROAD25</t>
  </si>
  <si>
    <t>NAC_CL_1_ROAD25</t>
  </si>
  <si>
    <t>NAC_PY_1_ROAD25</t>
  </si>
  <si>
    <t>NAC_UY_1_ROAD25</t>
  </si>
  <si>
    <t>NAC_BZ_1_ROAD25</t>
  </si>
  <si>
    <t>NAC_CO_1_ROAD25</t>
  </si>
  <si>
    <t>NAC_CR_1_ROAD25</t>
  </si>
  <si>
    <t>NAC_SV_1_ROAD25</t>
  </si>
  <si>
    <t>NAC_GT_1_ROAD25</t>
  </si>
  <si>
    <t>NAC_HN_1_ROAD25</t>
  </si>
  <si>
    <t>NAC_MX_1_ROAD25</t>
  </si>
  <si>
    <t>NAC_NI_1_ROAD25</t>
  </si>
  <si>
    <t>NAC_PA_1_ROAD25</t>
  </si>
  <si>
    <t>NAC_AR_1_ROAD26</t>
  </si>
  <si>
    <t>NAC_BR_1_ROAD26</t>
  </si>
  <si>
    <t>NAC_GY_1_ROAD26</t>
  </si>
  <si>
    <t>NAC_PY_1_ROAD26</t>
  </si>
  <si>
    <t>NAC_UY_1_ROAD26</t>
  </si>
  <si>
    <t>NAC_BZ_1_ROAD26</t>
  </si>
  <si>
    <t>NAC_CO_1_ROAD26</t>
  </si>
  <si>
    <t>NAC_CR_1_ROAD26</t>
  </si>
  <si>
    <t>NAC_SV_1_ROAD26</t>
  </si>
  <si>
    <t>NAC_GT_1_ROAD26</t>
  </si>
  <si>
    <t>NAC_HN_1_ROAD26</t>
  </si>
  <si>
    <t>NAC_MX_1_ROAD26</t>
  </si>
  <si>
    <t>NAC_NI_1_ROAD26</t>
  </si>
  <si>
    <t>NAC_PA_1_ROAD26</t>
  </si>
  <si>
    <t>NAC_BR_1_ROAD27</t>
  </si>
  <si>
    <t>NAC_PY_1_ROAD27</t>
  </si>
  <si>
    <t>NAC_UY_1_ROAD27</t>
  </si>
  <si>
    <t>NAC_BZ_1_ROAD27</t>
  </si>
  <si>
    <t>NAC_CO_1_ROAD27</t>
  </si>
  <si>
    <t>NAC_CR_1_ROAD27</t>
  </si>
  <si>
    <t>NAC_SV_1_ROAD27</t>
  </si>
  <si>
    <t>NAC_GT_1_ROAD27</t>
  </si>
  <si>
    <t>NAC_HN_1_ROAD27</t>
  </si>
  <si>
    <t>NAC_MX_1_ROAD27</t>
  </si>
  <si>
    <t>NAC_NI_1_ROAD27</t>
  </si>
  <si>
    <t>NAC_PA_1_ROAD27</t>
  </si>
  <si>
    <t>NAC_AR_1_ROAD29</t>
  </si>
  <si>
    <t>NAC_BR_1_ROAD29</t>
  </si>
  <si>
    <t>NAC_EC_1_ROAD29</t>
  </si>
  <si>
    <t>NAC_GY_1_ROAD29</t>
  </si>
  <si>
    <t>NAC_PE_1_ROAD29</t>
  </si>
  <si>
    <t>NAC_PY_1_ROAD29</t>
  </si>
  <si>
    <t>NAC_UY_1_ROAD29</t>
  </si>
  <si>
    <t>NAC_BZ_1_ROAD29</t>
  </si>
  <si>
    <t>NAC_CO_1_ROAD29</t>
  </si>
  <si>
    <t>NAC_CR_1_ROAD29</t>
  </si>
  <si>
    <t>NAC_SV_1_ROAD29</t>
  </si>
  <si>
    <t>NAC_GT_1_ROAD29</t>
  </si>
  <si>
    <t>NAC_HN_1_ROAD29</t>
  </si>
  <si>
    <t>NAC_MX_1_ROAD29</t>
  </si>
  <si>
    <t>NAC_NI_1_ROAD29</t>
  </si>
  <si>
    <t>NAC_PA_1_ROAD29</t>
  </si>
  <si>
    <t>NAC_DO_1_ROAD29</t>
  </si>
  <si>
    <t>NAC_AR_1_ROAD30</t>
  </si>
  <si>
    <t>NAC_BR_1_ROAD30</t>
  </si>
  <si>
    <t>NAC_PY_1_ROAD30</t>
  </si>
  <si>
    <t>NAC_UY_1_ROAD30</t>
  </si>
  <si>
    <t>NAC_CO_1_ROAD30</t>
  </si>
  <si>
    <t>NAC_CR_1_ROAD30</t>
  </si>
  <si>
    <t>NAC_SV_1_ROAD30</t>
  </si>
  <si>
    <t>NAC_GT_1_ROAD30</t>
  </si>
  <si>
    <t>NAC_MX_1_ROAD30</t>
  </si>
  <si>
    <t>NAC_DO_1_ROAD30</t>
  </si>
  <si>
    <t>NAC_AR_1_ROAD32</t>
  </si>
  <si>
    <t>NAC_BB_1_ROAD32</t>
  </si>
  <si>
    <t>NAC_BO_1_ROAD32</t>
  </si>
  <si>
    <t>NAC_BR_1_ROAD32</t>
  </si>
  <si>
    <t>NAC_BS_1_ROAD32</t>
  </si>
  <si>
    <t>NAC_CL_1_ROAD32</t>
  </si>
  <si>
    <t>NAC_EC_1_ROAD32</t>
  </si>
  <si>
    <t>NAC_GY_1_ROAD32</t>
  </si>
  <si>
    <t>NAC_HT_1_ROAD32</t>
  </si>
  <si>
    <t>NAC_JM_1_ROAD32</t>
  </si>
  <si>
    <t>NAC_PE_1_ROAD32</t>
  </si>
  <si>
    <t>NAC_SR_1_ROAD32</t>
  </si>
  <si>
    <t>NAC_TT_1_ROAD32</t>
  </si>
  <si>
    <t>NAC_UY_1_ROAD32</t>
  </si>
  <si>
    <t>NAC_VE_1_ROAD32</t>
  </si>
  <si>
    <t>NAC_BZ_1_ROAD32</t>
  </si>
  <si>
    <t>NAC_CO_1_ROAD32</t>
  </si>
  <si>
    <t>NAC_CR_1_ROAD32</t>
  </si>
  <si>
    <t>NAC_SV_1_ROAD32</t>
  </si>
  <si>
    <t>NAC_GT_1_ROAD32</t>
  </si>
  <si>
    <t>NAC_HN_1_ROAD32</t>
  </si>
  <si>
    <t>NAC_MX_1_ROAD32</t>
  </si>
  <si>
    <t>NAC_NI_1_ROAD32</t>
  </si>
  <si>
    <t>NAC_PA_1_ROAD32</t>
  </si>
  <si>
    <t>NAC_DO_1_ROAD32</t>
  </si>
  <si>
    <t>NAC_AR_1_RAIL01</t>
  </si>
  <si>
    <t>NAC_BO_1_RAIL01</t>
  </si>
  <si>
    <t>NAC_BR_1_RAIL01</t>
  </si>
  <si>
    <t>NAC_CL_1_RAIL01</t>
  </si>
  <si>
    <t>NAC_EC_1_RAIL01</t>
  </si>
  <si>
    <t>NAC_GY_1_RAIL01</t>
  </si>
  <si>
    <t>NAC_JM_1_RAIL01</t>
  </si>
  <si>
    <t>NAC_PE_1_RAIL01</t>
  </si>
  <si>
    <t>NAC_UY_1_RAIL01</t>
  </si>
  <si>
    <t>NAC_CO_1_RAIL01</t>
  </si>
  <si>
    <t>NAC_CR_1_RAIL01</t>
  </si>
  <si>
    <t>NAC_SV_1_RAIL01</t>
  </si>
  <si>
    <t>NAC_MX_1_RAIL01</t>
  </si>
  <si>
    <t>NAC_PA_1_RAIL01</t>
  </si>
  <si>
    <t>NAC_UY_1_RAIL02</t>
  </si>
  <si>
    <t>NAC_MX_1_RAIL02</t>
  </si>
  <si>
    <t>NAC_AR_1_RAIL04</t>
  </si>
  <si>
    <t>NAC_BO_1_RAIL04</t>
  </si>
  <si>
    <t>NAC_BR_1_RAIL04</t>
  </si>
  <si>
    <t>NAC_CL_1_RAIL04</t>
  </si>
  <si>
    <t>NAC_JM_1_RAIL04</t>
  </si>
  <si>
    <t>NAC_PE_1_RAIL04</t>
  </si>
  <si>
    <t>NAC_UY_1_RAIL04</t>
  </si>
  <si>
    <t>NAC_CO_1_RAIL04</t>
  </si>
  <si>
    <t>NAC_SV_1_RAIL04</t>
  </si>
  <si>
    <t>NAC_MX_1_RAIL04</t>
  </si>
  <si>
    <t>NAC_PA_1_RAIL04</t>
  </si>
  <si>
    <t>NAC_PE_1_RAIL05</t>
  </si>
  <si>
    <t>NAC_PA_1_RAIL05</t>
  </si>
  <si>
    <t>NAC_BR_1_RAIL06</t>
  </si>
  <si>
    <t>NAC_JM_1_RAIL06</t>
  </si>
  <si>
    <t>NAC_PE_1_RAIL06</t>
  </si>
  <si>
    <t>NAC_UY_1_RAIL06</t>
  </si>
  <si>
    <t>NAC_MX_1_RAIL06</t>
  </si>
  <si>
    <t>NAC_PA_1_RAIL06</t>
  </si>
  <si>
    <t>NAC_AR_1_RAIL07</t>
  </si>
  <si>
    <t>NAC_BO_1_RAIL07</t>
  </si>
  <si>
    <t>NAC_BR_1_RAIL07</t>
  </si>
  <si>
    <t>NAC_CL_1_RAIL07</t>
  </si>
  <si>
    <t>NAC_PE_1_RAIL07</t>
  </si>
  <si>
    <t>NAC_UY_1_RAIL07</t>
  </si>
  <si>
    <t>NAC_CO_1_RAIL07</t>
  </si>
  <si>
    <t>NAC_MX_1_RAIL07</t>
  </si>
  <si>
    <t>NAC_PA_1_RAIL07</t>
  </si>
  <si>
    <t>NAC_MX_1_RAIL08</t>
  </si>
  <si>
    <t>NAC_AR_1_RAIL10</t>
  </si>
  <si>
    <t>NAC_BO_1_RAIL10</t>
  </si>
  <si>
    <t>NAC_BR_1_RAIL10</t>
  </si>
  <si>
    <t>NAC_CL_1_RAIL10</t>
  </si>
  <si>
    <t>NAC_JM_1_RAIL10</t>
  </si>
  <si>
    <t>NAC_PE_1_RAIL10</t>
  </si>
  <si>
    <t>NAC_UY_1_RAIL10</t>
  </si>
  <si>
    <t>NAC_VE_1_RAIL10</t>
  </si>
  <si>
    <t>NAC_CO_1_RAIL10</t>
  </si>
  <si>
    <t>NAC_CR_1_RAIL10</t>
  </si>
  <si>
    <t>NAC_MX_1_RAIL10</t>
  </si>
  <si>
    <t>NAC_PA_1_RAIL10</t>
  </si>
  <si>
    <t>NAC_AR_1_RAIL11</t>
  </si>
  <si>
    <t>NAC_BO_1_RAIL11</t>
  </si>
  <si>
    <t>NAC_BR_1_RAIL11</t>
  </si>
  <si>
    <t>NAC_CL_1_RAIL11</t>
  </si>
  <si>
    <t>NAC_JM_1_RAIL11</t>
  </si>
  <si>
    <t>NAC_UY_1_RAIL11</t>
  </si>
  <si>
    <t>NAC_MX_1_RAIL11</t>
  </si>
  <si>
    <t>NAC_AR_1_RAIL12</t>
  </si>
  <si>
    <t>NAC_BR_1_RAIL12</t>
  </si>
  <si>
    <t>NAC_UY_1_RAIL12</t>
  </si>
  <si>
    <t>NAC_MX_1_RAIL12</t>
  </si>
  <si>
    <t>NAC_UY_1_RAIL14</t>
  </si>
  <si>
    <t>NAC_AR_1_RAIL15</t>
  </si>
  <si>
    <t>NAC_BO_1_RAIL15</t>
  </si>
  <si>
    <t>NAC_BR_1_RAIL15</t>
  </si>
  <si>
    <t>NAC_CL_1_RAIL15</t>
  </si>
  <si>
    <t>NAC_PE_1_RAIL15</t>
  </si>
  <si>
    <t>NAC_UY_1_RAIL15</t>
  </si>
  <si>
    <t>NAC_CO_1_RAIL15</t>
  </si>
  <si>
    <t>NAC_CR_1_RAIL15</t>
  </si>
  <si>
    <t>NAC_MX_1_RAIL15</t>
  </si>
  <si>
    <t>NAC_AR_1_RAIL16</t>
  </si>
  <si>
    <t>NAC_BO_1_RAIL16</t>
  </si>
  <si>
    <t>NAC_BR_1_RAIL16</t>
  </si>
  <si>
    <t>NAC_CL_1_RAIL16</t>
  </si>
  <si>
    <t>NAC_PE_1_RAIL16</t>
  </si>
  <si>
    <t>NAC_UY_1_RAIL16</t>
  </si>
  <si>
    <t>NAC_CO_1_RAIL16</t>
  </si>
  <si>
    <t>NAC_CR_1_RAIL16</t>
  </si>
  <si>
    <t>NAC_MX_1_RAIL16</t>
  </si>
  <si>
    <t>NAC_AR_1_RAIL17</t>
  </si>
  <si>
    <t>NAC_BO_1_RAIL17</t>
  </si>
  <si>
    <t>NAC_BR_1_RAIL17</t>
  </si>
  <si>
    <t>NAC_CL_1_RAIL17</t>
  </si>
  <si>
    <t>NAC_PE_1_RAIL17</t>
  </si>
  <si>
    <t>NAC_UY_1_RAIL17</t>
  </si>
  <si>
    <t>NAC_CO_1_RAIL17</t>
  </si>
  <si>
    <t>NAC_MX_1_RAIL17</t>
  </si>
  <si>
    <t>NAC_AR_1_RAIL18</t>
  </si>
  <si>
    <t>NAC_BO_1_RAIL18</t>
  </si>
  <si>
    <t>NAC_BR_1_RAIL18</t>
  </si>
  <si>
    <t>NAC_CL_1_RAIL18</t>
  </si>
  <si>
    <t>NAC_PE_1_RAIL18</t>
  </si>
  <si>
    <t>NAC_UY_1_RAIL18</t>
  </si>
  <si>
    <t>NAC_CO_1_RAIL18</t>
  </si>
  <si>
    <t>NAC_MX_1_RAIL18</t>
  </si>
  <si>
    <t>NAC_AR_1_RAIL19</t>
  </si>
  <si>
    <t>NAC_BO_1_RAIL19</t>
  </si>
  <si>
    <t>NAC_BR_1_RAIL19</t>
  </si>
  <si>
    <t>NAC_CL_1_RAIL19</t>
  </si>
  <si>
    <t>NAC_PE_1_RAIL19</t>
  </si>
  <si>
    <t>NAC_UY_1_RAIL19</t>
  </si>
  <si>
    <t>NAC_MX_1_RAIL19</t>
  </si>
  <si>
    <t>NAC_AR_1_AIR01</t>
  </si>
  <si>
    <t>NAC_BB_1_AIR01</t>
  </si>
  <si>
    <t>NAC_BO_1_AIR01</t>
  </si>
  <si>
    <t>NAC_BR_1_AIR01</t>
  </si>
  <si>
    <t>NAC_BS_1_AIR01</t>
  </si>
  <si>
    <t>NAC_CL_1_AIR01</t>
  </si>
  <si>
    <t>NAC_EC_1_AIR01</t>
  </si>
  <si>
    <t>NAC_GY_1_AIR01</t>
  </si>
  <si>
    <t>NAC_HT_1_AIR01</t>
  </si>
  <si>
    <t>NAC_JM_1_AIR01</t>
  </si>
  <si>
    <t>NAC_PE_1_AIR01</t>
  </si>
  <si>
    <t>NAC_PY_1_AIR01</t>
  </si>
  <si>
    <t>NAC_SR_1_AIR01</t>
  </si>
  <si>
    <t>NAC_TT_1_AIR01</t>
  </si>
  <si>
    <t>NAC_UY_1_AIR01</t>
  </si>
  <si>
    <t>NAC_VE_1_AIR01</t>
  </si>
  <si>
    <t>NAC_BZ_1_AIR01</t>
  </si>
  <si>
    <t>NAC_CO_1_AIR01</t>
  </si>
  <si>
    <t>NAC_CR_1_AIR01</t>
  </si>
  <si>
    <t>NAC_SV_1_AIR01</t>
  </si>
  <si>
    <t>NAC_GT_1_AIR01</t>
  </si>
  <si>
    <t>NAC_HN_1_AIR01</t>
  </si>
  <si>
    <t>NAC_MX_1_AIR01</t>
  </si>
  <si>
    <t>NAC_NI_1_AIR01</t>
  </si>
  <si>
    <t>NAC_PA_1_AIR01</t>
  </si>
  <si>
    <t>NAC_DO_1_AIR01</t>
  </si>
  <si>
    <t>NAC_AR_1_AIR02</t>
  </si>
  <si>
    <t>NAC_BB_1_AIR02</t>
  </si>
  <si>
    <t>NAC_BO_1_AIR02</t>
  </si>
  <si>
    <t>NAC_BR_1_AIR02</t>
  </si>
  <si>
    <t>NAC_EC_1_AIR02</t>
  </si>
  <si>
    <t>NAC_JM_1_AIR02</t>
  </si>
  <si>
    <t>NAC_PE_1_AIR02</t>
  </si>
  <si>
    <t>NAC_BZ_1_AIR02</t>
  </si>
  <si>
    <t>NAC_CO_1_AIR02</t>
  </si>
  <si>
    <t>NAC_CR_1_AIR02</t>
  </si>
  <si>
    <t>NAC_SV_1_AIR02</t>
  </si>
  <si>
    <t>NAC_GT_1_AIR02</t>
  </si>
  <si>
    <t>NAC_HN_1_AIR02</t>
  </si>
  <si>
    <t>NAC_MX_1_AIR02</t>
  </si>
  <si>
    <t>NAC_PA_1_AIR02</t>
  </si>
  <si>
    <t>NAC_DO_1_AIR02</t>
  </si>
  <si>
    <t>NAC_AR_1_AIR03</t>
  </si>
  <si>
    <t>NAC_BB_1_AIR03</t>
  </si>
  <si>
    <t>NAC_BO_1_AIR03</t>
  </si>
  <si>
    <t>NAC_BR_1_AIR03</t>
  </si>
  <si>
    <t>NAC_EC_1_AIR03</t>
  </si>
  <si>
    <t>NAC_JM_1_AIR03</t>
  </si>
  <si>
    <t>NAC_PE_1_AIR03</t>
  </si>
  <si>
    <t>NAC_PY_1_AIR03</t>
  </si>
  <si>
    <t>NAC_UY_1_AIR03</t>
  </si>
  <si>
    <t>NAC_CO_1_AIR03</t>
  </si>
  <si>
    <t>NAC_CR_1_AIR03</t>
  </si>
  <si>
    <t>NAC_SV_1_AIR03</t>
  </si>
  <si>
    <t>NAC_GT_1_AIR03</t>
  </si>
  <si>
    <t>NAC_HN_1_AIR03</t>
  </si>
  <si>
    <t>NAC_MX_1_AIR03</t>
  </si>
  <si>
    <t>NAC_PA_1_AIR03</t>
  </si>
  <si>
    <t>NAC_DO_1_AIR03</t>
  </si>
  <si>
    <t>NAC_AR_1_AIR04</t>
  </si>
  <si>
    <t>NAC_BB_1_AIR04</t>
  </si>
  <si>
    <t>NAC_BO_1_AIR04</t>
  </si>
  <si>
    <t>NAC_BR_1_AIR04</t>
  </si>
  <si>
    <t>NAC_EC_1_AIR04</t>
  </si>
  <si>
    <t>NAC_JM_1_AIR04</t>
  </si>
  <si>
    <t>NAC_PY_1_AIR04</t>
  </si>
  <si>
    <t>NAC_UY_1_AIR04</t>
  </si>
  <si>
    <t>NAC_CO_1_AIR04</t>
  </si>
  <si>
    <t>NAC_CR_1_AIR04</t>
  </si>
  <si>
    <t>NAC_SV_1_AIR04</t>
  </si>
  <si>
    <t>NAC_GT_1_AIR04</t>
  </si>
  <si>
    <t>NAC_HN_1_AIR04</t>
  </si>
  <si>
    <t>NAC_MX_1_AIR04</t>
  </si>
  <si>
    <t>NAC_PA_1_AIR04</t>
  </si>
  <si>
    <t>NAC_DO_1_AIR04</t>
  </si>
  <si>
    <t>NAC_AR_1_AIR05</t>
  </si>
  <si>
    <t>NAC_BR_1_AIR05</t>
  </si>
  <si>
    <t>NAC_CL_1_AIR05</t>
  </si>
  <si>
    <t>NAC_EC_1_AIR05</t>
  </si>
  <si>
    <t>NAC_GY_1_AIR05</t>
  </si>
  <si>
    <t>NAC_PE_1_AIR05</t>
  </si>
  <si>
    <t>NAC_CO_1_AIR05</t>
  </si>
  <si>
    <t>NAC_HN_1_AIR05</t>
  </si>
  <si>
    <t>NAC_MX_1_AIR05</t>
  </si>
  <si>
    <t>NAC_NI_1_AIR05</t>
  </si>
  <si>
    <t>NAC_PA_1_AIR05</t>
  </si>
  <si>
    <t>NAC_AR_1_AIR06</t>
  </si>
  <si>
    <t>NAC_BB_1_AIR06</t>
  </si>
  <si>
    <t>NAC_BO_1_AIR06</t>
  </si>
  <si>
    <t>NAC_BR_1_AIR06</t>
  </si>
  <si>
    <t>NAC_BS_1_AIR06</t>
  </si>
  <si>
    <t>NAC_CL_1_AIR06</t>
  </si>
  <si>
    <t>NAC_EC_1_AIR06</t>
  </si>
  <si>
    <t>NAC_GY_1_AIR06</t>
  </si>
  <si>
    <t>NAC_JM_1_AIR06</t>
  </si>
  <si>
    <t>NAC_PE_1_AIR06</t>
  </si>
  <si>
    <t>NAC_PY_1_AIR06</t>
  </si>
  <si>
    <t>NAC_SR_1_AIR06</t>
  </si>
  <si>
    <t>NAC_TT_1_AIR06</t>
  </si>
  <si>
    <t>NAC_UY_1_AIR06</t>
  </si>
  <si>
    <t>NAC_VE_1_AIR06</t>
  </si>
  <si>
    <t>NAC_BZ_1_AIR06</t>
  </si>
  <si>
    <t>NAC_CO_1_AIR06</t>
  </si>
  <si>
    <t>NAC_CR_1_AIR06</t>
  </si>
  <si>
    <t>NAC_SV_1_AIR06</t>
  </si>
  <si>
    <t>NAC_GT_1_AIR06</t>
  </si>
  <si>
    <t>NAC_HN_1_AIR06</t>
  </si>
  <si>
    <t>NAC_MX_1_AIR06</t>
  </si>
  <si>
    <t>NAC_NI_1_AIR06</t>
  </si>
  <si>
    <t>NAC_PA_1_AIR06</t>
  </si>
  <si>
    <t>NAC_DO_1_AIR06</t>
  </si>
  <si>
    <t>NAC_BR_1_AIR07</t>
  </si>
  <si>
    <t>NAC_CO_1_AIR07</t>
  </si>
  <si>
    <t>NAC_AR_1_WATER01</t>
  </si>
  <si>
    <t>NAC_BB_1_WATER01</t>
  </si>
  <si>
    <t>NAC_BR_1_WATER01</t>
  </si>
  <si>
    <t>NAC_BS_1_WATER01</t>
  </si>
  <si>
    <t>NAC_CL_1_WATER01</t>
  </si>
  <si>
    <t>NAC_EC_1_WATER01</t>
  </si>
  <si>
    <t>NAC_GY_1_WATER01</t>
  </si>
  <si>
    <t>NAC_HT_1_WATER01</t>
  </si>
  <si>
    <t>NAC_JM_1_WATER01</t>
  </si>
  <si>
    <t>NAC_PE_1_WATER01</t>
  </si>
  <si>
    <t>NAC_SR_1_WATER01</t>
  </si>
  <si>
    <t>NAC_TT_1_WATER01</t>
  </si>
  <si>
    <t>NAC_UY_1_WATER01</t>
  </si>
  <si>
    <t>NAC_VE_1_WATER01</t>
  </si>
  <si>
    <t>NAC_BZ_1_WATER01</t>
  </si>
  <si>
    <t>NAC_CO_1_WATER01</t>
  </si>
  <si>
    <t>NAC_CR_1_WATER01</t>
  </si>
  <si>
    <t>NAC_SV_1_WATER01</t>
  </si>
  <si>
    <t>NAC_GT_1_WATER01</t>
  </si>
  <si>
    <t>NAC_HN_1_WATER01</t>
  </si>
  <si>
    <t>NAC_MX_1_WATER01</t>
  </si>
  <si>
    <t>NAC_NI_1_WATER01</t>
  </si>
  <si>
    <t>NAC_PA_1_WATER01</t>
  </si>
  <si>
    <t>NAC_DO_1_WATER01</t>
  </si>
  <si>
    <t>NAC_AR_1_WATER02</t>
  </si>
  <si>
    <t>NAC_BB_1_WATER02</t>
  </si>
  <si>
    <t>NAC_BR_1_WATER02</t>
  </si>
  <si>
    <t>NAC_BS_1_WATER02</t>
  </si>
  <si>
    <t>NAC_CL_1_WATER02</t>
  </si>
  <si>
    <t>NAC_EC_1_WATER02</t>
  </si>
  <si>
    <t>NAC_GY_1_WATER02</t>
  </si>
  <si>
    <t>NAC_HT_1_WATER02</t>
  </si>
  <si>
    <t>NAC_JM_1_WATER02</t>
  </si>
  <si>
    <t>NAC_PE_1_WATER02</t>
  </si>
  <si>
    <t>NAC_PY_1_WATER02</t>
  </si>
  <si>
    <t>NAC_SR_1_WATER02</t>
  </si>
  <si>
    <t>NAC_TT_1_WATER02</t>
  </si>
  <si>
    <t>NAC_UY_1_WATER02</t>
  </si>
  <si>
    <t>NAC_VE_1_WATER02</t>
  </si>
  <si>
    <t>NAC_BZ_1_WATER02</t>
  </si>
  <si>
    <t>NAC_CO_1_WATER02</t>
  </si>
  <si>
    <t>NAC_CR_1_WATER02</t>
  </si>
  <si>
    <t>NAC_SV_1_WATER02</t>
  </si>
  <si>
    <t>NAC_GT_1_WATER02</t>
  </si>
  <si>
    <t>NAC_HN_1_WATER02</t>
  </si>
  <si>
    <t>NAC_MX_1_WATER02</t>
  </si>
  <si>
    <t>NAC_NI_1_WATER02</t>
  </si>
  <si>
    <t>NAC_PA_1_WATER02</t>
  </si>
  <si>
    <t>NAC_DO_1_WATER02</t>
  </si>
  <si>
    <t>NAC_AR_1_WATER03</t>
  </si>
  <si>
    <t>NAC_BB_1_WATER03</t>
  </si>
  <si>
    <t>NAC_BR_1_WATER03</t>
  </si>
  <si>
    <t>NAC_BS_1_WATER03</t>
  </si>
  <si>
    <t>NAC_CL_1_WATER03</t>
  </si>
  <si>
    <t>NAC_EC_1_WATER03</t>
  </si>
  <si>
    <t>NAC_HT_1_WATER03</t>
  </si>
  <si>
    <t>NAC_JM_1_WATER03</t>
  </si>
  <si>
    <t>NAC_PE_1_WATER03</t>
  </si>
  <si>
    <t>NAC_PY_1_WATER03</t>
  </si>
  <si>
    <t>NAC_SR_1_WATER03</t>
  </si>
  <si>
    <t>NAC_TT_1_WATER03</t>
  </si>
  <si>
    <t>NAC_UY_1_WATER03</t>
  </si>
  <si>
    <t>NAC_VE_1_WATER03</t>
  </si>
  <si>
    <t>NAC_BZ_1_WATER03</t>
  </si>
  <si>
    <t>NAC_CO_1_WATER03</t>
  </si>
  <si>
    <t>NAC_CR_1_WATER03</t>
  </si>
  <si>
    <t>NAC_SV_1_WATER03</t>
  </si>
  <si>
    <t>NAC_GT_1_WATER03</t>
  </si>
  <si>
    <t>NAC_HN_1_WATER03</t>
  </si>
  <si>
    <t>NAC_MX_1_WATER03</t>
  </si>
  <si>
    <t>NAC_NI_1_WATER03</t>
  </si>
  <si>
    <t>NAC_PA_1_WATER03</t>
  </si>
  <si>
    <t>NAC_DO_1_WATER03</t>
  </si>
  <si>
    <t>NAC_AR_1_WATER04</t>
  </si>
  <si>
    <t>NAC_BB_1_WATER04</t>
  </si>
  <si>
    <t>NAC_BR_1_WATER04</t>
  </si>
  <si>
    <t>NAC_BS_1_WATER04</t>
  </si>
  <si>
    <t>NAC_CL_1_WATER04</t>
  </si>
  <si>
    <t>NAC_EC_1_WATER04</t>
  </si>
  <si>
    <t>NAC_GY_1_WATER04</t>
  </si>
  <si>
    <t>NAC_JM_1_WATER04</t>
  </si>
  <si>
    <t>NAC_PE_1_WATER04</t>
  </si>
  <si>
    <t>NAC_PY_1_WATER04</t>
  </si>
  <si>
    <t>NAC_SR_1_WATER04</t>
  </si>
  <si>
    <t>NAC_TT_1_WATER04</t>
  </si>
  <si>
    <t>NAC_UY_1_WATER04</t>
  </si>
  <si>
    <t>NAC_VE_1_WATER04</t>
  </si>
  <si>
    <t>NAC_BZ_1_WATER04</t>
  </si>
  <si>
    <t>NAC_CO_1_WATER04</t>
  </si>
  <si>
    <t>NAC_CR_1_WATER04</t>
  </si>
  <si>
    <t>NAC_SV_1_WATER04</t>
  </si>
  <si>
    <t>NAC_GT_1_WATER04</t>
  </si>
  <si>
    <t>NAC_HN_1_WATER04</t>
  </si>
  <si>
    <t>NAC_MX_1_WATER04</t>
  </si>
  <si>
    <t>NAC_NI_1_WATER04</t>
  </si>
  <si>
    <t>NAC_PA_1_WATER04</t>
  </si>
  <si>
    <t>NAC_DO_1_WATER04</t>
  </si>
  <si>
    <t>NAC_AR_1_WATER05</t>
  </si>
  <si>
    <t>NAC_BB_1_WATER05</t>
  </si>
  <si>
    <t>NAC_BO_1_WATER05</t>
  </si>
  <si>
    <t>NAC_BR_1_WATER05</t>
  </si>
  <si>
    <t>NAC_BS_1_WATER05</t>
  </si>
  <si>
    <t>NAC_CL_1_WATER05</t>
  </si>
  <si>
    <t>NAC_EC_1_WATER05</t>
  </si>
  <si>
    <t>NAC_GY_1_WATER05</t>
  </si>
  <si>
    <t>NAC_HT_1_WATER05</t>
  </si>
  <si>
    <t>NAC_JM_1_WATER05</t>
  </si>
  <si>
    <t>NAC_PE_1_WATER05</t>
  </si>
  <si>
    <t>NAC_PY_1_WATER05</t>
  </si>
  <si>
    <t>NAC_SR_1_WATER05</t>
  </si>
  <si>
    <t>NAC_TT_1_WATER05</t>
  </si>
  <si>
    <t>NAC_UY_1_WATER05</t>
  </si>
  <si>
    <t>NAC_VE_1_WATER05</t>
  </si>
  <si>
    <t>NAC_BZ_1_WATER05</t>
  </si>
  <si>
    <t>NAC_CO_1_WATER05</t>
  </si>
  <si>
    <t>NAC_CR_1_WATER05</t>
  </si>
  <si>
    <t>NAC_SV_1_WATER05</t>
  </si>
  <si>
    <t>NAC_GT_1_WATER05</t>
  </si>
  <si>
    <t>NAC_HN_1_WATER05</t>
  </si>
  <si>
    <t>NAC_MX_1_WATER05</t>
  </si>
  <si>
    <t>NAC_NI_1_WATER05</t>
  </si>
  <si>
    <t>NAC_PA_1_WATER05</t>
  </si>
  <si>
    <t>NAC_DO_1_WATER05</t>
  </si>
  <si>
    <t>NAC_BB_1_WATER06</t>
  </si>
  <si>
    <t>NAC_BR_1_WATER06</t>
  </si>
  <si>
    <t>NAC_CL_1_WATER06</t>
  </si>
  <si>
    <t>NAC_GY_1_WATER06</t>
  </si>
  <si>
    <t>NAC_HT_1_WATER06</t>
  </si>
  <si>
    <t>NAC_JM_1_WATER06</t>
  </si>
  <si>
    <t>NAC_PE_1_WATER06</t>
  </si>
  <si>
    <t>NAC_PY_1_WATER06</t>
  </si>
  <si>
    <t>NAC_SR_1_WATER06</t>
  </si>
  <si>
    <t>NAC_UY_1_WATER06</t>
  </si>
  <si>
    <t>NAC_BZ_1_WATER06</t>
  </si>
  <si>
    <t>NAC_CO_1_WATER06</t>
  </si>
  <si>
    <t>NAC_CR_1_WATER06</t>
  </si>
  <si>
    <t>NAC_SV_1_WATER06</t>
  </si>
  <si>
    <t>NAC_GT_1_WATER06</t>
  </si>
  <si>
    <t>NAC_HN_1_WATER06</t>
  </si>
  <si>
    <t>NAC_MX_1_WATER06</t>
  </si>
  <si>
    <t>NAC_NI_1_WATER06</t>
  </si>
  <si>
    <t>NAC_PA_1_WATER06</t>
  </si>
  <si>
    <t>NAC_DO_1_WATER06</t>
  </si>
  <si>
    <t>NAC_AR_1_WATER07</t>
  </si>
  <si>
    <t>NAC_BB_1_WATER07</t>
  </si>
  <si>
    <t>NAC_BO_1_WATER07</t>
  </si>
  <si>
    <t>NAC_BR_1_WATER07</t>
  </si>
  <si>
    <t>NAC_CL_1_WATER07</t>
  </si>
  <si>
    <t>NAC_EC_1_WATER07</t>
  </si>
  <si>
    <t>NAC_GY_1_WATER07</t>
  </si>
  <si>
    <t>NAC_HT_1_WATER07</t>
  </si>
  <si>
    <t>NAC_JM_1_WATER07</t>
  </si>
  <si>
    <t>NAC_PE_1_WATER07</t>
  </si>
  <si>
    <t>NAC_PY_1_WATER07</t>
  </si>
  <si>
    <t>NAC_SR_1_WATER07</t>
  </si>
  <si>
    <t>NAC_UY_1_WATER07</t>
  </si>
  <si>
    <t>NAC_CO_1_WATER07</t>
  </si>
  <si>
    <t>NAC_CR_1_WATER07</t>
  </si>
  <si>
    <t>NAC_SV_1_WATER07</t>
  </si>
  <si>
    <t>NAC_GT_1_WATER07</t>
  </si>
  <si>
    <t>NAC_HN_1_WATER07</t>
  </si>
  <si>
    <t>NAC_MX_1_WATER07</t>
  </si>
  <si>
    <t>NAC_NI_1_WATER07</t>
  </si>
  <si>
    <t>NAC_PA_1_WATER07</t>
  </si>
  <si>
    <t>NAC_DO_1_WATER07</t>
  </si>
  <si>
    <t>NAC_AR_1_WATER08</t>
  </si>
  <si>
    <t>NAC_BB_1_WATER08</t>
  </si>
  <si>
    <t>NAC_BO_1_WATER08</t>
  </si>
  <si>
    <t>NAC_BR_1_WATER08</t>
  </si>
  <si>
    <t>NAC_CL_1_WATER08</t>
  </si>
  <si>
    <t>NAC_EC_1_WATER08</t>
  </si>
  <si>
    <t>NAC_GY_1_WATER08</t>
  </si>
  <si>
    <t>NAC_HT_1_WATER08</t>
  </si>
  <si>
    <t>NAC_JM_1_WATER08</t>
  </si>
  <si>
    <t>NAC_PE_1_WATER08</t>
  </si>
  <si>
    <t>NAC_PY_1_WATER08</t>
  </si>
  <si>
    <t>NAC_SR_1_WATER08</t>
  </si>
  <si>
    <t>NAC_UY_1_WATER08</t>
  </si>
  <si>
    <t>NAC_CO_1_WATER08</t>
  </si>
  <si>
    <t>NAC_CR_1_WATER08</t>
  </si>
  <si>
    <t>NAC_SV_1_WATER08</t>
  </si>
  <si>
    <t>NAC_GT_1_WATER08</t>
  </si>
  <si>
    <t>NAC_HN_1_WATER08</t>
  </si>
  <si>
    <t>NAC_MX_1_WATER08</t>
  </si>
  <si>
    <t>NAC_NI_1_WATER08</t>
  </si>
  <si>
    <t>NAC_PA_1_WATER08</t>
  </si>
  <si>
    <t>NAC_DO_1_WATER08</t>
  </si>
  <si>
    <t>NAC_BB_1_WATER09</t>
  </si>
  <si>
    <t>NAC_BR_1_WATER09</t>
  </si>
  <si>
    <t>NAC_CL_1_WATER09</t>
  </si>
  <si>
    <t>NAC_GY_1_WATER09</t>
  </si>
  <si>
    <t>NAC_HT_1_WATER09</t>
  </si>
  <si>
    <t>NAC_JM_1_WATER09</t>
  </si>
  <si>
    <t>NAC_PE_1_WATER09</t>
  </si>
  <si>
    <t>NAC_SR_1_WATER09</t>
  </si>
  <si>
    <t>NAC_UY_1_WATER09</t>
  </si>
  <si>
    <t>NAC_MX_1_WATER09</t>
  </si>
  <si>
    <t>NAC_AR_1_WATER10</t>
  </si>
  <si>
    <t>NAC_BB_1_WATER10</t>
  </si>
  <si>
    <t>NAC_BR_1_WATER10</t>
  </si>
  <si>
    <t>NAC_BS_1_WATER10</t>
  </si>
  <si>
    <t>NAC_CL_1_WATER10</t>
  </si>
  <si>
    <t>NAC_EC_1_WATER10</t>
  </si>
  <si>
    <t>NAC_GY_1_WATER10</t>
  </si>
  <si>
    <t>NAC_HT_1_WATER10</t>
  </si>
  <si>
    <t>NAC_JM_1_WATER10</t>
  </si>
  <si>
    <t>NAC_PE_1_WATER10</t>
  </si>
  <si>
    <t>NAC_PY_1_WATER10</t>
  </si>
  <si>
    <t>NAC_SR_1_WATER10</t>
  </si>
  <si>
    <t>NAC_TT_1_WATER10</t>
  </si>
  <si>
    <t>NAC_UY_1_WATER10</t>
  </si>
  <si>
    <t>NAC_VE_1_WATER10</t>
  </si>
  <si>
    <t>NAC_BZ_1_WATER10</t>
  </si>
  <si>
    <t>NAC_CO_1_WATER10</t>
  </si>
  <si>
    <t>NAC_CR_1_WATER10</t>
  </si>
  <si>
    <t>NAC_SV_1_WATER10</t>
  </si>
  <si>
    <t>NAC_GT_1_WATER10</t>
  </si>
  <si>
    <t>NAC_HN_1_WATER10</t>
  </si>
  <si>
    <t>NAC_MX_1_WATER10</t>
  </si>
  <si>
    <t>NAC_NI_1_WATER10</t>
  </si>
  <si>
    <t>NAC_PA_1_WATER10</t>
  </si>
  <si>
    <t>NAC_DO_1_WATER10</t>
  </si>
  <si>
    <t>NAC_AR_1_WATER11</t>
  </si>
  <si>
    <t>NAC_BR_1_WATER11</t>
  </si>
  <si>
    <t>NAC_PE_1_WATER11</t>
  </si>
  <si>
    <t>NAC_UY_1_WATER11</t>
  </si>
  <si>
    <t>NAC_CO_1_WATER11</t>
  </si>
  <si>
    <t>NAC_NI_1_WATER11</t>
  </si>
  <si>
    <t>NAC_CL_1_WATER12</t>
  </si>
  <si>
    <t>NAC_GY_1_WATER12</t>
  </si>
  <si>
    <t>NAC_HT_1_WATER12</t>
  </si>
  <si>
    <t>NAC_JM_1_WATER12</t>
  </si>
  <si>
    <t>NAC_PE_1_WATER12</t>
  </si>
  <si>
    <t>NAC_CO_1_WATER12</t>
  </si>
  <si>
    <t>NAC_NI_1_WATER12</t>
  </si>
  <si>
    <t>NAC_PY_1_WATER14</t>
  </si>
  <si>
    <t>NAC_UY_1_WATER14</t>
  </si>
  <si>
    <t>NAC_AR_1_WATER17</t>
  </si>
  <si>
    <t>NAC_BB_1_WATER17</t>
  </si>
  <si>
    <t>NAC_BR_1_WATER17</t>
  </si>
  <si>
    <t>NAC_BS_1_WATER17</t>
  </si>
  <si>
    <t>NAC_CL_1_WATER17</t>
  </si>
  <si>
    <t>NAC_EC_1_WATER17</t>
  </si>
  <si>
    <t>NAC_GY_1_WATER17</t>
  </si>
  <si>
    <t>NAC_HT_1_WATER17</t>
  </si>
  <si>
    <t>NAC_JM_1_WATER17</t>
  </si>
  <si>
    <t>NAC_PE_1_WATER17</t>
  </si>
  <si>
    <t>NAC_SR_1_WATER17</t>
  </si>
  <si>
    <t>NAC_TT_1_WATER17</t>
  </si>
  <si>
    <t>NAC_UY_1_WATER17</t>
  </si>
  <si>
    <t>NAC_VE_1_WATER17</t>
  </si>
  <si>
    <t>NAC_BZ_1_WATER17</t>
  </si>
  <si>
    <t>NAC_CO_1_WATER17</t>
  </si>
  <si>
    <t>NAC_CR_1_WATER17</t>
  </si>
  <si>
    <t>NAC_SV_1_WATER17</t>
  </si>
  <si>
    <t>NAC_GT_1_WATER17</t>
  </si>
  <si>
    <t>NAC_HN_1_WATER17</t>
  </si>
  <si>
    <t>NAC_MX_1_WATER17</t>
  </si>
  <si>
    <t>NAC_NI_1_WATER17</t>
  </si>
  <si>
    <t>NAC_PA_1_WATER17</t>
  </si>
  <si>
    <t>NAC_DO_1_WATER17</t>
  </si>
  <si>
    <t>NAC_BB_1_LOGISTICS01</t>
  </si>
  <si>
    <t>NAC_MX_1_LOGISTICS01</t>
  </si>
  <si>
    <t>NAC_BB_1_LOGISTICS02</t>
  </si>
  <si>
    <t>NAC_HN_1_LOGISTICS02</t>
  </si>
  <si>
    <t>NAC_AR_1_LOGISTICS06</t>
  </si>
  <si>
    <t>NAC_BO_1_LOGISTICS06</t>
  </si>
  <si>
    <t>NAC_BR_1_LOGISTICS06</t>
  </si>
  <si>
    <t>NAC_BS_1_LOGISTICS06</t>
  </si>
  <si>
    <t>NAC_CL_1_LOGISTICS06</t>
  </si>
  <si>
    <t>NAC_EC_1_LOGISTICS06</t>
  </si>
  <si>
    <t>NAC_GY_1_LOGISTICS06</t>
  </si>
  <si>
    <t>NAC_HT_1_LOGISTICS06</t>
  </si>
  <si>
    <t>NAC_JM_1_LOGISTICS06</t>
  </si>
  <si>
    <t>NAC_PE_1_LOGISTICS06</t>
  </si>
  <si>
    <t>NAC_PY_1_LOGISTICS06</t>
  </si>
  <si>
    <t>NAC_UY_1_LOGISTICS06</t>
  </si>
  <si>
    <t>NAC_VE_1_LOGISTICS06</t>
  </si>
  <si>
    <t>NAC_CO_1_LOGISTICS06</t>
  </si>
  <si>
    <t>NAC_CR_1_LOGISTICS06</t>
  </si>
  <si>
    <t>NAC_SV_1_LOGISTICS06</t>
  </si>
  <si>
    <t>NAC_GT_1_LOGISTICS06</t>
  </si>
  <si>
    <t>NAC_HN_1_LOGISTICS06</t>
  </si>
  <si>
    <t>NAC_MX_1_LOGISTICS06</t>
  </si>
  <si>
    <t>NAC_PA_1_LOGISTICS06</t>
  </si>
  <si>
    <t>NAC_DO_1_LOGISTICS06</t>
  </si>
  <si>
    <t>NAC_AR_1_LOGISTICS07</t>
  </si>
  <si>
    <t>NAC_BO_1_LOGISTICS07</t>
  </si>
  <si>
    <t>NAC_BR_1_LOGISTICS07</t>
  </si>
  <si>
    <t>NAC_BS_1_LOGISTICS07</t>
  </si>
  <si>
    <t>NAC_CL_1_LOGISTICS07</t>
  </si>
  <si>
    <t>NAC_EC_1_LOGISTICS07</t>
  </si>
  <si>
    <t>NAC_GY_1_LOGISTICS07</t>
  </si>
  <si>
    <t>NAC_HT_1_LOGISTICS07</t>
  </si>
  <si>
    <t>NAC_JM_1_LOGISTICS07</t>
  </si>
  <si>
    <t>NAC_PE_1_LOGISTICS07</t>
  </si>
  <si>
    <t>NAC_PY_1_LOGISTICS07</t>
  </si>
  <si>
    <t>NAC_UY_1_LOGISTICS07</t>
  </si>
  <si>
    <t>NAC_VE_1_LOGISTICS07</t>
  </si>
  <si>
    <t>NAC_CO_1_LOGISTICS07</t>
  </si>
  <si>
    <t>NAC_CR_1_LOGISTICS07</t>
  </si>
  <si>
    <t>NAC_SV_1_LOGISTICS07</t>
  </si>
  <si>
    <t>NAC_GT_1_LOGISTICS07</t>
  </si>
  <si>
    <t>NAC_HN_1_LOGISTICS07</t>
  </si>
  <si>
    <t>NAC_MX_1_LOGISTICS07</t>
  </si>
  <si>
    <t>NAC_PA_1_LOGISTICS07</t>
  </si>
  <si>
    <t>NAC_DO_1_LOGISTICS07</t>
  </si>
  <si>
    <t>NAC_AR_1_WATER20</t>
  </si>
  <si>
    <t>NAC_BB_1_WATER20</t>
  </si>
  <si>
    <t>NAC_BR_1_WATER20</t>
  </si>
  <si>
    <t>NAC_BS_1_WATER20</t>
  </si>
  <si>
    <t>NAC_CL_1_WATER20</t>
  </si>
  <si>
    <t>NAC_EC_1_WATER20</t>
  </si>
  <si>
    <t>NAC_JM_1_WATER20</t>
  </si>
  <si>
    <t>NAC_PE_1_WATER20</t>
  </si>
  <si>
    <t>NAC_TT_1_WATER20</t>
  </si>
  <si>
    <t>NAC_UY_1_WATER20</t>
  </si>
  <si>
    <t>NAC_CO_1_WATER20</t>
  </si>
  <si>
    <t>NAC_CR_1_WATER20</t>
  </si>
  <si>
    <t>NAC_GT_1_WATER20</t>
  </si>
  <si>
    <t>NAC_HN_1_WATER20</t>
  </si>
  <si>
    <t>NAC_MX_1_WATER20</t>
  </si>
  <si>
    <t>NAC_PA_1_WATER20</t>
  </si>
  <si>
    <t>NAC_DO_1_WATER20</t>
  </si>
  <si>
    <t>NAC_AR_1_WATER21</t>
  </si>
  <si>
    <t>NAC_BB_1_WATER21</t>
  </si>
  <si>
    <t>NAC_BR_1_WATER21</t>
  </si>
  <si>
    <t>NAC_BS_1_WATER21</t>
  </si>
  <si>
    <t>NAC_CL_1_WATER21</t>
  </si>
  <si>
    <t>NAC_EC_1_WATER21</t>
  </si>
  <si>
    <t>NAC_GY_1_WATER21</t>
  </si>
  <si>
    <t>NAC_HT_1_WATER21</t>
  </si>
  <si>
    <t>NAC_JM_1_WATER21</t>
  </si>
  <si>
    <t>NAC_PE_1_WATER21</t>
  </si>
  <si>
    <t>NAC_SR_1_WATER21</t>
  </si>
  <si>
    <t>NAC_TT_1_WATER21</t>
  </si>
  <si>
    <t>NAC_UY_1_WATER21</t>
  </si>
  <si>
    <t>NAC_VE_1_WATER21</t>
  </si>
  <si>
    <t>NAC_BZ_1_WATER21</t>
  </si>
  <si>
    <t>NAC_CO_1_WATER21</t>
  </si>
  <si>
    <t>NAC_CR_1_WATER21</t>
  </si>
  <si>
    <t>NAC_SV_1_WATER21</t>
  </si>
  <si>
    <t>NAC_GT_1_WATER21</t>
  </si>
  <si>
    <t>NAC_HN_1_WATER21</t>
  </si>
  <si>
    <t>NAC_MX_1_WATER21</t>
  </si>
  <si>
    <t>NAC_NI_1_WATER21</t>
  </si>
  <si>
    <t>NAC_PA_1_WATER21</t>
  </si>
  <si>
    <t>NAC_DO_1_WATER21</t>
  </si>
  <si>
    <t>NAC_AR_1_WATER22</t>
  </si>
  <si>
    <t>NAC_BB_1_WATER22</t>
  </si>
  <si>
    <t>NAC_BR_1_WATER22</t>
  </si>
  <si>
    <t>NAC_BS_1_WATER22</t>
  </si>
  <si>
    <t>NAC_CL_1_WATER22</t>
  </si>
  <si>
    <t>NAC_EC_1_WATER22</t>
  </si>
  <si>
    <t>NAC_GY_1_WATER22</t>
  </si>
  <si>
    <t>NAC_HT_1_WATER22</t>
  </si>
  <si>
    <t>NAC_JM_1_WATER22</t>
  </si>
  <si>
    <t>NAC_PE_1_WATER22</t>
  </si>
  <si>
    <t>NAC_SR_1_WATER22</t>
  </si>
  <si>
    <t>NAC_TT_1_WATER22</t>
  </si>
  <si>
    <t>NAC_UY_1_WATER22</t>
  </si>
  <si>
    <t>NAC_VE_1_WATER22</t>
  </si>
  <si>
    <t>NAC_BZ_1_WATER22</t>
  </si>
  <si>
    <t>NAC_CO_1_WATER22</t>
  </si>
  <si>
    <t>NAC_CR_1_WATER22</t>
  </si>
  <si>
    <t>NAC_SV_1_WATER22</t>
  </si>
  <si>
    <t>NAC_GT_1_WATER22</t>
  </si>
  <si>
    <t>NAC_HN_1_WATER22</t>
  </si>
  <si>
    <t>NAC_MX_1_WATER22</t>
  </si>
  <si>
    <t>NAC_NI_1_WATER22</t>
  </si>
  <si>
    <t>NAC_PA_1_WATER22</t>
  </si>
  <si>
    <t>NAC_DO_1_WATER22</t>
  </si>
  <si>
    <t>NAC_AR_1_WATER23</t>
  </si>
  <si>
    <t>NAC_BB_1_WATER23</t>
  </si>
  <si>
    <t>NAC_BR_1_WATER23</t>
  </si>
  <si>
    <t>NAC_BS_1_WATER23</t>
  </si>
  <si>
    <t>NAC_CL_1_WATER23</t>
  </si>
  <si>
    <t>NAC_EC_1_WATER23</t>
  </si>
  <si>
    <t>NAC_GY_1_WATER23</t>
  </si>
  <si>
    <t>NAC_JM_1_WATER23</t>
  </si>
  <si>
    <t>NAC_PE_1_WATER23</t>
  </si>
  <si>
    <t>NAC_PY_1_WATER23</t>
  </si>
  <si>
    <t>NAC_SR_1_WATER23</t>
  </si>
  <si>
    <t>NAC_UY_1_WATER23</t>
  </si>
  <si>
    <t>NAC_VE_1_WATER23</t>
  </si>
  <si>
    <t>NAC_CO_1_WATER23</t>
  </si>
  <si>
    <t>NAC_CR_1_WATER23</t>
  </si>
  <si>
    <t>NAC_SV_1_WATER23</t>
  </si>
  <si>
    <t>NAC_GT_1_WATER23</t>
  </si>
  <si>
    <t>NAC_HN_1_WATER23</t>
  </si>
  <si>
    <t>NAC_MX_1_WATER23</t>
  </si>
  <si>
    <t>NAC_NI_1_WATER23</t>
  </si>
  <si>
    <t>NAC_PA_1_WATER23</t>
  </si>
  <si>
    <t>NAC_AR_1_LOGISTICS08</t>
  </si>
  <si>
    <t>NAC_BO_1_LOGISTICS08</t>
  </si>
  <si>
    <t>NAC_BR_1_LOGISTICS08</t>
  </si>
  <si>
    <t>NAC_BS_1_LOGISTICS08</t>
  </si>
  <si>
    <t>NAC_CL_1_LOGISTICS08</t>
  </si>
  <si>
    <t>NAC_EC_1_LOGISTICS08</t>
  </si>
  <si>
    <t>NAC_GY_1_LOGISTICS08</t>
  </si>
  <si>
    <t>NAC_HT_1_LOGISTICS08</t>
  </si>
  <si>
    <t>NAC_JM_1_LOGISTICS08</t>
  </si>
  <si>
    <t>NAC_PE_1_LOGISTICS08</t>
  </si>
  <si>
    <t>NAC_PY_1_LOGISTICS08</t>
  </si>
  <si>
    <t>NAC_UY_1_LOGISTICS08</t>
  </si>
  <si>
    <t>NAC_VE_1_LOGISTICS08</t>
  </si>
  <si>
    <t>NAC_CO_1_LOGISTICS08</t>
  </si>
  <si>
    <t>NAC_CR_1_LOGISTICS08</t>
  </si>
  <si>
    <t>NAC_SV_1_LOGISTICS08</t>
  </si>
  <si>
    <t>NAC_GT_1_LOGISTICS08</t>
  </si>
  <si>
    <t>NAC_HN_1_LOGISTICS08</t>
  </si>
  <si>
    <t>NAC_MX_1_LOGISTICS08</t>
  </si>
  <si>
    <t>NAC_PA_1_LOGISTICS08</t>
  </si>
  <si>
    <t>NAC_DO_1_LOGISTICS08</t>
  </si>
  <si>
    <t>NAC_AR_1_LOGISTICS09</t>
  </si>
  <si>
    <t>NAC_BO_1_LOGISTICS09</t>
  </si>
  <si>
    <t>NAC_BR_1_LOGISTICS09</t>
  </si>
  <si>
    <t>NAC_BS_1_LOGISTICS09</t>
  </si>
  <si>
    <t>NAC_CL_1_LOGISTICS09</t>
  </si>
  <si>
    <t>NAC_EC_1_LOGISTICS09</t>
  </si>
  <si>
    <t>NAC_GY_1_LOGISTICS09</t>
  </si>
  <si>
    <t>NAC_HT_1_LOGISTICS09</t>
  </si>
  <si>
    <t>NAC_JM_1_LOGISTICS09</t>
  </si>
  <si>
    <t>NAC_PE_1_LOGISTICS09</t>
  </si>
  <si>
    <t>NAC_PY_1_LOGISTICS09</t>
  </si>
  <si>
    <t>NAC_UY_1_LOGISTICS09</t>
  </si>
  <si>
    <t>NAC_VE_1_LOGISTICS09</t>
  </si>
  <si>
    <t>NAC_CO_1_LOGISTICS09</t>
  </si>
  <si>
    <t>NAC_CR_1_LOGISTICS09</t>
  </si>
  <si>
    <t>NAC_SV_1_LOGISTICS09</t>
  </si>
  <si>
    <t>NAC_GT_1_LOGISTICS09</t>
  </si>
  <si>
    <t>NAC_HN_1_LOGISTICS09</t>
  </si>
  <si>
    <t>NAC_MX_1_LOGISTICS09</t>
  </si>
  <si>
    <t>NAC_PA_1_LOGISTICS09</t>
  </si>
  <si>
    <t>NAC_DO_1_LOGISTICS09</t>
  </si>
  <si>
    <t>NAC_SV_1_ROAD11</t>
  </si>
  <si>
    <t>NAC_AR_1_CALC01</t>
  </si>
  <si>
    <t>Fondo Monetario Internacional (FMI);Indicadores de Desarrollo Mundial (WDI);</t>
  </si>
  <si>
    <t>NAC_BS_1_CALC01</t>
  </si>
  <si>
    <t>Instituto Estadístico de Bahamas;Indicadores de Desarrollo Mundial (WDI);</t>
  </si>
  <si>
    <t>NAC_BB_1_CALC01</t>
  </si>
  <si>
    <t>NAC_BZ_1_CALC01</t>
  </si>
  <si>
    <t>Fondo Monetario Internacional (FMI);</t>
  </si>
  <si>
    <t>NAC_BO_1_CALC01</t>
  </si>
  <si>
    <t>NAC_BR_1_CALC01</t>
  </si>
  <si>
    <t>NAC_CL_1_CALC01</t>
  </si>
  <si>
    <t>NAC_CO_1_CALC01</t>
  </si>
  <si>
    <t>NAC_CR_1_CALC01</t>
  </si>
  <si>
    <t>Banco Central de Costa Rica, Departamento de Estadística Macroeconómica;Instituto de Estadísticas y Censos (INEC);</t>
  </si>
  <si>
    <t>NAC_EC_1_CALC01</t>
  </si>
  <si>
    <t>Banco Central de Ecuador;Indicadores de Desarrollo Mundial (WDI);</t>
  </si>
  <si>
    <t>NAC_SV_1_CALC01</t>
  </si>
  <si>
    <t>Banco Central de El Salvador;</t>
  </si>
  <si>
    <t>NAC_GT_1_CALC01</t>
  </si>
  <si>
    <t>NAC_GY_1_CALC01</t>
  </si>
  <si>
    <t>NAC_HT_1_CALC01</t>
  </si>
  <si>
    <t>NAC_HN_1_CALC01</t>
  </si>
  <si>
    <t>NAC_JM_1_CALC01</t>
  </si>
  <si>
    <t>NAC_MX_1_CALC01</t>
  </si>
  <si>
    <t>NAC_NI_1_CALC01</t>
  </si>
  <si>
    <t>NAC_PA_1_CALC01</t>
  </si>
  <si>
    <t>NAC_PY_1_CALC01</t>
  </si>
  <si>
    <t>NAC_PE_1_CALC01</t>
  </si>
  <si>
    <t>NAC_DO_1_CALC01</t>
  </si>
  <si>
    <t>NAC_SR_1_CALC01</t>
  </si>
  <si>
    <t>NAC_TT_1_CALC01</t>
  </si>
  <si>
    <t>NAC_UY_1_CALC01</t>
  </si>
  <si>
    <t>NAC_VE_1_CALC01</t>
  </si>
  <si>
    <t>NAC_AR_1_CALC02</t>
  </si>
  <si>
    <t>Fondo Monetario Internacional (FMI);Fondo Monetario Internacional (FMI);</t>
  </si>
  <si>
    <t>NAC_BS_1_CALC02</t>
  </si>
  <si>
    <t>Fondo Monetario Internacional (FMI);Fondo Monetario Internacional (FMI);Instituto Estadístico de Bahamas;</t>
  </si>
  <si>
    <t>NAC_BB_1_CALC02</t>
  </si>
  <si>
    <t>NAC_BZ_1_CALC02</t>
  </si>
  <si>
    <t>NAC_BO_1_CALC02</t>
  </si>
  <si>
    <t>NAC_BR_1_CALC02</t>
  </si>
  <si>
    <t>NAC_CL_1_CALC02</t>
  </si>
  <si>
    <t>NAC_CO_1_CALC02</t>
  </si>
  <si>
    <t>NAC_CR_1_CALC02</t>
  </si>
  <si>
    <t>Banco Central de Costa Rica; área de Estadísticas del Sector Externo;Banco Central de Costa Rica; área de Estadísticas del Sector Externo;Banco Central de Costa Rica, Departamento de Estadística Macroeconómica;</t>
  </si>
  <si>
    <t>NAC_EC_1_CALC02</t>
  </si>
  <si>
    <t>Fondo Monetario Internacional (FMI);Fondo Monetario Internacional (FMI);Banco Central de Ecuador;</t>
  </si>
  <si>
    <t>NAC_SV_1_CALC02</t>
  </si>
  <si>
    <t>Fondo Monetario Internacional (FMI);Fondo Monetario Internacional (FMI);Banco Central de El Salvador;</t>
  </si>
  <si>
    <t>NAC_GT_1_CALC02</t>
  </si>
  <si>
    <t>NAC_GY_1_CALC02</t>
  </si>
  <si>
    <t>NAC_HT_1_CALC02</t>
  </si>
  <si>
    <t>NAC_HN_1_CALC02</t>
  </si>
  <si>
    <t>NAC_JM_1_CALC02</t>
  </si>
  <si>
    <t>NAC_MX_1_CALC02</t>
  </si>
  <si>
    <t>NAC_NI_1_CALC02</t>
  </si>
  <si>
    <t>NAC_PA_1_CALC02</t>
  </si>
  <si>
    <t>NAC_PY_1_CALC02</t>
  </si>
  <si>
    <t>NAC_PE_1_CALC02</t>
  </si>
  <si>
    <t>NAC_DO_1_CALC02</t>
  </si>
  <si>
    <t>NAC_SR_1_CALC02</t>
  </si>
  <si>
    <t>NAC_TT_1_CALC02</t>
  </si>
  <si>
    <t>NAC_UY_1_CALC02</t>
  </si>
  <si>
    <t>NAC_VE_1_CALC02</t>
  </si>
  <si>
    <t>NAC_AR_1_CALC03</t>
  </si>
  <si>
    <t>Asociación de Fábricas de Automotores (ADEFA);Indicadores de Desarrollo Mundial (WDI);</t>
  </si>
  <si>
    <t>NAC_BS_1_CALC03</t>
  </si>
  <si>
    <t>Ministerio de Obras-Departamento de Diseño Civil;Indicadores de Desarrollo Mundial (WDI);</t>
  </si>
  <si>
    <t>NAC_BB_1_CALC03</t>
  </si>
  <si>
    <t>Servicio Estadístico de Barbados (BSS);Indicadores de Desarrollo Mundial (WDI);</t>
  </si>
  <si>
    <t>NAC_BZ_1_CALC03</t>
  </si>
  <si>
    <t>Banco Interamericano de Desarrollo.;Fondo Monetario Internacional (FMI);</t>
  </si>
  <si>
    <t>NAC_BO_1_CALC03</t>
  </si>
  <si>
    <t>NAC_BR_1_CALC03</t>
  </si>
  <si>
    <t>Departamento Nacional de Tránsito (DENATRAN);Indicadores de Desarrollo Mundial (WDI);</t>
  </si>
  <si>
    <t>NAC_CL_1_CALC03</t>
  </si>
  <si>
    <t>Instituto Nacional de Estadística de Chile (INE), Informe del parque vehicular;Fondo Monetario Internacional (FMI);</t>
  </si>
  <si>
    <t>NAC_CO_1_CALC03</t>
  </si>
  <si>
    <t>Ministerio de Transporte. Anuario estadístico 2012;Fondo Monetario Internacional (FMI);</t>
  </si>
  <si>
    <t>NAC_CR_1_CALC03</t>
  </si>
  <si>
    <t>MOPT, Dirección de Planificación Sectorial;Instituto de Estadísticas y Censos (INEC);</t>
  </si>
  <si>
    <t>NAC_EC_1_CALC03</t>
  </si>
  <si>
    <t>Instituto Nacional de Estadísticas y Censos de Ecuador (INEC);Indicadores de Desarrollo Mundial (WDI);</t>
  </si>
  <si>
    <t>NAC_SV_1_CALC03</t>
  </si>
  <si>
    <t>Banco Interamericano de Desarrollo.;Banco Central de El Salvador;</t>
  </si>
  <si>
    <t>NAC_GT_1_CALC03</t>
  </si>
  <si>
    <t>NAC_GY_1_CALC03</t>
  </si>
  <si>
    <t>Ministerio de Transporte;Indicadores de Desarrollo Mundial (WDI);</t>
  </si>
  <si>
    <t>NAC_HN_1_CALC03</t>
  </si>
  <si>
    <t>NAC_JM_1_CALC03</t>
  </si>
  <si>
    <t>Autoridad de Transporte de Jamaica;Indicadores de Desarrollo Mundial (WDI);</t>
  </si>
  <si>
    <t>NAC_MX_1_CALC03</t>
  </si>
  <si>
    <t>Banco Interamericano de Desarrollo.;Indicadores de Desarrollo Mundial (WDI);</t>
  </si>
  <si>
    <t>NAC_NI_1_CALC03</t>
  </si>
  <si>
    <t>Ministerio de Transporte e Infraestructura, Anuario Estadístico;Fondo Monetario Internacional (FMI);</t>
  </si>
  <si>
    <t>NAC_PA_1_CALC03</t>
  </si>
  <si>
    <t>Contraloría de la Nación;Fondo Monetario Internacional (FMI);</t>
  </si>
  <si>
    <t>NAC_PY_1_CALC03</t>
  </si>
  <si>
    <t>DINATRAN;Indicadores de Desarrollo Mundial (WDI);</t>
  </si>
  <si>
    <t>NAC_PE_1_CALC03</t>
  </si>
  <si>
    <t>NAC_DO_1_CALC03</t>
  </si>
  <si>
    <t>NAC_SR_1_CALC03</t>
  </si>
  <si>
    <t>Departamento de Estadísticas de Surinam (ABS);Fondo Monetario Internacional (FMI);</t>
  </si>
  <si>
    <t>NAC_TT_1_CALC03</t>
  </si>
  <si>
    <t>Banco Interamericano de Desarrollo;Fondo Monetario Internacional (FMI);</t>
  </si>
  <si>
    <t>NAC_UY_1_CALC03</t>
  </si>
  <si>
    <t>Instituto Nacional de Logística (INALOG);Indicadores de Desarrollo Mundial (WDI);</t>
  </si>
  <si>
    <t>NAC_AR_1_CALC04</t>
  </si>
  <si>
    <t>NAC_BS_1_CALC04</t>
  </si>
  <si>
    <t>NAC_BB_1_CALC04</t>
  </si>
  <si>
    <t>NAC_BO_1_CALC04</t>
  </si>
  <si>
    <t>Instituto Nacional de Estadística de Bolivia (2008-2009) y estimaciones propias;Indicadores de Desarrollo Mundial (WDI);</t>
  </si>
  <si>
    <t>NAC_BR_1_CALC04</t>
  </si>
  <si>
    <t>NAC_CL_1_CALC04</t>
  </si>
  <si>
    <t>Informe Anual del Parque Vehicular del Instituto Nacional de Estadísticas (INE);Fondo Monetario Internacional (FMI);</t>
  </si>
  <si>
    <t>NAC_CO_1_CALC04</t>
  </si>
  <si>
    <t>NAC_CR_1_CALC04</t>
  </si>
  <si>
    <t>NAC_EC_1_CALC04</t>
  </si>
  <si>
    <t>NAC_SV_1_CALC04</t>
  </si>
  <si>
    <t>Viceministerio de Transporte;Banco Central de El Salvador;</t>
  </si>
  <si>
    <t>NAC_GT_1_CALC04</t>
  </si>
  <si>
    <t>Banco Interamericano de Desarrollo. 2014. Logística de cargas en Mesoamérica (de próxima publicación);Fondo Monetario Internacional (FMI);</t>
  </si>
  <si>
    <t>NAC_GY_1_CALC04</t>
  </si>
  <si>
    <t>NAC_HN_1_CALC04</t>
  </si>
  <si>
    <t>NAC_JM_1_CALC04</t>
  </si>
  <si>
    <t>NAC_MX_1_CALC04</t>
  </si>
  <si>
    <t>NAC_NI_1_CALC04</t>
  </si>
  <si>
    <t>NAC_PA_1_CALC04</t>
  </si>
  <si>
    <t>NAC_PY_1_CALC04</t>
  </si>
  <si>
    <t>Observatorio Nacional de Logística - Plan Nacional de Logística 2011;Indicadores de Desarrollo Mundial (WDI);</t>
  </si>
  <si>
    <t>NAC_PE_1_CALC04</t>
  </si>
  <si>
    <t>NAC_DO_1_CALC04</t>
  </si>
  <si>
    <t>Boletín Parque Vehicular, Dirección General de Impuestos Internos (DGII).;Fondo Monetario Internacional (FMI);</t>
  </si>
  <si>
    <t>NAC_SR_1_CALC04</t>
  </si>
  <si>
    <t>Ministerio de Transporte, Comunicaciones y Turismo. Plan Maestro de Transporte;Fondo Monetario Internacional (FMI);</t>
  </si>
  <si>
    <t>NAC_UY_1_CALC04</t>
  </si>
  <si>
    <t>NAC_VE_1_CALC04</t>
  </si>
  <si>
    <t>NAC_AR_1_CALC05</t>
  </si>
  <si>
    <t>Organización Latinoamericana de Energía (OLADE);Indicadores de Desarrollo Mundial (WDI);</t>
  </si>
  <si>
    <t>NAC_BS_1_CALC05</t>
  </si>
  <si>
    <t>Departmento de Estadísticas de Bahamas;Indicadores de Desarrollo Mundial (WDI);</t>
  </si>
  <si>
    <t>NAC_BB_1_CALC05</t>
  </si>
  <si>
    <t>NAC_BZ_1_CALC05</t>
  </si>
  <si>
    <t>Organización Latinoamericana de Energía (OLADE);Fondo Monetario Internacional (FMI);</t>
  </si>
  <si>
    <t>NAC_BO_1_CALC05</t>
  </si>
  <si>
    <t>NAC_BR_1_CALC05</t>
  </si>
  <si>
    <t>NAC_CL_1_CALC05</t>
  </si>
  <si>
    <t>NAC_CO_1_CALC05</t>
  </si>
  <si>
    <t>NAC_CR_1_CALC05</t>
  </si>
  <si>
    <t>Organización Latinoamericana de Energía (OLADE);Instituto de Estadísticas y Censos (INEC);</t>
  </si>
  <si>
    <t>NAC_EC_1_CALC05</t>
  </si>
  <si>
    <t>NAC_SV_1_CALC05</t>
  </si>
  <si>
    <t>Organización Latinoamericana de Energía (OLADE);Banco Central de El Salvador;</t>
  </si>
  <si>
    <t>NAC_GT_1_CALC05</t>
  </si>
  <si>
    <t>NAC_GY_1_CALC05</t>
  </si>
  <si>
    <t>NAC_HT_1_CALC05</t>
  </si>
  <si>
    <t>NAC_HN_1_CALC05</t>
  </si>
  <si>
    <t>NAC_JM_1_CALC05</t>
  </si>
  <si>
    <t>NAC_MX_1_CALC05</t>
  </si>
  <si>
    <t>NAC_NI_1_CALC05</t>
  </si>
  <si>
    <t>NAC_PA_1_CALC05</t>
  </si>
  <si>
    <t>NAC_PY_1_CALC05</t>
  </si>
  <si>
    <t>NAC_PE_1_CALC05</t>
  </si>
  <si>
    <t>NAC_DO_1_CALC05</t>
  </si>
  <si>
    <t>NAC_SR_1_CALC05</t>
  </si>
  <si>
    <t>NAC_TT_1_CALC05</t>
  </si>
  <si>
    <t>NAC_UY_1_CALC05</t>
  </si>
  <si>
    <t>NAC_VE_1_CALC05</t>
  </si>
  <si>
    <t>NAC_AR_1_CALC06</t>
  </si>
  <si>
    <t>NAC_BS_1_CALC06</t>
  </si>
  <si>
    <t>NAC_BB_1_CALC06</t>
  </si>
  <si>
    <t>NAC_BZ_1_CALC06</t>
  </si>
  <si>
    <t>NAC_BO_1_CALC06</t>
  </si>
  <si>
    <t>NAC_BR_1_CALC06</t>
  </si>
  <si>
    <t>NAC_CL_1_CALC06</t>
  </si>
  <si>
    <t>NAC_CO_1_CALC06</t>
  </si>
  <si>
    <t>NAC_CR_1_CALC06</t>
  </si>
  <si>
    <t>NAC_EC_1_CALC06</t>
  </si>
  <si>
    <t>NAC_SV_1_CALC06</t>
  </si>
  <si>
    <t>NAC_GT_1_CALC06</t>
  </si>
  <si>
    <t>NAC_GY_1_CALC06</t>
  </si>
  <si>
    <t>NAC_HT_1_CALC06</t>
  </si>
  <si>
    <t>NAC_HN_1_CALC06</t>
  </si>
  <si>
    <t>NAC_JM_1_CALC06</t>
  </si>
  <si>
    <t>NAC_MX_1_CALC06</t>
  </si>
  <si>
    <t>NAC_NI_1_CALC06</t>
  </si>
  <si>
    <t>NAC_PA_1_CALC06</t>
  </si>
  <si>
    <t>NAC_PY_1_CALC06</t>
  </si>
  <si>
    <t>NAC_PE_1_CALC06</t>
  </si>
  <si>
    <t>NAC_DO_1_CALC06</t>
  </si>
  <si>
    <t>NAC_SR_1_CALC06</t>
  </si>
  <si>
    <t>NAC_TT_1_CALC06</t>
  </si>
  <si>
    <t>NAC_UY_1_CALC06</t>
  </si>
  <si>
    <t>NAC_VE_1_CALC06</t>
  </si>
  <si>
    <t>NAC_AR_1_CALC07</t>
  </si>
  <si>
    <t>NAC_BS_1_CALC07</t>
  </si>
  <si>
    <t>NAC_BB_1_CALC07</t>
  </si>
  <si>
    <t>NAC_BZ_1_CALC07</t>
  </si>
  <si>
    <t>Banco Interamericano de Desarrollo. 2014. Logística de cargas en Mesoamérica (de próxima publicación);</t>
  </si>
  <si>
    <t>NAC_BO_1_CALC07</t>
  </si>
  <si>
    <t>Banco Interamericano de Desarrollo (2012), Banco Mundial (2008-2010);Indicadores de Desarrollo Mundial (WDI);</t>
  </si>
  <si>
    <t>NAC_BR_1_CALC07</t>
  </si>
  <si>
    <t>Departamento Nacional de Infraestructura de Transportes (DNIT), Banco Mundial (2009);Indicadores de Desarrollo Mundial (WDI);</t>
  </si>
  <si>
    <t>NAC_CL_1_CALC07</t>
  </si>
  <si>
    <t>Dirección Nacional de Vialidad del Ministerio de Obras Públicas (MOP);Indicadores de Desarrollo Mundial (WDI);</t>
  </si>
  <si>
    <t>NAC_CO_1_CALC07</t>
  </si>
  <si>
    <t>Ministerio de Transporte. Anuario estadístico 2012;Indicadores de Desarrollo Mundial (WDI);</t>
  </si>
  <si>
    <t>NAC_CR_1_CALC07</t>
  </si>
  <si>
    <t>MOPT, Dirección de Planificación Sectorial, Depto. Medios de Transporte.;Banco Central de Costa Rica, área de Estadísticas de Servicios y Construcción;</t>
  </si>
  <si>
    <t>NAC_EC_1_CALC07</t>
  </si>
  <si>
    <t>Banco Interamericano de Desarrollo;Indicadores de Desarrollo Mundial (WDI);</t>
  </si>
  <si>
    <t>NAC_SV_1_CALC07</t>
  </si>
  <si>
    <t>Banco Interamericano de Desarrollo. 2014. Logística de cargas en Mesoamérica (de próxima publicación);Indicadores de Desarrollo Mundial (WDI);</t>
  </si>
  <si>
    <t>NAC_GT_1_CALC07</t>
  </si>
  <si>
    <t>NAC_GY_1_CALC07</t>
  </si>
  <si>
    <t>NAC_HT_1_CALC07</t>
  </si>
  <si>
    <t>Instituto de Estadística (IHSI);Indicadores de Desarrollo Mundial (WDI);</t>
  </si>
  <si>
    <t>NAC_HN_1_CALC07</t>
  </si>
  <si>
    <t>NAC_JM_1_CALC07</t>
  </si>
  <si>
    <t>NAC_MX_1_CALC07</t>
  </si>
  <si>
    <t>NAC_NI_1_CALC07</t>
  </si>
  <si>
    <t>Ministerio de Transporte e Infraestructura, Anuario Estadístico;Indicadores de Desarrollo Mundial (WDI);</t>
  </si>
  <si>
    <t>NAC_PA_1_CALC07</t>
  </si>
  <si>
    <t>Contraloría de la Nación;Indicadores de Desarrollo Mundial (WDI);</t>
  </si>
  <si>
    <t>NAC_PY_1_CALC07</t>
  </si>
  <si>
    <t>Banco Mundial;Indicadores de Desarrollo Mundial (WDI);</t>
  </si>
  <si>
    <t>NAC_PE_1_CALC07</t>
  </si>
  <si>
    <t>Ministerio de Transportes y Comunicaciones - Oficina de Estadísticas;Indicadores de Desarrollo Mundial (WDI);</t>
  </si>
  <si>
    <t>NAC_DO_1_CALC07</t>
  </si>
  <si>
    <t>NAC_SR_1_CALC07</t>
  </si>
  <si>
    <t>Ministerio de Transporte, Comunicaciones y Turismo. Plan Maestro de Transporte;Indicadores de Desarrollo Mundial (WDI);</t>
  </si>
  <si>
    <t>NAC_TT_1_CALC07</t>
  </si>
  <si>
    <t>NAC_UY_1_CALC07</t>
  </si>
  <si>
    <t>Ministerio de Transporte y Obras Públicas (MTOP);Indicadores de Desarrollo Mundial (WDI);</t>
  </si>
  <si>
    <t>NAC_VE_1_CALC07</t>
  </si>
  <si>
    <t>Ministerio de Infraestructura;Indicadores de Desarrollo Mundial (WDI);</t>
  </si>
  <si>
    <t>NAC_AR_1_CALC08</t>
  </si>
  <si>
    <t>NAC_BS_1_CALC08</t>
  </si>
  <si>
    <t>NAC_BB_1_CALC08</t>
  </si>
  <si>
    <t>NAC_BZ_1_CALC08</t>
  </si>
  <si>
    <t>NAC_BO_1_CALC08</t>
  </si>
  <si>
    <t>NAC_BR_1_CALC08</t>
  </si>
  <si>
    <t>NAC_CL_1_CALC08</t>
  </si>
  <si>
    <t>Dirección Nacional de Vialidad del Ministerio de Obras Públicas (MOP);Fondo Monetario Internacional (FMI);</t>
  </si>
  <si>
    <t>NAC_CO_1_CALC08</t>
  </si>
  <si>
    <t>NAC_CR_1_CALC08</t>
  </si>
  <si>
    <t>MOPT, Dirección de Planificación Sectorial, Depto. Medios de Transporte.;Instituto de Estadísticas y Censos (INEC);</t>
  </si>
  <si>
    <t>NAC_EC_1_CALC08</t>
  </si>
  <si>
    <t>NAC_SV_1_CALC08</t>
  </si>
  <si>
    <t>Banco Interamericano de Desarrollo. 2014. Logística de cargas en Mesoamérica (de próxima publicación);Banco Central de El Salvador;</t>
  </si>
  <si>
    <t>NAC_GT_1_CALC08</t>
  </si>
  <si>
    <t>NAC_GY_1_CALC08</t>
  </si>
  <si>
    <t>NAC_HT_1_CALC08</t>
  </si>
  <si>
    <t>NAC_HN_1_CALC08</t>
  </si>
  <si>
    <t>NAC_JM_1_CALC08</t>
  </si>
  <si>
    <t>NAC_MX_1_CALC08</t>
  </si>
  <si>
    <t>NAC_NI_1_CALC08</t>
  </si>
  <si>
    <t>NAC_PA_1_CALC08</t>
  </si>
  <si>
    <t>NAC_PY_1_CALC08</t>
  </si>
  <si>
    <t>NAC_PE_1_CALC08</t>
  </si>
  <si>
    <t>Ministerio de Transportes y Comunicaciones - Oficina de Estadísticas;Fondo Monetario Internacional (FMI);</t>
  </si>
  <si>
    <t>NAC_DO_1_CALC08</t>
  </si>
  <si>
    <t>NAC_SR_1_CALC08</t>
  </si>
  <si>
    <t>NAC_TT_1_CALC08</t>
  </si>
  <si>
    <t>NAC_UY_1_CALC08</t>
  </si>
  <si>
    <t>NAC_VE_1_CALC08</t>
  </si>
  <si>
    <t>Ministerio de Infraestructura;Fondo Monetario Internacional (FMI);</t>
  </si>
  <si>
    <t>NAC_BR_1_CALC09</t>
  </si>
  <si>
    <t>NAC_CO_1_CALC09</t>
  </si>
  <si>
    <t>Informe Anual del Parque Vehicular del Instituto Nacional de Estadísticas (INE);Instituto Nacional de Estadística de Chile (INE), Informe del parque vehicular;</t>
  </si>
  <si>
    <t>Ministerio de Transporte. Anuario estadístico 2012;Banco Interamericano de Desarrollo.;</t>
  </si>
  <si>
    <t>Viceministerio de Transporte;</t>
  </si>
  <si>
    <t>Banco Interamericano de Desarrollo. 2014. Logística de cargas en Mesoamérica (de próxima publicación);Banco Interamericano de Desarrollo.;</t>
  </si>
  <si>
    <t>Ministerio de Transporte;</t>
  </si>
  <si>
    <t>Autoridad de Transporte de Jamaica;</t>
  </si>
  <si>
    <t>Ministerio de Transporte e Infraestructura, Anuario Estadístico;</t>
  </si>
  <si>
    <t>Contraloría de la Nación;Banco Interamericano de Desarrollo.;</t>
  </si>
  <si>
    <t>Observatorio Nacional de Logística - Plan Nacional de Logística 2011;Dirección General de Estadísticas, Encuestas y Censos;</t>
  </si>
  <si>
    <t>Instituto Nacional de Logística (INALOG);</t>
  </si>
  <si>
    <t>New Background</t>
  </si>
  <si>
    <t>light</t>
  </si>
  <si>
    <t>v light</t>
  </si>
  <si>
    <t>notes offset = 6 english, 8 spanish</t>
  </si>
  <si>
    <t>Consumo de gasolina/cápita</t>
  </si>
  <si>
    <t>Densidad de carreteras (km/km2)</t>
  </si>
  <si>
    <t>Vehículos totales/1,000 habitantes</t>
  </si>
  <si>
    <t>Camiones/1,000 habitantes</t>
  </si>
  <si>
    <t>Consumo de diésel/cápita</t>
  </si>
  <si>
    <t>Número de camiones/número de acoplados</t>
  </si>
  <si>
    <t>Number of Trucks / number of trailers</t>
  </si>
  <si>
    <t>Rail traffic density</t>
  </si>
  <si>
    <t>Densidad de trafico ferrovario</t>
  </si>
  <si>
    <t>million t-km/km</t>
  </si>
  <si>
    <t>millones t-km/km</t>
  </si>
  <si>
    <t>NAC_AR_1_CALC09</t>
  </si>
  <si>
    <t>Comisión Nacional de Regulación del Transporte (CNRT);</t>
  </si>
  <si>
    <t>NAC_BO_1_CALC09</t>
  </si>
  <si>
    <t>NAC_CL_1_CALC09</t>
  </si>
  <si>
    <t>Instituto Nacional de Estadística de Chile (INE);Instituto Nacional de Estadística (2011), Banco Mundial (2008-2010);</t>
  </si>
  <si>
    <t>Ministerio de Transporte. Anuario estadístico 2012;</t>
  </si>
  <si>
    <t>NAC_CR_1_CALC09</t>
  </si>
  <si>
    <t>Instituto Costarricense de Ferrocarriles (INCOFER);</t>
  </si>
  <si>
    <t>NAC_MX_1_CALC09</t>
  </si>
  <si>
    <t>Secretaría de Transporte y Comunicaciones. Anuario Ferroviario 2014;Secretaría de Transporte y Comunicaciones. Anuario Ferroviario 2012;</t>
  </si>
  <si>
    <t>NAC_PE_1_CALC09</t>
  </si>
  <si>
    <t>NAC_UY_1_CALC09</t>
  </si>
  <si>
    <t>Administración de Ferrocarriles del Estado (AFE);</t>
  </si>
  <si>
    <t>NAC_AR_1_CALC10</t>
  </si>
  <si>
    <t>NAC_BB_1_CALC10</t>
  </si>
  <si>
    <t>Servicio Estadístico de Barbados (BSS);</t>
  </si>
  <si>
    <t>NAC_BR_1_CALC10</t>
  </si>
  <si>
    <t>Departamento Nacional de Tránsito (DENATRAN);</t>
  </si>
  <si>
    <t>NAC_CL_1_CALC10</t>
  </si>
  <si>
    <t>NAC_CO_1_CALC10</t>
  </si>
  <si>
    <t>NAC_SV_1_CALC10</t>
  </si>
  <si>
    <t>NAC_GT_1_CALC10</t>
  </si>
  <si>
    <t>NAC_GY_1_CALC10</t>
  </si>
  <si>
    <t>NAC_HN_1_CALC10</t>
  </si>
  <si>
    <t>NAC_JM_1_CALC10</t>
  </si>
  <si>
    <t>NAC_MX_1_CALC10</t>
  </si>
  <si>
    <t>NAC_NI_1_CALC10</t>
  </si>
  <si>
    <t>NAC_PA_1_CALC10</t>
  </si>
  <si>
    <t>NAC_PY_1_CALC10</t>
  </si>
  <si>
    <t>NAC_PE_1_CALC10</t>
  </si>
  <si>
    <t>NAC_UY_1_CALC10</t>
  </si>
  <si>
    <t>Densidad de carreteras (km/1,000 habitantes)</t>
  </si>
  <si>
    <t xml:space="preserve">Explore the Yearbook’s data in the dynamic spreadsheet and filter the indicators and countries of your interest, perform comparisons, and see the results in graphics. </t>
  </si>
  <si>
    <t xml:space="preserve">Explore los datos del Anuario en la planilla Excel dinámica, filtre los países e indicadores de su interés, realice comparaciones y grafique los resultados. </t>
  </si>
  <si>
    <t>All</t>
  </si>
  <si>
    <t>HighlightCountry</t>
  </si>
  <si>
    <t>HighGroup</t>
  </si>
  <si>
    <t>Detalle Localización</t>
  </si>
  <si>
    <t>Estas tablas fueron exportadas del Anuario de Logística de Carga del BID</t>
  </si>
  <si>
    <t>XL_EXPORT_TEXT</t>
  </si>
  <si>
    <t>These tables were exported from the IDB’s Freight Logistics Yearbook.</t>
  </si>
  <si>
    <t>Freight Transport and Logistics Regional Observatory</t>
  </si>
  <si>
    <t>Observatorio Regional de Transporte de Carga y Logistica</t>
  </si>
  <si>
    <t>PRINT_FOOTER</t>
  </si>
  <si>
    <t>PRINT_HEADER</t>
  </si>
  <si>
    <t>Instituto Nacional de Estadística de Bolivia</t>
  </si>
  <si>
    <t>COMTRADE</t>
  </si>
  <si>
    <t>NAC_DO_1_ROAD06</t>
  </si>
  <si>
    <t>MTC - Oficina General de Planificación y Presupuesto</t>
  </si>
  <si>
    <t>Secretaría de Transporte y Comunicaciones, Autotransporte</t>
  </si>
  <si>
    <t>MTC - Of. Gral de Planeamiento y Presupuesto, Of. de Estadísticas</t>
  </si>
  <si>
    <t>Univ. Tecnológica Nacional, Unidad C3T. 2005. El transporte automotor de cargas en la Argentina</t>
  </si>
  <si>
    <t>Banco Interamericano de Desarrollo, encuestas a firmas</t>
  </si>
  <si>
    <t>Registro Único para la Administración Tributaria Municipal (RUAT)/INE</t>
  </si>
  <si>
    <t>MTC, Superintendencia Nacional de los Registros Públicos, Autoridad Portuaria Nacional</t>
  </si>
  <si>
    <t>Registro Nacional de Transportadores Rodoviarios de Carga, ANTT</t>
  </si>
  <si>
    <t>Banco Interamericano de Desarrollo. 2014. Transporte automotor de carga en Uruguay (próxima publicación)</t>
  </si>
  <si>
    <t>MOPT, Dirección de Planificación Sectorial con información del INEC</t>
  </si>
  <si>
    <t>Ferroviaria Oriental S.A. y Ferroviaria Andina S.A. 2012. Memorias anuales.</t>
  </si>
  <si>
    <t>Departamento Nacional de Infraestructura de Transportes (DNIT) y ANTT</t>
  </si>
  <si>
    <t>MTC - Dirección General de Caminos y Ferrocarriles</t>
  </si>
  <si>
    <t>Ferroviaria Oriental y Ferroviaria Andina, Memorias 2012</t>
  </si>
  <si>
    <t>NAC_CO_1_RAIL19</t>
  </si>
  <si>
    <t>MTC - Dirección de Seguridad Aeronáutica</t>
  </si>
  <si>
    <t>MTC - Dirección General de Aeronáutica Civil</t>
  </si>
  <si>
    <t>MOPT, Consejo Técnico de Aviación - Unidad de Planificación</t>
  </si>
  <si>
    <t>Boletín Estadístico Marítimo de DIRECTEMAR</t>
  </si>
  <si>
    <t>INALOG. Con  información de ANP y sistema Lucía DNA</t>
  </si>
  <si>
    <t>MTOP, ANP y Corporación Navíos S.A.</t>
  </si>
  <si>
    <t>CEPAL (2010), Drewry (2012) y Anuario internacional de contenerizacion (2012)</t>
  </si>
  <si>
    <t>INDEC y Asociación de Fábricas de Automotores (ADEFA)</t>
  </si>
  <si>
    <t>Departamento Nacional de Tránsito (DENATRAN), Agencia Nacional de Transportes Acuáticos (ANTAQ)</t>
  </si>
  <si>
    <t>Ministerio de Obras-Departamento de Diseño Civil y puertos nacionales</t>
  </si>
  <si>
    <t>Informe Anual del Parque Vehicular del INE y Boletin estadístico Marítimo de DIRECTEMAR</t>
  </si>
  <si>
    <t>INEC, Estadísticas de Transporte y Anuario Internacional de Conteinerización (2012)</t>
  </si>
  <si>
    <t>MTC - Of. Gral. De Planificación y Presupuesto, Aut. Portuaria Nacional</t>
  </si>
  <si>
    <t>Ministerio de Transporte, Comunicaciones y Turismo y BID</t>
  </si>
  <si>
    <t>Secretaría de Transporte y Comunicaciones, Autotransporte y área de Puertos</t>
  </si>
  <si>
    <t>Ministerio de Transporte e Infraestructura, Anuario estadístico</t>
  </si>
  <si>
    <t>CÁLCULO</t>
  </si>
  <si>
    <t>Registro Único para la Administración Tributaria Municipal (RUAT)/INE;Indicadores de Desarrollo Mundial (WDI);</t>
  </si>
  <si>
    <t>MTC, Superintendencia Nacional de los Registros Públicos, Autoridad Portuaria Nacional;Fondo Monetario Internacional (FMI);</t>
  </si>
  <si>
    <t>Secretaría de Transporte y Comunicaciones, Autotransporte;Indicadores de Desarrollo Mundial (WDI);</t>
  </si>
  <si>
    <t>MTC - Oficina General de Planificación y Presupuesto;Fondo Monetario Internacional (FMI);</t>
  </si>
  <si>
    <t>Dirección Nacional de Vialidad (DNV);Indicadores de Desarrollo Mundial (WDI);</t>
  </si>
  <si>
    <t>Ferroviaria Oriental S.A., Ferroviaria Andina S.A. (2012). Memorias Anuales;Ferroviaria Oriental S.A. y Ferroviaria Andina S.A. 2012. Memorias anuales.;</t>
  </si>
  <si>
    <t>Agencia Nacional de Transportes Terrestres (ANTT);Departamento Nacional de Infraestructura de Transportes (DNIT) y ANTT;</t>
  </si>
  <si>
    <t>MTC - Of. Gral de Planeamiento y Presupuesto, Of. de Estadísticas;MTC - Dirección General de Caminos y Ferrocarriles;</t>
  </si>
  <si>
    <t>Asociación de Fábricas de Automotores (ADEFA);Univ. Tecnológica Nacional, Unidad C3T. 2005. El transporte automotor de cargas en la Argentina;</t>
  </si>
  <si>
    <t>Secretaría de Transporte y Comunicaciones, Autotransporte;</t>
  </si>
  <si>
    <t>MTC - Oficina General de Planificación y Presupuesto;Ministerio de Transportes y Comunicaciones;</t>
  </si>
  <si>
    <t>Road transport</t>
  </si>
  <si>
    <t>Railway transport</t>
  </si>
  <si>
    <t>Logistics indicators</t>
  </si>
  <si>
    <t>Seleccione un país para ver la fuente y notas</t>
  </si>
  <si>
    <t>Click on a country to view source and explanatory notes</t>
  </si>
  <si>
    <t>freight-logistics@iadb.org</t>
  </si>
  <si>
    <t>IDB transport data</t>
  </si>
  <si>
    <t>Datos transporte BID</t>
  </si>
  <si>
    <t>FILE_SUFFIX</t>
  </si>
  <si>
    <t>INDI_ID_21</t>
  </si>
  <si>
    <t>INDI_ID_22</t>
  </si>
  <si>
    <t>INDI_ID_23</t>
  </si>
  <si>
    <t>INDI_ID_24</t>
  </si>
  <si>
    <t>INDI_ID_25</t>
  </si>
  <si>
    <t>INDI_ID_26</t>
  </si>
  <si>
    <t>INDI_ID_27</t>
  </si>
  <si>
    <t>INDI_ID_28</t>
  </si>
  <si>
    <t>Indicator-X</t>
  </si>
  <si>
    <t xml:space="preserve"> Indicador-X</t>
  </si>
  <si>
    <t>Indicator-Y</t>
  </si>
  <si>
    <t xml:space="preserve"> Indicador-Y</t>
  </si>
  <si>
    <t>Group</t>
  </si>
  <si>
    <t>Grupo</t>
  </si>
  <si>
    <t>Transport sector  % GDP</t>
  </si>
  <si>
    <t>%</t>
  </si>
  <si>
    <t>Extent of the transport sector in the total GDP. Each country specifies how it is computed using the International Standard Industrial Classification (ISIC).</t>
  </si>
  <si>
    <t>Participación transporte en PIB</t>
  </si>
  <si>
    <t>Porcentaje de participación del sector transporte en el total del PIB nacional. Cada país especifica como se computa según la Clasificación Internacional Industrial Uniforme (CIIU).</t>
  </si>
  <si>
    <t>millions</t>
  </si>
  <si>
    <t>Total number of inhabitants of a country.</t>
  </si>
  <si>
    <t>Población</t>
  </si>
  <si>
    <t>millones</t>
  </si>
  <si>
    <t>Número total de habitantes de un país.</t>
  </si>
  <si>
    <t>sq km</t>
  </si>
  <si>
    <t>Country area</t>
  </si>
  <si>
    <t>Superficie</t>
  </si>
  <si>
    <t>km2</t>
  </si>
  <si>
    <t>Superficie o área del país.</t>
  </si>
  <si>
    <t>US$ (billions)</t>
  </si>
  <si>
    <t>Economic indicator that reflects the total output of goods and services (monetary value) associated with a country over a period of time (year).</t>
  </si>
  <si>
    <t>Producto Bruto Interno (PBI)</t>
  </si>
  <si>
    <t>US$ (mil millones)</t>
  </si>
  <si>
    <t>Indicador económico que refleja la producción total de bienes y servicios (valor monetario) asociada a un país durante un período de tiempo (año).</t>
  </si>
  <si>
    <t>Gross Domestic Product (Purchasing Power Parity)</t>
  </si>
  <si>
    <t>PIB-PPP</t>
  </si>
  <si>
    <t>Producto Bruto Interno (Paridad de Poder Adquisitivo)</t>
  </si>
  <si>
    <t>Monetary value of all services related to the transport sector, imported by a country.</t>
  </si>
  <si>
    <t>Importación servicios de transporte</t>
  </si>
  <si>
    <t>Valor monetario del total de servicios relacionados con el sector transporte, importados por un país.</t>
  </si>
  <si>
    <t>Monetary value of all services related to the transport sector, exported by a country.</t>
  </si>
  <si>
    <t>Exportación servicios de transporte</t>
  </si>
  <si>
    <t>Valor monetario del total de servicios relacionados con el sector transporte, exportados desde un país.</t>
  </si>
  <si>
    <t>Value of exports</t>
  </si>
  <si>
    <t>Value of national exports</t>
  </si>
  <si>
    <t>Valor de exportaciones</t>
  </si>
  <si>
    <t>Valor monetario de las exportaciones nacionales</t>
  </si>
  <si>
    <t>Volume of exports</t>
  </si>
  <si>
    <t>Volume of national exports</t>
  </si>
  <si>
    <t>Volumen de exportaciones</t>
  </si>
  <si>
    <t>Volumen de las exportaciones nacionales</t>
  </si>
  <si>
    <t>Value of imports</t>
  </si>
  <si>
    <t>Value of national imports</t>
  </si>
  <si>
    <t>Valor de importaciones</t>
  </si>
  <si>
    <t>Valor monetario de las importaciones nacionales</t>
  </si>
  <si>
    <t>Volume of imports</t>
  </si>
  <si>
    <t>tons</t>
  </si>
  <si>
    <t>Volume of national imports</t>
  </si>
  <si>
    <t>Volumen de importaciones</t>
  </si>
  <si>
    <t>Volumen de las importaciones nacionales</t>
  </si>
  <si>
    <t>Consisting of paved and unpaved network. Rural roads are included.</t>
  </si>
  <si>
    <t>Red de carreteras</t>
  </si>
  <si>
    <t>Constituida por red pavimentada y no pavimentada. Se incluyen los caminos rurales.</t>
  </si>
  <si>
    <t>Freeways</t>
  </si>
  <si>
    <t>No standardized definition. Each country has a specific classification.</t>
  </si>
  <si>
    <t>Autopistas</t>
  </si>
  <si>
    <t>Definición no estandarizada. Cada país dispone de una clasificación determinada.</t>
  </si>
  <si>
    <t>Red primaria</t>
  </si>
  <si>
    <t>Red secundaria</t>
  </si>
  <si>
    <t>Otras redes</t>
  </si>
  <si>
    <t>% of total</t>
  </si>
  <si>
    <t>Percentage of paved road network relative to the total or primary network.</t>
  </si>
  <si>
    <t>Red pavimentada</t>
  </si>
  <si>
    <t>% del total</t>
  </si>
  <si>
    <t>Porcentaje de red pavimentada en relación la red total o a la red primaria.</t>
  </si>
  <si>
    <t># vehicles</t>
  </si>
  <si>
    <t>Number of vehicles used to carry freight.</t>
  </si>
  <si>
    <t>Vehículos pesados</t>
  </si>
  <si>
    <t># vehículos</t>
  </si>
  <si>
    <t>Número de vehículos utilizados para transporte de carga.</t>
  </si>
  <si>
    <t>Light trucks under 3.5 ton</t>
  </si>
  <si>
    <t>Number of light trucks under 3.5 ton</t>
  </si>
  <si>
    <t>Camiones de menos de 3.5t</t>
  </si>
  <si>
    <t>Número de camiones de menos de 3.5 tonetalas</t>
  </si>
  <si>
    <t>Heavy trucks over 3.5 ton</t>
  </si>
  <si>
    <t>Number of light trucks over 3.5 ton</t>
  </si>
  <si>
    <t>Camiones de más de 3.5 ton</t>
  </si>
  <si>
    <t>Número de camiones de mas de 3.5 tonetalas</t>
  </si>
  <si>
    <t>years</t>
  </si>
  <si>
    <t>Average number of years of the active truck fleet in the country.</t>
  </si>
  <si>
    <t>Edad promedio de la flota</t>
  </si>
  <si>
    <t>años</t>
  </si>
  <si>
    <t>Número de años promedio de la flota de vehículos de carga activos en el país.</t>
  </si>
  <si>
    <t>Number of total trailers</t>
  </si>
  <si>
    <t>Número de acoplados</t>
  </si>
  <si>
    <t>Número total de acoplados</t>
  </si>
  <si>
    <t>Number of total vehicles</t>
  </si>
  <si>
    <t>Vehículos totales</t>
  </si>
  <si>
    <t>#  vehículos</t>
  </si>
  <si>
    <t>Número de vehículos totales</t>
  </si>
  <si>
    <t># operators</t>
  </si>
  <si>
    <t>Nº de empresas transporte carretero</t>
  </si>
  <si>
    <t># empresas</t>
  </si>
  <si>
    <t>Número de empresas de transporte automotor de carga</t>
  </si>
  <si>
    <t>Motor carrier operators with 1-2 units</t>
  </si>
  <si>
    <t>Number of motor carrier operators with 1 or 2 units</t>
  </si>
  <si>
    <t>Empresas con 1 o 2 vehículos</t>
  </si>
  <si>
    <t>Número de empresas con 1 o 2 vehículos</t>
  </si>
  <si>
    <t>Vehículos por operador</t>
  </si>
  <si>
    <t>Promedio de vehículos por operador</t>
  </si>
  <si>
    <t>Direct employment surface transportation</t>
  </si>
  <si>
    <t># of employees</t>
  </si>
  <si>
    <t>Empleo directo transporte carretero</t>
  </si>
  <si>
    <t># empleados</t>
  </si>
  <si>
    <t>Empleo directo en el área de transporte</t>
  </si>
  <si>
    <t>thousands of barrels</t>
  </si>
  <si>
    <t>Consumo anual diesel oil</t>
  </si>
  <si>
    <t>miles de barriles</t>
  </si>
  <si>
    <t>Consumo anual aceite diesel</t>
  </si>
  <si>
    <t>Annual gasoline comsumption</t>
  </si>
  <si>
    <t>Consumo anual gasolina</t>
  </si>
  <si>
    <t>Consumo anual de gasolina</t>
  </si>
  <si>
    <t>Retail price diesel oil</t>
  </si>
  <si>
    <t>US$/liter</t>
  </si>
  <si>
    <t>Annual average price per liter of diesel fuel type</t>
  </si>
  <si>
    <t>Precio de expendio diesel</t>
  </si>
  <si>
    <t>US$/lt</t>
  </si>
  <si>
    <t>Precio medio anual del litro de combustible tipo diésel</t>
  </si>
  <si>
    <t>Retail price gasoline</t>
  </si>
  <si>
    <t>Annual average price per liter of gasoline fuel type</t>
  </si>
  <si>
    <t>Precio de expendio gasolina</t>
  </si>
  <si>
    <t>Precio medio anual del litro de combustible tipo gasolina</t>
  </si>
  <si>
    <t>Estimated CO2 emissions road transport</t>
  </si>
  <si>
    <t>Carbon dioxide emissions due to road transport activity</t>
  </si>
  <si>
    <t>Emisiones estimadas CO2 transporte carretero</t>
  </si>
  <si>
    <t>Emisiones de dióxido de carbono debidas a la actividad del transporte carretero</t>
  </si>
  <si>
    <t>million t-km</t>
  </si>
  <si>
    <t>Unit of measure of goods transport which represents the transport of one tonne by road over one kilometer. The distance to consider is the distance actually run.</t>
  </si>
  <si>
    <t>Carga doméstica por carretera -productividad</t>
  </si>
  <si>
    <t>millones t-km</t>
  </si>
  <si>
    <t>Unidad de medida que representa el transporte de una tonelada por carretera por un kilometro. La distancia a considerar es la efectivamente recorrida.</t>
  </si>
  <si>
    <t>Weight of cargo transported by road within the national territory.</t>
  </si>
  <si>
    <t>Carga doméstica por carretera</t>
  </si>
  <si>
    <t>Peso de la carga transportada por carretera dentro del territorio nacional.</t>
  </si>
  <si>
    <t>One-way average distance by truck</t>
  </si>
  <si>
    <t>Distancia media</t>
  </si>
  <si>
    <t>Distancia promedio por camión por viaje</t>
  </si>
  <si>
    <t>Freight vehicle traffic -productivity</t>
  </si>
  <si>
    <t>vehic·km</t>
  </si>
  <si>
    <t>Unit of measurement representing the movement of a road motor vehicle over one kilometre. The distance considered is the distance actually run.</t>
  </si>
  <si>
    <t>Tráfico vehículos de carga -productividad</t>
  </si>
  <si>
    <t>veh·km</t>
  </si>
  <si>
    <t>Unidad de medida que representa el movimiento de un vehiculo de carga por un kilometro. La distancia a considerar es la efectivamente recorrida.</t>
  </si>
  <si>
    <t>km/year</t>
  </si>
  <si>
    <t>Average annual distance traveled  by a freight carrier.</t>
  </si>
  <si>
    <t>Distancia promedio por camión</t>
  </si>
  <si>
    <t>km/año</t>
  </si>
  <si>
    <t>Distancia promedio recorrida en un año por un vehículo de transporte de carga.</t>
  </si>
  <si>
    <t>Average number of empty hauls</t>
  </si>
  <si>
    <t>Viajes vacíos</t>
  </si>
  <si>
    <t>Número de viajes vacíos promedio por camión</t>
  </si>
  <si>
    <t>US$/t-km (40 ft cont)</t>
  </si>
  <si>
    <t>Freight tariff between a specific origin and destination. Unit transported is a 40ft container and a weight of 34 tons is assumed.</t>
  </si>
  <si>
    <t>Tarifa media de carga por carretera</t>
  </si>
  <si>
    <t>US$/t-km (cont 40")</t>
  </si>
  <si>
    <t>Precio del flete entre un origen y destino especifos. La unidad transportada es un container de 40" y se asume un peso 34 tons.</t>
  </si>
  <si>
    <t>Total length of the national railway network in operation.</t>
  </si>
  <si>
    <t>Red ferroviaria</t>
  </si>
  <si>
    <t>Longitud total de la red ferroviaria nacional en operación.</t>
  </si>
  <si>
    <t>Length of railway network in operation that provides two-way or more</t>
  </si>
  <si>
    <t>Red con dos o más vías</t>
  </si>
  <si>
    <t>Longitud de la red ferroviaria en operación que dispone de doble vía o más</t>
  </si>
  <si>
    <t>Length of railway network in operation that is electrified</t>
  </si>
  <si>
    <t>Red electrificada</t>
  </si>
  <si>
    <t>Longitud de red ferroviaria en operación que se encuentra electrificada</t>
  </si>
  <si>
    <t># locomotives</t>
  </si>
  <si>
    <t>Total number ofl locomotives</t>
  </si>
  <si>
    <t>Locomotoras totales</t>
  </si>
  <si>
    <t># locomotoras</t>
  </si>
  <si>
    <t>Número de locomotoras totales</t>
  </si>
  <si>
    <t>Number of registered locomotives, intended for the freight transport</t>
  </si>
  <si>
    <t>Locomotoras cabeza de tren de carga</t>
  </si>
  <si>
    <t>Número de locomotoras registradas destinadas al transporte de carga</t>
  </si>
  <si>
    <t>HP</t>
  </si>
  <si>
    <t>Average power of available locomotives used to transport goods.</t>
  </si>
  <si>
    <t>Potencia media de locomotoras de carga</t>
  </si>
  <si>
    <t>Caballos de fuerza</t>
  </si>
  <si>
    <t>Potencia media de la que disponen las locomotoras utilizadas para transporte de mercancías.</t>
  </si>
  <si>
    <t># cars</t>
  </si>
  <si>
    <t>Total number of registered freight wagons</t>
  </si>
  <si>
    <t>Vagones de carga</t>
  </si>
  <si>
    <t># vagones</t>
  </si>
  <si>
    <t>Número total de vagones de carga registrados de forma oficial</t>
  </si>
  <si>
    <t>Refers to the total carrying capacity of rolling stock</t>
  </si>
  <si>
    <t>Capacidad estática de carga</t>
  </si>
  <si>
    <t>Se refiere a la capacidad transportadora total del material rodante ferroviario de carga del país</t>
  </si>
  <si>
    <t># companies</t>
  </si>
  <si>
    <t>Number of companies engaged in related railway freight activities.</t>
  </si>
  <si>
    <t>Empresas ferroviarias de carga</t>
  </si>
  <si>
    <t>Número de empresas dedicadas a actividades relacionadas con el transporte ferroviario de mercancías.</t>
  </si>
  <si>
    <t>Direct employment in railway transportation rail freight</t>
  </si>
  <si>
    <t># employees</t>
  </si>
  <si>
    <t>Employment generated directly by the companies involved in rail freight</t>
  </si>
  <si>
    <t>Empleo directo transporte ferroviario</t>
  </si>
  <si>
    <t>Empleo generado de forma directa por las empresas dedicadas al transporte ferroviario de carga</t>
  </si>
  <si>
    <t>Fuel consumption rail freight</t>
  </si>
  <si>
    <t>lt</t>
  </si>
  <si>
    <t>Annual consumption of fuel in the rail sector</t>
  </si>
  <si>
    <t>Consumo combustible carga ferroviaria</t>
  </si>
  <si>
    <t>Consumo anual de combustible en el sector ferroviario</t>
  </si>
  <si>
    <t>Electric power consumption rail freight</t>
  </si>
  <si>
    <t>kWh</t>
  </si>
  <si>
    <t>Annual consumption of electricity for electrified rail transport network</t>
  </si>
  <si>
    <t>Consumo energía eléctrica carga ferroviaria</t>
  </si>
  <si>
    <t>Consumo anual de electricidad para el transporte ferroviario por red electrificada</t>
  </si>
  <si>
    <t>Estimated CO2 emissions rail freight</t>
  </si>
  <si>
    <t>Carbon dioxide emissions due to railway transport activity.</t>
  </si>
  <si>
    <t>Emisiones estimadas de CO2 carga ferroviaria</t>
  </si>
  <si>
    <t>Emisiones de dióxido de carbono debidas a la actividad del transporte ferroviario.</t>
  </si>
  <si>
    <t>Rail freight -productivity</t>
  </si>
  <si>
    <t>Unit of measure of goods transport which represents the transport of one tonne by rail over one kilometre. The distance to be considered is the distance actually run.</t>
  </si>
  <si>
    <t>Carga ferroviaria -productividad</t>
  </si>
  <si>
    <t>Unidad de medida que representa el transporte de una tonelada por ferrocarril por un kilometro de via. La distancia a considerar es la efectivamente recorrida.</t>
  </si>
  <si>
    <t>Total rail freight</t>
  </si>
  <si>
    <t>Weight of cargo transported by rail within the national territory.</t>
  </si>
  <si>
    <t>Carga ferroviaria total</t>
  </si>
  <si>
    <t>Peso de la carga transportada por ferrocarril dentro del territorio nacional.</t>
  </si>
  <si>
    <t>Annual train engine producvity</t>
  </si>
  <si>
    <t>t·km/year</t>
  </si>
  <si>
    <t>Productivity that reflects cargo carried on national territory by freight locomotive</t>
  </si>
  <si>
    <t>Productividad anual por locomotora cabeza  tren</t>
  </si>
  <si>
    <t>t·km/año</t>
  </si>
  <si>
    <t>Productividad que refleja la carga transportada en territorio nacional por locomotora de carga</t>
  </si>
  <si>
    <t>Productivity that reflects cargo carried on national territory by freight wagon</t>
  </si>
  <si>
    <t>Productividad anual por vagón</t>
  </si>
  <si>
    <t>Productividad que refleja la carga transportada en territorio nacional por vagón de carga</t>
  </si>
  <si>
    <t>US$/t-km</t>
  </si>
  <si>
    <t>Average dollar value per ton-kilometer.</t>
  </si>
  <si>
    <t>Tarifa media de carga por ferrocarril</t>
  </si>
  <si>
    <t>Valor medio monetario por tonelada-kilómetro recorrido.</t>
  </si>
  <si>
    <t># airports</t>
  </si>
  <si>
    <t>Number of international airports with facilities for international air cargo handling.</t>
  </si>
  <si>
    <t>Aeropuertos internacionales con instalaciones de carga</t>
  </si>
  <si>
    <t># aeropuertos</t>
  </si>
  <si>
    <t>Número de aeropuertos internacionales que disponen de instalaciones para manejo de carga aérea internacional.</t>
  </si>
  <si>
    <t>Maximum aircraft approach category</t>
  </si>
  <si>
    <t>FAA/OACI category</t>
  </si>
  <si>
    <t>Classification of the ICAO used for categorization, planning and design of airports</t>
  </si>
  <si>
    <t>Categoría máx de naves aeropuertos int'l</t>
  </si>
  <si>
    <t>categoría FAA/OACI</t>
  </si>
  <si>
    <t>Clasificación de la OACI  utilizada para la categorización, planificación y diseño de aeropuertos</t>
  </si>
  <si>
    <t>Instrument approach available in international airports</t>
  </si>
  <si>
    <t>yes=1/no=0</t>
  </si>
  <si>
    <t>Indicates the presence or absence of instruments for approach maneuvers (ILS) in the main international airport/s.</t>
  </si>
  <si>
    <t>Capacidad de aproximación instrumentos aeropuertos internacionales</t>
  </si>
  <si>
    <t>si=1/no=0</t>
  </si>
  <si>
    <t>Indica la existencia o inexistencia de instrumentos para las maniobras de aproximación (ILS) en el/los principales aeropuertos internacionales.</t>
  </si>
  <si>
    <t>Cargo facilities area in international airports</t>
  </si>
  <si>
    <t>sq m</t>
  </si>
  <si>
    <t>Surface occupied by cargo terminal area at international airports.</t>
  </si>
  <si>
    <t>Área terminales de carga aeropuertos internacionales</t>
  </si>
  <si>
    <t>m2</t>
  </si>
  <si>
    <t>Superficie ocupada por terminal de carga en aeropuertos internacionales.</t>
  </si>
  <si>
    <t>Domestic air freight</t>
  </si>
  <si>
    <t>Weight of cargo transported by air inside the country.</t>
  </si>
  <si>
    <t>Carga aérea doméstica</t>
  </si>
  <si>
    <t>Peso medio de viaje de carga transportada vía aérea dentro del territorio nacional.</t>
  </si>
  <si>
    <t>International air freight</t>
  </si>
  <si>
    <t>Weight of cargo transported internationally by air.</t>
  </si>
  <si>
    <t>Carga aérea internacional</t>
  </si>
  <si>
    <t>Peso medio de viaje de carga transportada vía aérea internacionalmente.</t>
  </si>
  <si>
    <t>Average weight per kilometer traveled of cargo transported by air within the national territory.</t>
  </si>
  <si>
    <t>Productividad del transporte doméstico aéreo de carga</t>
  </si>
  <si>
    <t>Peso medio por kilómetro de viaje de carga transportada por vía aérea dentro del territorio nacional.</t>
  </si>
  <si>
    <t>feet</t>
  </si>
  <si>
    <t>Depth of the maneuvering and berthing areas in the main port which determines maximum vessel draft allowed.</t>
  </si>
  <si>
    <t>Calado máximo terminal de contenedores</t>
  </si>
  <si>
    <t>pies</t>
  </si>
  <si>
    <t>Profundidad de las áreas de maniobra y atraque en el puerto principal que determina calado máximo de buque permitido.</t>
  </si>
  <si>
    <t>Total number of gantry cranes operating in the main port of each country.</t>
  </si>
  <si>
    <t>Grúas pórtico</t>
  </si>
  <si>
    <t>Número total de grúas tipo pórtico operando en el puerto principal de cada país.</t>
  </si>
  <si>
    <t>Container and multipurpose berth length</t>
  </si>
  <si>
    <t>meters</t>
  </si>
  <si>
    <t>Quay length of each country's main port.</t>
  </si>
  <si>
    <t>Longitud muelles multipropósito y  contenedores</t>
  </si>
  <si>
    <t>m</t>
  </si>
  <si>
    <t>Longitud de muelle del principal puerto de cada país.</t>
  </si>
  <si>
    <t>Container storage facilities area</t>
  </si>
  <si>
    <t>Total existing container yard area of the main port of each country.</t>
  </si>
  <si>
    <t>Superfície patios portuarios de contenedores</t>
  </si>
  <si>
    <t>Superficie total existente de patio de contenedores del principal puerto de cada país.</t>
  </si>
  <si>
    <t>DWT (thousands)</t>
  </si>
  <si>
    <t>Deadweight tonnage (dwt) of the world merchant fleet registered in each country.</t>
  </si>
  <si>
    <t>Buques bajo bandera</t>
  </si>
  <si>
    <t>TPM (miles)</t>
  </si>
  <si>
    <t>Toneladas de peso muerto (TPM) de la flota mercante mundial matriculada en el país.</t>
  </si>
  <si>
    <t>Total volume of maritime cargo handled by the port system of each country. Includes imports, exports, shipping and transit.</t>
  </si>
  <si>
    <t>Movimiento portuario de cargas total</t>
  </si>
  <si>
    <t>Volumen total de carga marítima movilizada por el sistema portuario de cada país. Incluye importaciones, exportaciones, cabotaje y tránsitos.</t>
  </si>
  <si>
    <t>Exports port traffic</t>
  </si>
  <si>
    <t>Total volume of maritime cargo handled by the port system of each country for exports.</t>
  </si>
  <si>
    <t>Tráfico portuario de exportaciones</t>
  </si>
  <si>
    <t>Volumen total de carga marítima movilizada por el sistema portuario de cada país para exportaciones.</t>
  </si>
  <si>
    <t>Imports port traffic</t>
  </si>
  <si>
    <t>Total volume of maritime cargo handled by the port system of each country for imports.</t>
  </si>
  <si>
    <t>Tráfico portuario de importaciones</t>
  </si>
  <si>
    <t>Volumen total de carga marítima movilizada por el sistema portuario de cada país para importaciones.</t>
  </si>
  <si>
    <t>Total port traffic domestic movements (inbound &amp; outbound)</t>
  </si>
  <si>
    <t>Total volume of maritime cargo handled domestically.</t>
  </si>
  <si>
    <t>Movimiento portuario de cargas doméstico</t>
  </si>
  <si>
    <t>Volumen total de carga marítima movilizada a nivel doméstico.</t>
  </si>
  <si>
    <t>Port container traffic</t>
  </si>
  <si>
    <t>TEU</t>
  </si>
  <si>
    <t>Number of containers mobilized by the analyzed port. Includes imports and exports.</t>
  </si>
  <si>
    <t>Tráfico portuario de contenedores</t>
  </si>
  <si>
    <t>Número de contenedores movilizados por el puerto en análisis. Incluye importaciones y exportaciones.</t>
  </si>
  <si>
    <t>Inland waterway traffic</t>
  </si>
  <si>
    <t>Total volume of goods transported between national river ports.</t>
  </si>
  <si>
    <t>Tráfico de cabotaje fluvial</t>
  </si>
  <si>
    <t>Volumen total de mercancía transportada entre puertos fluviales nacionales.</t>
  </si>
  <si>
    <t>Maritime cabotage traffic</t>
  </si>
  <si>
    <t>Total volume of cargo transported between national seaports.</t>
  </si>
  <si>
    <t>Tráfico  de cabotaje marítimo</t>
  </si>
  <si>
    <t>Volumen total de mercancía transportada entre puertos marítimos nacionales.</t>
  </si>
  <si>
    <t>Average tariff  maritime cabotage</t>
  </si>
  <si>
    <t>Average monetary value per tonne-kilometer in the maritime cabotage mode.</t>
  </si>
  <si>
    <t>Tarifa media de carga cabotaje marítimo</t>
  </si>
  <si>
    <t>Valor medio monetario por tonelada-kilómetro en el modo de cabotaje maritimo.</t>
  </si>
  <si>
    <t>2004=100</t>
  </si>
  <si>
    <t>Level of integration and connectivity of a country with global maritime network, based on the conditions of maritime transport of that country.</t>
  </si>
  <si>
    <t>Índice de conectividad marítima</t>
  </si>
  <si>
    <t>Nivel de integración y conectividad de un país con las redes marítimas globales, basado en las condiciones del transporte marítimo de ese país.</t>
  </si>
  <si>
    <t>Total surface area for infrastructure logistics activities.</t>
  </si>
  <si>
    <t>Superfície de centros logísticos</t>
  </si>
  <si>
    <t>Indicadores logísticos</t>
  </si>
  <si>
    <t>Superficie total destinada a infraestructuras con actividades logísticas.</t>
  </si>
  <si>
    <t>Area occupied by cold storage facilities</t>
  </si>
  <si>
    <t>Superficie total instalaciones de frío</t>
  </si>
  <si>
    <t>Superficie ocupada por instalaciones para almacenaje en frío</t>
  </si>
  <si>
    <t>Rank occupied in the Logistics Performance Index, which measures based on 7 main areas of national logistics performance analysis</t>
  </si>
  <si>
    <t>Ranking Logistics Performance Index</t>
  </si>
  <si>
    <t>Posición ocupada en el Indice de Desempeño Logístico, el cual mide el desempeño logístico nacional basado en 7 ejes principales de análisis</t>
  </si>
  <si>
    <t>Reflects the logistics perceptions based on customs clearance process, trade- and transport-related infrastructure, logistics services, the organization, track and trace, and frequency of shipments.</t>
  </si>
  <si>
    <t>Refleja las percepciones de logística basadas en el proceso de despacho aduanero, el comercio y la infraestructura de transporte, los servicios logísticos, la organización, el seguimiento y rastreo, y la frecuencia de los envíos.</t>
  </si>
  <si>
    <t>Degree of utilization for the three main components of a container terminal: berth length, terminal area and specialized equipment (gantry cranes).</t>
  </si>
  <si>
    <t>Utilización del terminal de contenedores</t>
  </si>
  <si>
    <t>Grado de utilización de los tres componentes principales de un terminal de contenedores: longitud del muelle, área de la terminal y el equipo especializado (grúas pórtico).</t>
  </si>
  <si>
    <t># terminals</t>
  </si>
  <si>
    <t>Number of terminals serving the main consumer market.</t>
  </si>
  <si>
    <t>Competencia en terminales de contenedores</t>
  </si>
  <si>
    <t># terminales</t>
  </si>
  <si>
    <t>Número de terminales que sirven el principal mercado consumidor.</t>
  </si>
  <si>
    <t>Gateway proximity to population center.</t>
  </si>
  <si>
    <t>proximity scale</t>
  </si>
  <si>
    <t>Proximity of the country's main production/consumption center to the main port. Proximity scale is: 1 for 0-24km, 2 for 25-59km, 3 for 60-124km, 4 for 125-249km, 5 for 250-499km, 6 for &gt; 600km.</t>
  </si>
  <si>
    <t>Proximidad entre principal puerto internacional y principal mercado.</t>
  </si>
  <si>
    <t>escala de proximidad</t>
  </si>
  <si>
    <t>Proximidad del principal centro de producción / consumo del país al puerto principal. La escala de proximidad es: 1 para 0-24km, 2 para 25-59km, 3 para 60-124km, 4 para 125-249km, 5 para 250-499km, 6 para &gt; 600km.</t>
  </si>
  <si>
    <t>teu/truck</t>
  </si>
  <si>
    <t>Indicates availability of road transport. It is constructed with the number of mobilized containers by the port (including imports and exports) divided by the number of vehicles used for road freight.</t>
  </si>
  <si>
    <t>Disponibilidad transporte terrestre para carga marítima</t>
  </si>
  <si>
    <t>teu/camión</t>
  </si>
  <si>
    <t>Indica la disponibilidad del transporte por carretera. Se construye con el número de contenedores movilizados por el puerto (incluyendo importaciones y exportaciones) dividido por el número de vehículos utilizados para transporte de carga terrestre.</t>
  </si>
  <si>
    <t>Performance Infrastructure Index reflects perception of a country's logistics based on the quality of trade and transport related infrastructure.</t>
  </si>
  <si>
    <t>LPI infraestructura</t>
  </si>
  <si>
    <t>El Índice de Desempeño de Infraestructura refleja la percepción de la logística de un país sobre la base de la calidad del comercio y la infraestructura de transporte relacionado.</t>
  </si>
  <si>
    <t>Performance Competence (Services) Index reflects perception of a country's logistics based on the competence and quality of logistics services (e.g., transport operators, customs brokers).</t>
  </si>
  <si>
    <t>LPI competencia (servicios)</t>
  </si>
  <si>
    <t>El Índice de Desempeño de Competencia (Servicios) refleja la percepción de la logística de un país sobre la base de la competencia y la calidad de los servicios de logística (por ejemplo, operadores de transporte, agentes aduaneros).</t>
  </si>
  <si>
    <t>TABLE_ROWS_COUNT</t>
  </si>
  <si>
    <t>Freight Transport and Logistics Yearbook 2014</t>
  </si>
  <si>
    <t>Anuario de Transporte de Carga y Logística 2014</t>
  </si>
  <si>
    <t>Freight Transport and Logistics Yearbook 2014, IDB</t>
  </si>
  <si>
    <t>Anuario de Transporte de Carga y Logística 2014, BID</t>
  </si>
  <si>
    <t>Logistics performance index (LPI) overall score</t>
  </si>
  <si>
    <t>Indice de desempeño logístico (LPI) puntaje general</t>
  </si>
  <si>
    <t>Methodology</t>
  </si>
  <si>
    <t>Data for the Yearbook was collected both from primary and secondary sources. The collection from secondary sources was organized in four stages. The first stage focused on data available online in international organizations and official country websites. While data from international organizations has the advantage of being standardized and periodically updated, it encompassed a very small number of transport-related indicators. Thus, the majority of variables were collected from official government websites especially those of transport or public works ministries, mode-specific agencies, sectoral regulators and private operators. A detailed list of all the sources reviewed in this stage is in place so that data can be easily updated in the future.</t>
  </si>
  <si>
    <t>The second stage included specific requests to national institutions in the twenty six Bank member borrowing countries, to address data gaps. In many cases, data was available yet it had not been made public on websites or official reports. The support from IDB specialists in the field was key at this stage, both to facilitate contacts with specific government offices and to check the accuracy and relevance of the data collected thus far in their countries. The third stage consisted of reviewing academic papers for relevant data to incorporate in the dataset, along with their citations.</t>
  </si>
  <si>
    <t>In the fourth stage, in the cases of time series with sufficient data points, data were interpolated and extrapolated to further increase the database coverage. Separate compounded average growth rates for Caribbean and South American countries were also calculated and used to generate data for missing years in various indicators. All data processing is clearly indicated in the database. Quality checks were also performed to validate the estimates produced at this stage: examples of these are comparisons of countries with similar characteristics to identify possible outliers.</t>
  </si>
  <si>
    <t>Finally, specific variables (most notably, rail and trucking tariffs) were collected directly by the Yearbook team. Brief guidelines were pre-established before the collection exercise to ensure standardization and facilitate comparisons among countries.</t>
  </si>
  <si>
    <t>Los datos del Anuario se recolectaron de fuentes primarias y secundarias. La recolección a partir de fuentes secundarias tuvo cuatro fases. La primera se focalizó en datos disponibles en los sitios web de organismos internacionales y agencias de gobierno. Los datos de organismos internacionales tienen la ventaja de estar estandarizados y actualizarse de manera periódica; sin embargo, recaban pocos datos directamente vinculados al transporte. Por ello, la mayor parte de la información se obtuvo de los sitios web de gobiernos, especialmente los de ministerios de transporte y obras públicas, agencias y reguladores sectoriales y operadores privados. El equipo a cargo del Anuario desarrolló un listado de las fuentes consultadas durante esta etapa para facilitar las actualizaciones futuras.</t>
  </si>
  <si>
    <t>La segunda fase consistió en pedidos de información específicos a instituciones nacionales en los veintiséis países miembros prestatarios del Banco para completar datos faltantes. En muchos casos, los datos estaban disponibles pero no habían sido publicados en la web o en reportes oficiales. El apoyo de los especialistas locales fue clave en esta fase, tanto para para facilitar el contacto con distintas oficinas de gobierno como para revisar la relevancia y exactitud de la información recabada. En la tercera fase fue una revisión de reportes académicos que pudieran contener datos para incorporar en la base.</t>
  </si>
  <si>
    <t xml:space="preserve">Durante la cuarta fase, y en los casos en que había series temporales disponibles, se realizaron interpolaciones y extrapolaciones para ampliar la cobertura de la base. Se estimaron también tasas de crecimiento específicas para el Caribe y Cono Sur, que se usaron para estimar datos faltantes en ciertos indicadores. Todos los mecanismos de procesamiento de datos utilizados se hicieron explícitos en la base de datos. Finalmente, se realizaron controles de calidad de los datos para validar las estimaciones, a través, por ejemplo, de comparaciones entre países de características similares, para identificar valores atípicos. </t>
  </si>
  <si>
    <t>Finalmente, algunas variables específicas (como las tarifas por camión y ferrocarril) fueron recolectadas en forma directa por el equipo a cargo del Anuario. El equipo desarrollo guías breves previo a la recolección para asegurar la estandarización de los datos y facilitar comparaciones entre países.</t>
  </si>
  <si>
    <t>Metodología</t>
  </si>
  <si>
    <t>Habilitar macros</t>
  </si>
  <si>
    <t>The IDB’s Freight Logistics Statistics Yearbook is the first regional effort to collect and standardize data from the sector in 26 countries from Latin America and the Caribbean. Data is compiled from public sources and estimates drawn from publicly available information. Data in the Yearbook is organized in six groups: general indicators, roads, railways, air, water transport, and logistics activities. Explore the Yearbook’s data in the dynamic spreadsheet and filter the indicators and countries of your interest, perform comparisons, and see the results in graphics.
Visit IDB’s Logistics Observatory website to find additional data and analysis on freight transport in the region.</t>
  </si>
  <si>
    <t>http://logisticsportal.iadb.org</t>
  </si>
  <si>
    <t xml:space="preserve">El Anuario Estadístico de Logística de Carga del BID es el primer esfuerzo regional de recolección y estandarización de datos del sector en 26 países de América Latina y el Caribe. Las fuentes de los datos son públicas e incluyen estimaciones derivadas de fuentes públicas. Los datos del Anuario están organizados en seis grupos: indicadores generales, transporte carretero, ferroviario, aéreo, fluvial y marítimo y actividades logísticas. Explore los datos del Anuario en la planilla Excel dinámica, filtre los países e indicadores de su interés, realice comparaciones y grafique los resultados. 
Visite el portal web del Observatorio de Logística del BID. Allí encontrará información y análisis sobre transporte de carga en la región. </t>
  </si>
  <si>
    <t>Aclaración</t>
  </si>
  <si>
    <t>Disclaimer</t>
  </si>
  <si>
    <t>Data in the Yearbook was compiled from available secondary sources, and is constantly being updated. If you have access to more current data or would like to contribute with additional information to IDB’s Logistics Regional Observatory, please contact us at:</t>
  </si>
  <si>
    <t>Los datos fueron recopilados de fuentes secundarias disponibles. Si usted tiene acceso a datos más actualizados o quiere aportar información al Observatorio Regional de Logística del BID, por favor contáctenos:</t>
  </si>
  <si>
    <t>Copyright © 2015 Banco Interamericano de Desarrollo.</t>
  </si>
  <si>
    <t xml:space="preserve">Copyright © 2015 Inter-American Development Bank. </t>
  </si>
  <si>
    <t>This work is licensed under a Creative Commons IGO 3.0 Attribution-NonCommercial-NoDerivatives license (http://creativecommons.org/licenses/by-nc-nd/3.0/igo/legalcode) and may be reproduced with attribution to the IDB and for any non-commercial purpose. 
No derivative work is allowed.
Any dispute related to the use of the works of the IDB that cannot be settled amicably shall be submitted to arbitration pursuant to the UNCITRAL rules. The use of the IDB’s name for any purpose other than for attribution, and the use of IDB’s logo shall be subject to a separate written license agreement between the IDB and the user and is not authorized as part of this CC-IGO license.
Note that link provided above includes additional terms and conditions of the license.
The results offered in this database/dataset are those compiled by the authors and do not necessarily reflect the views of the Inter-American Development Bank, its Board of Directors, or the countries they represent.</t>
  </si>
  <si>
    <t>Esta obra se encuentra sujeta a una licencia CreativeCommons IGO 3.0 Reconocimiento-NoComercial-SinObrasDerivadas (CC-IGO 3.0 BY-NC-ND) (http://creativecommons.org/licenses/by-nc-nd/3.0/igo/legalcode) y puede ser reproducida para cualquier uso no-comercial otorgando el reconocimiento respectivo al BID. 
No se permiten obras derivadas.
Cualquier disputa relacionada con el uso de las obras del BID que no pueda resolverse amistosamente se someterá a arbitraje de conformidad con las reglas de la CNUDMI (UNCITRAL). El uso del nombre del BID para cualquier fin distinto al reconocimiento respectivo y el uso del logotipo del BID, no están autorizados por esta licencia CC-IGO y requieren de un acuerdo de licencia adicional.
Note que el enlace URL incluye términos y condiciones adicionales de esta licencia.
Los resultados ofrecidos en esta/e base de datos/conjunto de datos son los compilados por los autores y no necesariamente reflejan el punto de vista del Banco Interamericano de Desarrollo, de su Directorio Ejecutivo ni de los países que representa.</t>
  </si>
  <si>
    <t>1) National Accounts methods.  Annual frequency. ISIC I.</t>
  </si>
  <si>
    <t>2) Based on data extrapolation from years 2008-2011. World Bank estimations and national census.  Annual frequency.</t>
  </si>
  <si>
    <t>3) World Bank estimations and national census. Annual frequency.</t>
  </si>
  <si>
    <t>4) International Monetary Fund data collection. Annual frequency.</t>
  </si>
  <si>
    <t>5) Calculation</t>
  </si>
  <si>
    <t>6) Based on data extrapolation from years 2008-2011. Annual frequency.</t>
  </si>
  <si>
    <t>7) Data corresponds to year 2005.</t>
  </si>
  <si>
    <t>8) Data collected annually. Trucks do not include semitrailers.</t>
  </si>
  <si>
    <t>9) Transport rate from the port of Buenos Aires to the city of Zarate (150km)</t>
  </si>
  <si>
    <t>10) Data corresponds to year 2011.</t>
  </si>
  <si>
    <t>11) CNRT collects data from the companies annually.</t>
  </si>
  <si>
    <t>12) M Pistarini, Comodoro R Salomon, El Calafate, Formosa, E Mosconi, T. Noel, F. Gabrielli, Guzman, N. Fernandez, Gral S Martin, Pte Peron, Taravella, Resistencia, Islas Malvinas, M. de Guemes, Matienzo, Ushuaia, J Newbery</t>
  </si>
  <si>
    <t>13) INDEC collects the data annually.</t>
  </si>
  <si>
    <t>14) Port of Buenos Aires.</t>
  </si>
  <si>
    <t>15) UNCTAD calculates the index annually.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</si>
</sst>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86" x14ac:knownFonts="1">
    <font>
      <sz val="11"/>
      <color theme="1"/>
      <name val="Calibri"/>
      <family val="2"/>
      <scheme val="minor"/>
    </font>
    <font>
      <sz val="8"/>
      <color indexed="8"/>
      <name val="Calibri"/>
      <family val="2"/>
    </font>
    <font>
      <sz val="18"/>
      <color indexed="8"/>
      <name val="Calibri"/>
      <family val="2"/>
    </font>
    <font>
      <sz val="12"/>
      <color indexed="30"/>
      <name val="Calibri"/>
      <family val="2"/>
    </font>
    <font>
      <i/>
      <sz val="11"/>
      <color indexed="8"/>
      <name val="Calibri"/>
      <family val="2"/>
    </font>
    <font>
      <sz val="9"/>
      <color indexed="8"/>
      <name val="Calibri"/>
      <family val="2"/>
    </font>
    <font>
      <b/>
      <sz val="11"/>
      <color indexed="8"/>
      <name val="Calibri"/>
      <family val="2"/>
    </font>
    <font>
      <sz val="11"/>
      <color indexed="10"/>
      <name val="Calibri"/>
      <family val="2"/>
    </font>
    <font>
      <sz val="11"/>
      <color indexed="10"/>
      <name val="Calibri"/>
      <family val="2"/>
    </font>
    <font>
      <b/>
      <sz val="8"/>
      <color indexed="10"/>
      <name val="Calibri"/>
      <family val="2"/>
    </font>
    <font>
      <sz val="8"/>
      <color indexed="8"/>
      <name val="Calibri"/>
      <family val="2"/>
    </font>
    <font>
      <b/>
      <sz val="8"/>
      <color indexed="8"/>
      <name val="Calibri"/>
      <family val="2"/>
    </font>
    <font>
      <sz val="8"/>
      <name val="Calibri"/>
      <family val="2"/>
    </font>
    <font>
      <sz val="8"/>
      <color indexed="10"/>
      <name val="Calibri"/>
      <family val="2"/>
    </font>
    <font>
      <sz val="10.5"/>
      <color indexed="8"/>
      <name val="Consolas"/>
      <family val="3"/>
    </font>
    <font>
      <sz val="8"/>
      <color indexed="17"/>
      <name val="Calibri"/>
      <family val="2"/>
    </font>
    <font>
      <sz val="11"/>
      <color indexed="8"/>
      <name val="Calibri"/>
      <family val="2"/>
    </font>
    <font>
      <b/>
      <sz val="8"/>
      <color indexed="23"/>
      <name val="Calibri"/>
      <family val="2"/>
    </font>
    <font>
      <sz val="8"/>
      <color indexed="23"/>
      <name val="Calibri"/>
      <family val="2"/>
    </font>
    <font>
      <sz val="10"/>
      <color indexed="8"/>
      <name val="Calibri"/>
      <family val="2"/>
    </font>
    <font>
      <sz val="10"/>
      <color indexed="23"/>
      <name val="Calibri"/>
      <family val="2"/>
    </font>
    <font>
      <sz val="10"/>
      <color indexed="10"/>
      <name val="Calibri"/>
      <family val="2"/>
    </font>
    <font>
      <sz val="11"/>
      <color indexed="12"/>
      <name val="Calibri"/>
      <family val="2"/>
    </font>
    <font>
      <sz val="10"/>
      <color indexed="8"/>
      <name val="Arial"/>
      <family val="2"/>
    </font>
    <font>
      <sz val="10"/>
      <name val="Calibri"/>
      <family val="2"/>
    </font>
    <font>
      <b/>
      <sz val="11"/>
      <color indexed="23"/>
      <name val="Calibri"/>
      <family val="2"/>
    </font>
    <font>
      <sz val="11"/>
      <color indexed="9"/>
      <name val="Calibri"/>
      <family val="2"/>
    </font>
    <font>
      <sz val="11"/>
      <color indexed="60"/>
      <name val="Calibri"/>
      <family val="2"/>
    </font>
    <font>
      <sz val="11"/>
      <color indexed="52"/>
      <name val="Calibri"/>
      <family val="2"/>
    </font>
    <font>
      <sz val="11"/>
      <color indexed="40"/>
      <name val="Calibri"/>
      <family val="2"/>
    </font>
    <font>
      <sz val="11"/>
      <color indexed="53"/>
      <name val="Calibri"/>
      <family val="2"/>
    </font>
    <font>
      <sz val="11"/>
      <name val="Calibri"/>
      <family val="2"/>
    </font>
    <font>
      <sz val="11"/>
      <color indexed="51"/>
      <name val="Calibri"/>
      <family val="2"/>
    </font>
    <font>
      <sz val="11"/>
      <color indexed="47"/>
      <name val="Calibri"/>
      <family val="2"/>
    </font>
    <font>
      <sz val="11"/>
      <color indexed="11"/>
      <name val="Calibri"/>
      <family val="2"/>
    </font>
    <font>
      <sz val="11"/>
      <color indexed="42"/>
      <name val="Calibri"/>
      <family val="2"/>
    </font>
    <font>
      <sz val="11"/>
      <color indexed="13"/>
      <name val="Calibri"/>
      <family val="2"/>
    </font>
    <font>
      <sz val="11"/>
      <color indexed="58"/>
      <name val="Calibri"/>
      <family val="2"/>
    </font>
    <font>
      <sz val="10"/>
      <color indexed="53"/>
      <name val="Calibri"/>
      <family val="2"/>
    </font>
    <font>
      <sz val="11"/>
      <color indexed="9"/>
      <name val="Calibri"/>
      <family val="2"/>
    </font>
    <font>
      <sz val="11"/>
      <color indexed="23"/>
      <name val="Calibri"/>
      <family val="2"/>
    </font>
    <font>
      <u/>
      <sz val="20"/>
      <color indexed="60"/>
      <name val="Calibri"/>
      <family val="2"/>
    </font>
    <font>
      <sz val="10"/>
      <color indexed="9"/>
      <name val="Calibri"/>
      <family val="2"/>
    </font>
    <font>
      <b/>
      <sz val="8"/>
      <color indexed="9"/>
      <name val="Calibri"/>
      <family val="2"/>
    </font>
    <font>
      <sz val="11"/>
      <color theme="1"/>
      <name val="Calibri"/>
      <family val="2"/>
      <scheme val="minor"/>
    </font>
    <font>
      <u/>
      <sz val="11"/>
      <color theme="10"/>
      <name val="Calibri"/>
      <family val="2"/>
    </font>
    <font>
      <sz val="8"/>
      <color theme="1"/>
      <name val="Calibri"/>
      <family val="2"/>
      <scheme val="minor"/>
    </font>
    <font>
      <b/>
      <sz val="9"/>
      <color theme="0"/>
      <name val="Calibri"/>
      <family val="2"/>
    </font>
    <font>
      <b/>
      <sz val="8"/>
      <color theme="0"/>
      <name val="Calibri"/>
      <family val="2"/>
    </font>
    <font>
      <sz val="8"/>
      <color theme="0"/>
      <name val="Calibri"/>
      <family val="2"/>
    </font>
    <font>
      <sz val="8"/>
      <color indexed="13"/>
      <name val="Calibri"/>
      <family val="2"/>
    </font>
    <font>
      <sz val="10"/>
      <color theme="1"/>
      <name val="Calibri"/>
      <family val="2"/>
      <scheme val="minor"/>
    </font>
    <font>
      <b/>
      <sz val="10"/>
      <color theme="0"/>
      <name val="Calibri"/>
      <family val="2"/>
    </font>
    <font>
      <sz val="10"/>
      <color theme="0" tint="-0.499984740745262"/>
      <name val="Calibri"/>
      <family val="2"/>
    </font>
    <font>
      <b/>
      <sz val="14"/>
      <color rgb="FF413D35"/>
      <name val="Calibri"/>
      <family val="2"/>
    </font>
    <font>
      <b/>
      <sz val="16"/>
      <color indexed="60"/>
      <name val="Calibri"/>
      <family val="2"/>
    </font>
    <font>
      <sz val="11"/>
      <color theme="0"/>
      <name val="Calibri"/>
      <family val="2"/>
      <scheme val="minor"/>
    </font>
    <font>
      <sz val="11"/>
      <color theme="0"/>
      <name val="Calibri"/>
      <family val="2"/>
    </font>
    <font>
      <sz val="10"/>
      <color theme="0"/>
      <name val="Calibri"/>
      <family val="2"/>
    </font>
    <font>
      <b/>
      <sz val="12"/>
      <color theme="0"/>
      <name val="Calibri"/>
      <family val="2"/>
    </font>
    <font>
      <sz val="12"/>
      <color theme="0"/>
      <name val="Calibri"/>
      <family val="2"/>
    </font>
    <font>
      <b/>
      <sz val="16"/>
      <color theme="0"/>
      <name val="Calibri"/>
      <family val="2"/>
    </font>
    <font>
      <sz val="14"/>
      <color theme="0"/>
      <name val="Calibri"/>
      <family val="2"/>
    </font>
    <font>
      <sz val="10"/>
      <name val="Calibri"/>
      <family val="2"/>
      <scheme val="minor"/>
    </font>
    <font>
      <b/>
      <sz val="12"/>
      <name val="Calibri"/>
      <family val="2"/>
      <scheme val="minor"/>
    </font>
    <font>
      <b/>
      <sz val="10"/>
      <name val="Calibri"/>
      <family val="2"/>
      <scheme val="minor"/>
    </font>
    <font>
      <b/>
      <sz val="11"/>
      <color rgb="FFFF0000"/>
      <name val="Calibri"/>
      <family val="2"/>
      <scheme val="minor"/>
    </font>
    <font>
      <sz val="12"/>
      <color rgb="FF0070C0"/>
      <name val="Calibri"/>
      <family val="2"/>
    </font>
    <font>
      <sz val="24"/>
      <color theme="0"/>
      <name val="Calibri"/>
      <family val="2"/>
    </font>
    <font>
      <b/>
      <sz val="24"/>
      <color rgb="FF5D584C"/>
      <name val="Calibri"/>
      <family val="2"/>
    </font>
    <font>
      <sz val="11"/>
      <color rgb="FFA77D00"/>
      <name val="Calibri"/>
      <family val="2"/>
    </font>
    <font>
      <b/>
      <sz val="12"/>
      <color rgb="FFA77D00"/>
      <name val="Calibri"/>
      <family val="2"/>
    </font>
    <font>
      <b/>
      <sz val="10"/>
      <color rgb="FFA77D00"/>
      <name val="Calibri"/>
      <family val="2"/>
    </font>
    <font>
      <b/>
      <sz val="11"/>
      <color theme="0"/>
      <name val="Calibri"/>
      <family val="2"/>
    </font>
    <font>
      <b/>
      <sz val="10"/>
      <color rgb="FFA77D00"/>
      <name val="Calibri"/>
      <family val="2"/>
      <scheme val="minor"/>
    </font>
    <font>
      <b/>
      <vertAlign val="superscript"/>
      <sz val="11"/>
      <color rgb="FFA77D00"/>
      <name val="Calibri"/>
      <family val="2"/>
    </font>
    <font>
      <sz val="18"/>
      <color rgb="FF000000"/>
      <name val="Calibri"/>
      <family val="2"/>
      <scheme val="minor"/>
    </font>
    <font>
      <b/>
      <sz val="11"/>
      <color rgb="FFA77D00"/>
      <name val="Calibri"/>
      <family val="2"/>
    </font>
    <font>
      <i/>
      <sz val="11"/>
      <color theme="1"/>
      <name val="Calibri"/>
      <family val="2"/>
      <scheme val="minor"/>
    </font>
    <font>
      <u/>
      <sz val="11"/>
      <color rgb="FF0070C0"/>
      <name val="Calibri"/>
      <family val="2"/>
    </font>
    <font>
      <sz val="10"/>
      <color rgb="FFFF0000"/>
      <name val="Calibri"/>
      <family val="2"/>
    </font>
    <font>
      <b/>
      <u/>
      <sz val="18"/>
      <color indexed="60"/>
      <name val="Calibri"/>
      <family val="2"/>
    </font>
    <font>
      <b/>
      <sz val="18"/>
      <color indexed="60"/>
      <name val="Calibri"/>
      <family val="2"/>
    </font>
    <font>
      <b/>
      <sz val="9"/>
      <color theme="1"/>
      <name val="Tahoma"/>
      <family val="2"/>
    </font>
    <font>
      <b/>
      <sz val="12"/>
      <color indexed="60"/>
      <name val="Calibri"/>
      <family val="2"/>
    </font>
    <font>
      <sz val="11"/>
      <color rgb="FF000000"/>
      <name val="Calibri"/>
      <family val="2"/>
    </font>
  </fonts>
  <fills count="41">
    <fill>
      <patternFill patternType="none"/>
    </fill>
    <fill>
      <patternFill patternType="gray125"/>
    </fill>
    <fill>
      <patternFill patternType="solid">
        <fgColor indexed="13"/>
        <bgColor indexed="64"/>
      </patternFill>
    </fill>
    <fill>
      <patternFill patternType="solid">
        <fgColor indexed="55"/>
        <bgColor indexed="64"/>
      </patternFill>
    </fill>
    <fill>
      <patternFill patternType="solid">
        <fgColor indexed="22"/>
        <bgColor indexed="64"/>
      </patternFill>
    </fill>
    <fill>
      <patternFill patternType="solid">
        <fgColor indexed="27"/>
        <bgColor indexed="64"/>
      </patternFill>
    </fill>
    <fill>
      <patternFill patternType="solid">
        <fgColor indexed="44"/>
        <bgColor indexed="64"/>
      </patternFill>
    </fill>
    <fill>
      <patternFill patternType="solid">
        <fgColor indexed="45"/>
        <bgColor indexed="64"/>
      </patternFill>
    </fill>
    <fill>
      <patternFill patternType="solid">
        <fgColor indexed="50"/>
        <bgColor indexed="64"/>
      </patternFill>
    </fill>
    <fill>
      <patternFill patternType="solid">
        <fgColor indexed="47"/>
        <bgColor indexed="64"/>
      </patternFill>
    </fill>
    <fill>
      <patternFill patternType="solid">
        <fgColor indexed="29"/>
        <bgColor indexed="64"/>
      </patternFill>
    </fill>
    <fill>
      <patternFill patternType="solid">
        <fgColor indexed="60"/>
        <bgColor indexed="64"/>
      </patternFill>
    </fill>
    <fill>
      <patternFill patternType="solid">
        <fgColor indexed="17"/>
        <bgColor indexed="64"/>
      </patternFill>
    </fill>
    <fill>
      <patternFill patternType="solid">
        <fgColor indexed="10"/>
        <bgColor indexed="64"/>
      </patternFill>
    </fill>
    <fill>
      <patternFill patternType="solid">
        <fgColor indexed="31"/>
        <bgColor indexed="64"/>
      </patternFill>
    </fill>
    <fill>
      <patternFill patternType="solid">
        <fgColor indexed="53"/>
        <bgColor indexed="64"/>
      </patternFill>
    </fill>
    <fill>
      <patternFill patternType="solid">
        <fgColor indexed="22"/>
        <bgColor indexed="0"/>
      </patternFill>
    </fill>
    <fill>
      <patternFill patternType="solid">
        <fgColor indexed="51"/>
        <bgColor indexed="64"/>
      </patternFill>
    </fill>
    <fill>
      <patternFill patternType="solid">
        <fgColor indexed="40"/>
        <bgColor indexed="64"/>
      </patternFill>
    </fill>
    <fill>
      <patternFill patternType="solid">
        <fgColor indexed="52"/>
        <bgColor indexed="64"/>
      </patternFill>
    </fill>
    <fill>
      <patternFill patternType="solid">
        <fgColor indexed="16"/>
        <bgColor indexed="64"/>
      </patternFill>
    </fill>
    <fill>
      <patternFill patternType="solid">
        <fgColor indexed="14"/>
        <bgColor indexed="64"/>
      </patternFill>
    </fill>
    <fill>
      <patternFill patternType="solid">
        <fgColor indexed="8"/>
        <bgColor indexed="64"/>
      </patternFill>
    </fill>
    <fill>
      <patternFill patternType="solid">
        <fgColor indexed="11"/>
        <bgColor indexed="64"/>
      </patternFill>
    </fill>
    <fill>
      <patternFill patternType="solid">
        <fgColor indexed="42"/>
        <bgColor indexed="64"/>
      </patternFill>
    </fill>
    <fill>
      <patternFill patternType="solid">
        <fgColor indexed="58"/>
        <bgColor indexed="64"/>
      </patternFill>
    </fill>
    <fill>
      <patternFill patternType="solid">
        <fgColor indexed="34"/>
        <bgColor indexed="64"/>
      </patternFill>
    </fill>
    <fill>
      <patternFill patternType="solid">
        <fgColor rgb="FFFFFF00"/>
        <bgColor indexed="64"/>
      </patternFill>
    </fill>
    <fill>
      <patternFill patternType="solid">
        <fgColor rgb="FFFF0000"/>
        <bgColor indexed="64"/>
      </patternFill>
    </fill>
    <fill>
      <patternFill patternType="solid">
        <fgColor theme="6" tint="0.79998168889431442"/>
        <bgColor indexed="64"/>
      </patternFill>
    </fill>
    <fill>
      <patternFill patternType="solid">
        <fgColor theme="9" tint="-0.249977111117893"/>
        <bgColor indexed="64"/>
      </patternFill>
    </fill>
    <fill>
      <patternFill patternType="solid">
        <fgColor rgb="FF00B05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5F2EB"/>
        <bgColor indexed="64"/>
      </patternFill>
    </fill>
    <fill>
      <patternFill patternType="solid">
        <fgColor rgb="FFD5CDB8"/>
        <bgColor indexed="64"/>
      </patternFill>
    </fill>
    <fill>
      <patternFill patternType="solid">
        <fgColor rgb="FF5C5C55"/>
        <bgColor indexed="64"/>
      </patternFill>
    </fill>
    <fill>
      <patternFill patternType="solid">
        <fgColor rgb="FFFFC213"/>
        <bgColor indexed="64"/>
      </patternFill>
    </fill>
    <fill>
      <patternFill patternType="solid">
        <fgColor rgb="FF77776D"/>
        <bgColor indexed="64"/>
      </patternFill>
    </fill>
    <fill>
      <patternFill patternType="solid">
        <fgColor theme="0"/>
        <bgColor indexed="64"/>
      </patternFill>
    </fill>
    <fill>
      <patternFill patternType="solid">
        <fgColor rgb="FFD6CEB9"/>
        <bgColor indexed="64"/>
      </patternFill>
    </fill>
  </fills>
  <borders count="31">
    <border>
      <left/>
      <right/>
      <top/>
      <bottom/>
      <diagonal/>
    </border>
    <border>
      <left/>
      <right style="medium">
        <color indexed="9"/>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right/>
      <top style="hair">
        <color indexed="22"/>
      </top>
      <bottom style="hair">
        <color indexed="22"/>
      </bottom>
      <diagonal/>
    </border>
    <border>
      <left style="thin">
        <color indexed="8"/>
      </left>
      <right style="thin">
        <color indexed="8"/>
      </right>
      <top style="thin">
        <color indexed="8"/>
      </top>
      <bottom style="thin">
        <color indexed="8"/>
      </bottom>
      <diagonal/>
    </border>
    <border>
      <left/>
      <right/>
      <top style="thin">
        <color theme="0" tint="-0.14996795556505021"/>
      </top>
      <bottom style="thin">
        <color theme="0" tint="-0.1499679555650502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theme="0" tint="-0.14993743705557422"/>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theme="0" tint="-0.14993743705557422"/>
      </right>
      <top style="thin">
        <color theme="0" tint="-0.14993743705557422"/>
      </top>
      <bottom style="thin">
        <color theme="0" tint="-0.14996795556505021"/>
      </bottom>
      <diagonal/>
    </border>
    <border>
      <left style="thin">
        <color theme="0" tint="-0.14993743705557422"/>
      </left>
      <right/>
      <top style="thin">
        <color theme="0" tint="-0.14996795556505021"/>
      </top>
      <bottom style="thin">
        <color theme="0" tint="-0.14996795556505021"/>
      </bottom>
      <diagonal/>
    </border>
    <border>
      <left/>
      <right style="thin">
        <color theme="0" tint="-0.14993743705557422"/>
      </right>
      <top style="thin">
        <color theme="0" tint="-0.14996795556505021"/>
      </top>
      <bottom style="thin">
        <color theme="0" tint="-0.14996795556505021"/>
      </bottom>
      <diagonal/>
    </border>
    <border>
      <left style="thin">
        <color theme="0" tint="-0.14993743705557422"/>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right/>
      <top/>
      <bottom style="thin">
        <color theme="0" tint="-4.9989318521683403E-2"/>
      </bottom>
      <diagonal/>
    </border>
    <border>
      <left style="thin">
        <color theme="0" tint="-0.24994659260841701"/>
      </left>
      <right/>
      <top style="thin">
        <color theme="0" tint="-0.24994659260841701"/>
      </top>
      <bottom style="hair">
        <color indexed="22"/>
      </bottom>
      <diagonal/>
    </border>
    <border>
      <left/>
      <right/>
      <top style="thin">
        <color theme="0" tint="-0.24994659260841701"/>
      </top>
      <bottom style="hair">
        <color indexed="22"/>
      </bottom>
      <diagonal/>
    </border>
    <border>
      <left style="thin">
        <color theme="0" tint="-0.24994659260841701"/>
      </left>
      <right/>
      <top style="hair">
        <color indexed="22"/>
      </top>
      <bottom style="hair">
        <color indexed="22"/>
      </bottom>
      <diagonal/>
    </border>
    <border>
      <left style="thin">
        <color theme="0" tint="-0.24994659260841701"/>
      </left>
      <right/>
      <top style="hair">
        <color indexed="22"/>
      </top>
      <bottom style="thin">
        <color theme="0" tint="-0.24994659260841701"/>
      </bottom>
      <diagonal/>
    </border>
    <border>
      <left/>
      <right/>
      <top style="hair">
        <color indexed="22"/>
      </top>
      <bottom style="thin">
        <color theme="0" tint="-0.24994659260841701"/>
      </bottom>
      <diagonal/>
    </border>
    <border>
      <left/>
      <right style="thin">
        <color theme="0" tint="-0.24994659260841701"/>
      </right>
      <top style="hair">
        <color indexed="22"/>
      </top>
      <bottom style="hair">
        <color indexed="22"/>
      </bottom>
      <diagonal/>
    </border>
    <border>
      <left/>
      <right style="thin">
        <color theme="0" tint="-0.24994659260841701"/>
      </right>
      <top style="hair">
        <color indexed="22"/>
      </top>
      <bottom style="thin">
        <color theme="0" tint="-0.24994659260841701"/>
      </bottom>
      <diagonal/>
    </border>
    <border>
      <left style="thin">
        <color theme="0" tint="-0.14996795556505021"/>
      </left>
      <right style="thin">
        <color theme="0" tint="-0.14996795556505021"/>
      </right>
      <top style="hair">
        <color indexed="22"/>
      </top>
      <bottom style="hair">
        <color indexed="22"/>
      </bottom>
      <diagonal/>
    </border>
    <border>
      <left style="thin">
        <color theme="0" tint="-0.14996795556505021"/>
      </left>
      <right style="thin">
        <color theme="0" tint="-0.14996795556505021"/>
      </right>
      <top style="hair">
        <color indexed="22"/>
      </top>
      <bottom style="thin">
        <color theme="0" tint="-0.24994659260841701"/>
      </bottom>
      <diagonal/>
    </border>
    <border>
      <left style="thin">
        <color theme="0" tint="-0.14996795556505021"/>
      </left>
      <right style="thin">
        <color theme="0" tint="-0.14996795556505021"/>
      </right>
      <top/>
      <bottom style="hair">
        <color indexed="22"/>
      </bottom>
      <diagonal/>
    </border>
    <border>
      <left/>
      <right style="thin">
        <color theme="0" tint="-0.24994659260841701"/>
      </right>
      <top/>
      <bottom style="hair">
        <color indexed="22"/>
      </bottom>
      <diagonal/>
    </border>
    <border>
      <left/>
      <right/>
      <top style="thin">
        <color theme="0" tint="-0.14996795556505021"/>
      </top>
      <bottom/>
      <diagonal/>
    </border>
  </borders>
  <cellStyleXfs count="4">
    <xf numFmtId="0" fontId="0" fillId="0" borderId="0"/>
    <xf numFmtId="0" fontId="45" fillId="0" borderId="0" applyNumberFormat="0" applyFill="0" applyBorder="0" applyAlignment="0" applyProtection="0">
      <alignment vertical="top"/>
      <protection locked="0"/>
    </xf>
    <xf numFmtId="0" fontId="44" fillId="0" borderId="0"/>
    <xf numFmtId="0" fontId="23" fillId="0" borderId="0"/>
  </cellStyleXfs>
  <cellXfs count="272">
    <xf numFmtId="0" fontId="0" fillId="0" borderId="0" xfId="0"/>
    <xf numFmtId="0" fontId="10" fillId="0" borderId="0" xfId="0" applyFont="1"/>
    <xf numFmtId="0" fontId="11" fillId="0" borderId="0" xfId="0" applyFont="1"/>
    <xf numFmtId="0" fontId="11" fillId="0" borderId="0" xfId="0" applyFont="1" applyAlignment="1">
      <alignment wrapText="1"/>
    </xf>
    <xf numFmtId="0" fontId="12" fillId="0" borderId="0" xfId="0" applyFont="1"/>
    <xf numFmtId="0" fontId="10" fillId="0" borderId="0" xfId="0" applyFont="1" applyAlignment="1"/>
    <xf numFmtId="0" fontId="13" fillId="0" borderId="0" xfId="0" applyFont="1"/>
    <xf numFmtId="0" fontId="10" fillId="2" borderId="0" xfId="0" applyFont="1" applyFill="1"/>
    <xf numFmtId="0" fontId="0" fillId="3" borderId="0" xfId="0" applyFill="1"/>
    <xf numFmtId="0" fontId="0" fillId="0" borderId="0" xfId="0" applyFill="1"/>
    <xf numFmtId="0" fontId="14" fillId="0" borderId="0" xfId="0" applyFont="1"/>
    <xf numFmtId="0" fontId="10" fillId="0" borderId="0" xfId="0" applyFont="1" applyAlignment="1">
      <alignment horizontal="left"/>
    </xf>
    <xf numFmtId="0" fontId="10" fillId="4" borderId="0" xfId="0" applyFont="1" applyFill="1"/>
    <xf numFmtId="0" fontId="11" fillId="4" borderId="0" xfId="0" applyFont="1" applyFill="1"/>
    <xf numFmtId="0" fontId="0" fillId="0" borderId="0" xfId="0" applyAlignment="1">
      <alignment horizontal="right"/>
    </xf>
    <xf numFmtId="0" fontId="3" fillId="0" borderId="0" xfId="0" applyFont="1" applyAlignment="1"/>
    <xf numFmtId="0" fontId="4" fillId="0" borderId="0" xfId="0" applyFont="1"/>
    <xf numFmtId="0" fontId="1" fillId="0" borderId="0" xfId="0" applyFont="1"/>
    <xf numFmtId="0" fontId="10" fillId="5" borderId="1" xfId="0" applyFont="1" applyFill="1" applyBorder="1"/>
    <xf numFmtId="0" fontId="10" fillId="5" borderId="2" xfId="0" applyFont="1" applyFill="1" applyBorder="1"/>
    <xf numFmtId="0" fontId="0" fillId="6" borderId="2" xfId="0" applyFont="1" applyFill="1" applyBorder="1"/>
    <xf numFmtId="0" fontId="10" fillId="0" borderId="3" xfId="0" applyFont="1" applyBorder="1" applyAlignment="1">
      <alignment horizontal="center"/>
    </xf>
    <xf numFmtId="0" fontId="10" fillId="0" borderId="0" xfId="0" applyFont="1" applyAlignment="1">
      <alignment horizontal="right"/>
    </xf>
    <xf numFmtId="0" fontId="15" fillId="0" borderId="0" xfId="0" applyFont="1"/>
    <xf numFmtId="0" fontId="16" fillId="0" borderId="0" xfId="0" applyFont="1"/>
    <xf numFmtId="0" fontId="17" fillId="0" borderId="0" xfId="0" applyFont="1"/>
    <xf numFmtId="0" fontId="18" fillId="0" borderId="0" xfId="0" applyFont="1"/>
    <xf numFmtId="0" fontId="0" fillId="7" borderId="0" xfId="0" applyFill="1"/>
    <xf numFmtId="0" fontId="0" fillId="8" borderId="0" xfId="0" applyFill="1"/>
    <xf numFmtId="0" fontId="5" fillId="0" borderId="0" xfId="2" applyFont="1"/>
    <xf numFmtId="0" fontId="0" fillId="4" borderId="0" xfId="0" applyFill="1"/>
    <xf numFmtId="0" fontId="0" fillId="9" borderId="0" xfId="0" applyFill="1"/>
    <xf numFmtId="0" fontId="0" fillId="10" borderId="0" xfId="0" applyFill="1"/>
    <xf numFmtId="0" fontId="0" fillId="11" borderId="0" xfId="0" applyFill="1"/>
    <xf numFmtId="0" fontId="0" fillId="6" borderId="0" xfId="0" applyFill="1"/>
    <xf numFmtId="0" fontId="0" fillId="12" borderId="0" xfId="0" applyFill="1"/>
    <xf numFmtId="0" fontId="0" fillId="13" borderId="0" xfId="0" applyFill="1"/>
    <xf numFmtId="0" fontId="0" fillId="0" borderId="0" xfId="0" applyAlignment="1">
      <alignment horizontal="left"/>
    </xf>
    <xf numFmtId="0" fontId="19" fillId="0" borderId="0" xfId="0" applyFont="1"/>
    <xf numFmtId="0" fontId="10" fillId="14" borderId="0" xfId="0" applyFont="1" applyFill="1"/>
    <xf numFmtId="0" fontId="0" fillId="0" borderId="0" xfId="0" applyFont="1"/>
    <xf numFmtId="0" fontId="21" fillId="0" borderId="0" xfId="0" applyFont="1"/>
    <xf numFmtId="0" fontId="7" fillId="0" borderId="0" xfId="0" applyFont="1"/>
    <xf numFmtId="0" fontId="8" fillId="0" borderId="0" xfId="0" applyFont="1"/>
    <xf numFmtId="0" fontId="22" fillId="0" borderId="0" xfId="0" applyFont="1"/>
    <xf numFmtId="0" fontId="6" fillId="0" borderId="0" xfId="0" applyFont="1"/>
    <xf numFmtId="0" fontId="7" fillId="3" borderId="0" xfId="0" applyFont="1" applyFill="1"/>
    <xf numFmtId="0" fontId="0" fillId="15" borderId="0" xfId="0" applyFill="1"/>
    <xf numFmtId="3" fontId="13" fillId="0" borderId="0" xfId="0" applyNumberFormat="1" applyFont="1"/>
    <xf numFmtId="0" fontId="10" fillId="0" borderId="0" xfId="0" applyFont="1" applyFill="1"/>
    <xf numFmtId="0" fontId="19" fillId="0" borderId="0" xfId="0" applyFont="1" applyBorder="1"/>
    <xf numFmtId="0" fontId="11" fillId="0" borderId="0" xfId="0" applyFont="1" applyFill="1" applyAlignment="1">
      <alignment vertical="center"/>
    </xf>
    <xf numFmtId="0" fontId="0" fillId="0" borderId="0" xfId="0" applyBorder="1"/>
    <xf numFmtId="0" fontId="0" fillId="0" borderId="0" xfId="0" applyFill="1" applyBorder="1"/>
    <xf numFmtId="0" fontId="10" fillId="0" borderId="0" xfId="0" applyFont="1" applyFill="1" applyAlignment="1"/>
    <xf numFmtId="0" fontId="10" fillId="0" borderId="0" xfId="0" applyFont="1" applyFill="1" applyAlignment="1">
      <alignment horizontal="left"/>
    </xf>
    <xf numFmtId="0" fontId="13" fillId="0" borderId="0" xfId="0" applyFont="1" applyFill="1"/>
    <xf numFmtId="0" fontId="1" fillId="16" borderId="5" xfId="3" applyFont="1" applyFill="1" applyBorder="1" applyAlignment="1">
      <alignment horizontal="center"/>
    </xf>
    <xf numFmtId="0" fontId="11" fillId="0" borderId="0" xfId="0" applyFont="1" applyFill="1"/>
    <xf numFmtId="0" fontId="9" fillId="0" borderId="0" xfId="0" applyFont="1" applyFill="1"/>
    <xf numFmtId="0" fontId="9" fillId="0" borderId="0" xfId="0" applyFont="1" applyFill="1" applyAlignment="1">
      <alignment horizontal="left"/>
    </xf>
    <xf numFmtId="0" fontId="12" fillId="0" borderId="0" xfId="0" applyFont="1" applyFill="1" applyAlignment="1"/>
    <xf numFmtId="0" fontId="10" fillId="17" borderId="0" xfId="0" applyFont="1" applyFill="1"/>
    <xf numFmtId="0" fontId="10" fillId="17" borderId="0" xfId="0" applyFont="1" applyFill="1" applyAlignment="1">
      <alignment horizontal="left"/>
    </xf>
    <xf numFmtId="0" fontId="13" fillId="17" borderId="0" xfId="0" applyFont="1" applyFill="1"/>
    <xf numFmtId="0" fontId="10" fillId="17" borderId="0" xfId="0" applyFont="1" applyFill="1" applyAlignment="1"/>
    <xf numFmtId="0" fontId="19" fillId="0" borderId="0" xfId="0" applyFont="1" applyFill="1"/>
    <xf numFmtId="0" fontId="10" fillId="4" borderId="0" xfId="0" applyFont="1" applyFill="1" applyAlignment="1">
      <alignment horizontal="left"/>
    </xf>
    <xf numFmtId="0" fontId="13" fillId="4" borderId="0" xfId="0" applyFont="1" applyFill="1"/>
    <xf numFmtId="0" fontId="11" fillId="4" borderId="0" xfId="0" applyFont="1" applyFill="1" applyAlignment="1"/>
    <xf numFmtId="0" fontId="0" fillId="18" borderId="0" xfId="0" applyFill="1"/>
    <xf numFmtId="0" fontId="29" fillId="0" borderId="0" xfId="0" applyFont="1"/>
    <xf numFmtId="0" fontId="0" fillId="19" borderId="0" xfId="0" applyFill="1"/>
    <xf numFmtId="0" fontId="10" fillId="13" borderId="0" xfId="0" applyFont="1" applyFill="1"/>
    <xf numFmtId="0" fontId="0" fillId="20" borderId="0" xfId="0" applyFill="1"/>
    <xf numFmtId="0" fontId="0" fillId="21" borderId="0" xfId="0" applyFill="1"/>
    <xf numFmtId="0" fontId="0" fillId="17" borderId="0" xfId="0" applyFill="1"/>
    <xf numFmtId="0" fontId="0" fillId="22" borderId="0" xfId="0" applyFill="1"/>
    <xf numFmtId="0" fontId="27" fillId="0" borderId="0" xfId="0" applyFont="1"/>
    <xf numFmtId="0" fontId="30" fillId="0" borderId="0" xfId="0" applyFont="1"/>
    <xf numFmtId="0" fontId="28" fillId="0" borderId="0" xfId="0" applyFont="1"/>
    <xf numFmtId="0" fontId="31" fillId="0" borderId="0" xfId="0" applyFont="1"/>
    <xf numFmtId="0" fontId="32" fillId="0" borderId="0" xfId="0" applyFont="1"/>
    <xf numFmtId="0" fontId="33" fillId="0" borderId="0" xfId="0" applyFont="1"/>
    <xf numFmtId="0" fontId="0" fillId="23" borderId="0" xfId="0" applyFill="1"/>
    <xf numFmtId="0" fontId="34" fillId="0" borderId="0" xfId="0" applyFont="1"/>
    <xf numFmtId="0" fontId="0" fillId="24" borderId="0" xfId="0" applyFill="1"/>
    <xf numFmtId="0" fontId="35" fillId="0" borderId="0" xfId="0" applyFont="1"/>
    <xf numFmtId="0" fontId="0" fillId="2" borderId="0" xfId="0" applyFill="1"/>
    <xf numFmtId="0" fontId="36" fillId="0" borderId="0" xfId="0" applyFont="1"/>
    <xf numFmtId="0" fontId="0" fillId="25" borderId="0" xfId="0" applyFill="1"/>
    <xf numFmtId="0" fontId="37" fillId="0" borderId="0" xfId="0" applyFont="1"/>
    <xf numFmtId="0" fontId="10" fillId="26" borderId="0" xfId="0" applyFont="1" applyFill="1"/>
    <xf numFmtId="0" fontId="26" fillId="15" borderId="0" xfId="0" applyFont="1" applyFill="1"/>
    <xf numFmtId="0" fontId="39" fillId="15" borderId="0" xfId="0" applyFont="1" applyFill="1"/>
    <xf numFmtId="0" fontId="46" fillId="0" borderId="0" xfId="0" applyFont="1"/>
    <xf numFmtId="0" fontId="43" fillId="15" borderId="0" xfId="0" applyFont="1" applyFill="1" applyAlignment="1">
      <alignment horizontal="right" vertical="center"/>
    </xf>
    <xf numFmtId="0" fontId="49" fillId="28" borderId="0" xfId="0" applyFont="1" applyFill="1"/>
    <xf numFmtId="0" fontId="1" fillId="0" borderId="0" xfId="0" applyFont="1" applyFill="1" applyAlignment="1"/>
    <xf numFmtId="0" fontId="1" fillId="0" borderId="0" xfId="0" applyFont="1" applyFill="1"/>
    <xf numFmtId="0" fontId="10" fillId="29" borderId="0" xfId="0" applyFont="1" applyFill="1"/>
    <xf numFmtId="0" fontId="10" fillId="29" borderId="0" xfId="0" applyFont="1" applyFill="1" applyAlignment="1">
      <alignment horizontal="left"/>
    </xf>
    <xf numFmtId="0" fontId="13" fillId="29" borderId="0" xfId="0" applyFont="1" applyFill="1"/>
    <xf numFmtId="0" fontId="1" fillId="27" borderId="0" xfId="0" applyFont="1" applyFill="1"/>
    <xf numFmtId="0" fontId="1" fillId="30" borderId="0" xfId="0" applyFont="1" applyFill="1"/>
    <xf numFmtId="0" fontId="11" fillId="0" borderId="0" xfId="0" applyFont="1" applyFill="1" applyAlignment="1"/>
    <xf numFmtId="0" fontId="10" fillId="31" borderId="0" xfId="0" applyFont="1" applyFill="1"/>
    <xf numFmtId="0" fontId="15" fillId="0" borderId="0" xfId="0" applyFont="1" applyFill="1"/>
    <xf numFmtId="0" fontId="15" fillId="32" borderId="0" xfId="0" applyFont="1" applyFill="1"/>
    <xf numFmtId="0" fontId="10" fillId="32" borderId="0" xfId="0" applyFont="1" applyFill="1"/>
    <xf numFmtId="0" fontId="10" fillId="33" borderId="0" xfId="0" applyFont="1" applyFill="1" applyAlignment="1">
      <alignment horizontal="left"/>
    </xf>
    <xf numFmtId="0" fontId="10" fillId="33" borderId="0" xfId="0" applyFont="1" applyFill="1" applyAlignment="1"/>
    <xf numFmtId="0" fontId="10" fillId="33" borderId="0" xfId="0" applyFont="1" applyFill="1"/>
    <xf numFmtId="0" fontId="1" fillId="33" borderId="0" xfId="0" applyFont="1" applyFill="1" applyAlignment="1"/>
    <xf numFmtId="0" fontId="1" fillId="17" borderId="0" xfId="0" applyFont="1" applyFill="1"/>
    <xf numFmtId="0" fontId="46" fillId="0" borderId="0" xfId="0" applyFont="1" applyAlignment="1">
      <alignment wrapText="1"/>
    </xf>
    <xf numFmtId="0" fontId="0" fillId="34" borderId="0" xfId="0" applyFill="1"/>
    <xf numFmtId="0" fontId="40" fillId="34" borderId="0" xfId="0" applyFont="1" applyFill="1"/>
    <xf numFmtId="0" fontId="27" fillId="34" borderId="0" xfId="0" applyFont="1" applyFill="1"/>
    <xf numFmtId="0" fontId="41" fillId="34" borderId="0" xfId="1" applyFont="1" applyFill="1" applyAlignment="1" applyProtection="1"/>
    <xf numFmtId="0" fontId="40" fillId="34" borderId="0" xfId="0" applyFont="1" applyFill="1" applyAlignment="1"/>
    <xf numFmtId="0" fontId="27" fillId="34" borderId="0" xfId="0" applyFont="1" applyFill="1" applyAlignment="1"/>
    <xf numFmtId="0" fontId="26" fillId="35" borderId="0" xfId="0" applyFont="1" applyFill="1"/>
    <xf numFmtId="0" fontId="0" fillId="36" borderId="0" xfId="0" applyFill="1"/>
    <xf numFmtId="0" fontId="47" fillId="36" borderId="0" xfId="0" applyFont="1" applyFill="1" applyAlignment="1">
      <alignment horizontal="left" vertical="center"/>
    </xf>
    <xf numFmtId="164" fontId="0" fillId="34" borderId="0" xfId="0" applyNumberFormat="1" applyFill="1"/>
    <xf numFmtId="0" fontId="51" fillId="34" borderId="0" xfId="0" applyFont="1" applyFill="1"/>
    <xf numFmtId="0" fontId="54" fillId="35" borderId="0" xfId="0" applyFont="1" applyFill="1" applyAlignment="1">
      <alignment horizontal="left" vertical="center" indent="4"/>
    </xf>
    <xf numFmtId="0" fontId="10" fillId="0" borderId="0" xfId="0" applyNumberFormat="1" applyFont="1"/>
    <xf numFmtId="0" fontId="25" fillId="34" borderId="0" xfId="0" applyFont="1" applyFill="1" applyAlignment="1"/>
    <xf numFmtId="0" fontId="55" fillId="34" borderId="0" xfId="0" applyFont="1" applyFill="1" applyAlignment="1"/>
    <xf numFmtId="0" fontId="16" fillId="0" borderId="6" xfId="0" applyFont="1" applyFill="1" applyBorder="1" applyAlignment="1">
      <alignment vertical="center"/>
    </xf>
    <xf numFmtId="0" fontId="59" fillId="38" borderId="0" xfId="0" applyFont="1" applyFill="1"/>
    <xf numFmtId="0" fontId="60" fillId="38" borderId="0" xfId="0" applyFont="1" applyFill="1"/>
    <xf numFmtId="0" fontId="56" fillId="38" borderId="0" xfId="0" applyFont="1" applyFill="1"/>
    <xf numFmtId="0" fontId="61" fillId="38" borderId="0" xfId="0" applyFont="1" applyFill="1" applyAlignment="1"/>
    <xf numFmtId="0" fontId="62" fillId="38" borderId="0" xfId="0" applyFont="1" applyFill="1" applyAlignment="1">
      <alignment horizontal="left"/>
    </xf>
    <xf numFmtId="0" fontId="51" fillId="34" borderId="0" xfId="0" applyFont="1" applyFill="1" applyBorder="1"/>
    <xf numFmtId="0" fontId="0" fillId="34" borderId="0" xfId="0" applyFill="1" applyBorder="1"/>
    <xf numFmtId="0" fontId="66" fillId="0" borderId="0" xfId="0" applyFont="1"/>
    <xf numFmtId="4" fontId="67" fillId="0" borderId="8" xfId="0" applyNumberFormat="1" applyFont="1" applyFill="1" applyBorder="1" applyAlignment="1">
      <alignment horizontal="right" vertical="center"/>
    </xf>
    <xf numFmtId="164" fontId="67" fillId="0" borderId="8" xfId="0" applyNumberFormat="1" applyFont="1" applyFill="1" applyBorder="1" applyAlignment="1">
      <alignment horizontal="right" vertical="center"/>
    </xf>
    <xf numFmtId="3" fontId="67" fillId="0" borderId="8" xfId="0" applyNumberFormat="1" applyFont="1" applyFill="1" applyBorder="1" applyAlignment="1">
      <alignment horizontal="right" vertical="center"/>
    </xf>
    <xf numFmtId="165" fontId="67" fillId="0" borderId="8" xfId="0" applyNumberFormat="1" applyFont="1" applyFill="1" applyBorder="1" applyAlignment="1">
      <alignment horizontal="right" vertical="center"/>
    </xf>
    <xf numFmtId="0" fontId="26" fillId="19" borderId="0" xfId="0" applyFont="1" applyFill="1"/>
    <xf numFmtId="0" fontId="0" fillId="0" borderId="0" xfId="0" applyNumberFormat="1" applyFont="1"/>
    <xf numFmtId="0" fontId="68" fillId="37" borderId="0" xfId="0" applyFont="1" applyFill="1" applyAlignment="1"/>
    <xf numFmtId="0" fontId="57" fillId="37" borderId="0" xfId="0" applyFont="1" applyFill="1" applyAlignment="1"/>
    <xf numFmtId="0" fontId="0" fillId="0" borderId="0" xfId="0" applyFont="1" applyFill="1"/>
    <xf numFmtId="0" fontId="69" fillId="37" borderId="0" xfId="0" applyFont="1" applyFill="1" applyAlignment="1"/>
    <xf numFmtId="0" fontId="24" fillId="0" borderId="8" xfId="0" applyFont="1" applyFill="1" applyBorder="1" applyAlignment="1">
      <alignment horizontal="left" vertical="center" wrapText="1"/>
    </xf>
    <xf numFmtId="0" fontId="59" fillId="38" borderId="0" xfId="0" applyFont="1" applyFill="1" applyAlignment="1">
      <alignment vertical="center"/>
    </xf>
    <xf numFmtId="0" fontId="70" fillId="19" borderId="0" xfId="0" applyFont="1" applyFill="1"/>
    <xf numFmtId="0" fontId="71" fillId="38" borderId="0" xfId="0" applyFont="1" applyFill="1" applyAlignment="1">
      <alignment vertical="center"/>
    </xf>
    <xf numFmtId="0" fontId="50" fillId="0" borderId="10" xfId="0" applyFont="1" applyFill="1" applyBorder="1" applyAlignment="1">
      <alignment horizontal="right" vertical="center"/>
    </xf>
    <xf numFmtId="0" fontId="16" fillId="0" borderId="11" xfId="0" applyFont="1" applyFill="1" applyBorder="1" applyAlignment="1">
      <alignment vertical="center"/>
    </xf>
    <xf numFmtId="0" fontId="2" fillId="0" borderId="12" xfId="0" applyFont="1" applyFill="1" applyBorder="1" applyAlignment="1">
      <alignment vertical="center"/>
    </xf>
    <xf numFmtId="0" fontId="50" fillId="0" borderId="13" xfId="0" applyFont="1" applyFill="1" applyBorder="1" applyAlignment="1">
      <alignment horizontal="right" vertical="center"/>
    </xf>
    <xf numFmtId="0" fontId="2" fillId="0" borderId="14" xfId="0" applyFont="1" applyFill="1" applyBorder="1" applyAlignment="1">
      <alignment vertical="center"/>
    </xf>
    <xf numFmtId="0" fontId="50" fillId="0" borderId="15" xfId="0" applyFont="1" applyFill="1" applyBorder="1" applyAlignment="1">
      <alignment horizontal="right" vertical="center"/>
    </xf>
    <xf numFmtId="0" fontId="16" fillId="0" borderId="16" xfId="0" applyFont="1" applyFill="1" applyBorder="1" applyAlignment="1">
      <alignment vertical="center"/>
    </xf>
    <xf numFmtId="0" fontId="2" fillId="0" borderId="17" xfId="0" applyFont="1" applyFill="1" applyBorder="1" applyAlignment="1">
      <alignment vertical="center"/>
    </xf>
    <xf numFmtId="2" fontId="59" fillId="38" borderId="0" xfId="0" applyNumberFormat="1" applyFont="1" applyFill="1" applyAlignment="1">
      <alignment horizontal="left" vertical="center"/>
    </xf>
    <xf numFmtId="0" fontId="52" fillId="38" borderId="0" xfId="0" applyFont="1" applyFill="1" applyAlignment="1">
      <alignment vertical="center"/>
    </xf>
    <xf numFmtId="0" fontId="52" fillId="38" borderId="0" xfId="0" applyFont="1" applyFill="1"/>
    <xf numFmtId="0" fontId="52" fillId="38" borderId="0" xfId="0" applyFont="1" applyFill="1" applyAlignment="1">
      <alignment horizontal="right" wrapText="1"/>
    </xf>
    <xf numFmtId="0" fontId="52" fillId="38" borderId="0" xfId="0" applyFont="1" applyFill="1" applyAlignment="1">
      <alignment horizontal="right"/>
    </xf>
    <xf numFmtId="0" fontId="19" fillId="0" borderId="7" xfId="0" applyFont="1" applyBorder="1"/>
    <xf numFmtId="0" fontId="38" fillId="0" borderId="7" xfId="0" applyFont="1" applyBorder="1"/>
    <xf numFmtId="164" fontId="53" fillId="0" borderId="7" xfId="0" applyNumberFormat="1" applyFont="1" applyBorder="1" applyAlignment="1">
      <alignment horizontal="right"/>
    </xf>
    <xf numFmtId="164" fontId="38" fillId="0" borderId="7" xfId="0" applyNumberFormat="1" applyFont="1" applyBorder="1" applyAlignment="1">
      <alignment horizontal="left" indent="1"/>
    </xf>
    <xf numFmtId="0" fontId="19" fillId="0" borderId="8" xfId="0" applyFont="1" applyBorder="1"/>
    <xf numFmtId="0" fontId="38" fillId="0" borderId="8" xfId="0" applyFont="1" applyBorder="1"/>
    <xf numFmtId="164" fontId="53" fillId="0" borderId="8" xfId="0" applyNumberFormat="1" applyFont="1" applyBorder="1" applyAlignment="1">
      <alignment horizontal="right"/>
    </xf>
    <xf numFmtId="164" fontId="38" fillId="0" borderId="8" xfId="0" applyNumberFormat="1" applyFont="1" applyBorder="1" applyAlignment="1">
      <alignment horizontal="left" indent="1"/>
    </xf>
    <xf numFmtId="3" fontId="53" fillId="0" borderId="8" xfId="0" applyNumberFormat="1" applyFont="1" applyBorder="1" applyAlignment="1">
      <alignment horizontal="right"/>
    </xf>
    <xf numFmtId="4" fontId="53" fillId="0" borderId="8" xfId="0" applyNumberFormat="1" applyFont="1" applyBorder="1" applyAlignment="1">
      <alignment horizontal="right"/>
    </xf>
    <xf numFmtId="165" fontId="53" fillId="0" borderId="8" xfId="0" applyNumberFormat="1" applyFont="1" applyBorder="1" applyAlignment="1">
      <alignment horizontal="right"/>
    </xf>
    <xf numFmtId="164" fontId="72" fillId="0" borderId="7" xfId="0" applyNumberFormat="1" applyFont="1" applyBorder="1" applyAlignment="1">
      <alignment horizontal="right"/>
    </xf>
    <xf numFmtId="164" fontId="72" fillId="0" borderId="8" xfId="0" applyNumberFormat="1" applyFont="1" applyBorder="1" applyAlignment="1">
      <alignment horizontal="right"/>
    </xf>
    <xf numFmtId="3" fontId="72" fillId="0" borderId="8" xfId="0" applyNumberFormat="1" applyFont="1" applyBorder="1" applyAlignment="1">
      <alignment horizontal="right"/>
    </xf>
    <xf numFmtId="4" fontId="72" fillId="0" borderId="8" xfId="0" applyNumberFormat="1" applyFont="1" applyBorder="1" applyAlignment="1">
      <alignment horizontal="right"/>
    </xf>
    <xf numFmtId="165" fontId="72" fillId="0" borderId="8" xfId="0" applyNumberFormat="1" applyFont="1" applyBorder="1" applyAlignment="1">
      <alignment horizontal="right"/>
    </xf>
    <xf numFmtId="0" fontId="17" fillId="0" borderId="0" xfId="0" applyFont="1" applyFill="1"/>
    <xf numFmtId="0" fontId="19" fillId="34" borderId="0" xfId="0" applyFont="1" applyFill="1"/>
    <xf numFmtId="0" fontId="19" fillId="34" borderId="0" xfId="0" applyFont="1" applyFill="1" applyBorder="1"/>
    <xf numFmtId="0" fontId="20" fillId="34" borderId="0" xfId="0" applyFont="1" applyFill="1" applyBorder="1" applyAlignment="1">
      <alignment horizontal="right"/>
    </xf>
    <xf numFmtId="0" fontId="24" fillId="34" borderId="0" xfId="0" applyFont="1" applyFill="1" applyBorder="1" applyAlignment="1">
      <alignment horizontal="left"/>
    </xf>
    <xf numFmtId="3" fontId="72" fillId="34" borderId="0" xfId="0" applyNumberFormat="1" applyFont="1" applyFill="1" applyBorder="1" applyAlignment="1">
      <alignment horizontal="right"/>
    </xf>
    <xf numFmtId="0" fontId="20" fillId="34" borderId="0" xfId="0" applyFont="1" applyFill="1" applyBorder="1"/>
    <xf numFmtId="0" fontId="17" fillId="34" borderId="0" xfId="0" applyFont="1" applyFill="1"/>
    <xf numFmtId="0" fontId="0" fillId="34" borderId="0" xfId="0" applyFont="1" applyFill="1"/>
    <xf numFmtId="0" fontId="73" fillId="38" borderId="0" xfId="0" applyFont="1" applyFill="1" applyAlignment="1">
      <alignment horizontal="left"/>
    </xf>
    <xf numFmtId="3" fontId="74" fillId="39" borderId="7" xfId="0" applyNumberFormat="1" applyFont="1" applyFill="1" applyBorder="1" applyAlignment="1">
      <alignment horizontal="right"/>
    </xf>
    <xf numFmtId="3" fontId="74" fillId="39" borderId="8" xfId="0" applyNumberFormat="1" applyFont="1" applyFill="1" applyBorder="1" applyAlignment="1">
      <alignment horizontal="right"/>
    </xf>
    <xf numFmtId="4" fontId="74" fillId="39" borderId="8" xfId="0" applyNumberFormat="1" applyFont="1" applyFill="1" applyBorder="1" applyAlignment="1">
      <alignment horizontal="right"/>
    </xf>
    <xf numFmtId="3" fontId="74" fillId="39" borderId="9" xfId="0" applyNumberFormat="1" applyFont="1" applyFill="1" applyBorder="1" applyAlignment="1">
      <alignment horizontal="right"/>
    </xf>
    <xf numFmtId="3" fontId="75" fillId="0" borderId="7" xfId="0" applyNumberFormat="1" applyFont="1" applyBorder="1" applyAlignment="1">
      <alignment horizontal="left"/>
    </xf>
    <xf numFmtId="0" fontId="59" fillId="38" borderId="7" xfId="0" applyFont="1" applyFill="1" applyBorder="1" applyAlignment="1">
      <alignment horizontal="left"/>
    </xf>
    <xf numFmtId="165" fontId="74" fillId="39" borderId="8" xfId="0" applyNumberFormat="1" applyFont="1" applyFill="1" applyBorder="1" applyAlignment="1">
      <alignment horizontal="right"/>
    </xf>
    <xf numFmtId="0" fontId="46" fillId="34" borderId="0" xfId="0" applyFont="1" applyFill="1"/>
    <xf numFmtId="3" fontId="46" fillId="0" borderId="0" xfId="0" applyNumberFormat="1" applyFont="1" applyFill="1" applyBorder="1" applyAlignment="1">
      <alignment horizontal="right"/>
    </xf>
    <xf numFmtId="0" fontId="59" fillId="0" borderId="0" xfId="0" applyFont="1" applyFill="1" applyBorder="1" applyAlignment="1">
      <alignment horizontal="left"/>
    </xf>
    <xf numFmtId="164" fontId="38" fillId="0" borderId="0" xfId="0" applyNumberFormat="1" applyFont="1" applyFill="1" applyBorder="1" applyAlignment="1">
      <alignment horizontal="left" indent="1"/>
    </xf>
    <xf numFmtId="0" fontId="52" fillId="0" borderId="0" xfId="0" applyFont="1" applyFill="1" applyBorder="1" applyAlignment="1">
      <alignment horizontal="left" indent="1"/>
    </xf>
    <xf numFmtId="0" fontId="59" fillId="38" borderId="18" xfId="0" applyFont="1" applyFill="1" applyBorder="1" applyAlignment="1">
      <alignment horizontal="left"/>
    </xf>
    <xf numFmtId="0" fontId="19" fillId="0" borderId="9" xfId="0" applyFont="1" applyBorder="1"/>
    <xf numFmtId="0" fontId="38" fillId="0" borderId="9" xfId="0" applyFont="1" applyBorder="1"/>
    <xf numFmtId="3" fontId="75" fillId="0" borderId="9" xfId="0" applyNumberFormat="1" applyFont="1" applyBorder="1" applyAlignment="1">
      <alignment horizontal="left"/>
    </xf>
    <xf numFmtId="3" fontId="0" fillId="0" borderId="0" xfId="0" applyNumberFormat="1"/>
    <xf numFmtId="4" fontId="0" fillId="0" borderId="0" xfId="0" applyNumberFormat="1"/>
    <xf numFmtId="4" fontId="72" fillId="0" borderId="11" xfId="0" applyNumberFormat="1" applyFont="1" applyFill="1" applyBorder="1" applyAlignment="1">
      <alignment horizontal="right" vertical="center"/>
    </xf>
    <xf numFmtId="4" fontId="72" fillId="0" borderId="6" xfId="0" applyNumberFormat="1" applyFont="1" applyFill="1" applyBorder="1" applyAlignment="1">
      <alignment horizontal="right" vertical="center"/>
    </xf>
    <xf numFmtId="4" fontId="72" fillId="0" borderId="16" xfId="0" applyNumberFormat="1" applyFont="1" applyFill="1" applyBorder="1" applyAlignment="1">
      <alignment horizontal="right" vertical="center"/>
    </xf>
    <xf numFmtId="0" fontId="76" fillId="0" borderId="0" xfId="0" applyFont="1"/>
    <xf numFmtId="0" fontId="1" fillId="4" borderId="0" xfId="0" applyFont="1" applyFill="1"/>
    <xf numFmtId="0" fontId="31" fillId="0" borderId="8" xfId="0" applyFont="1" applyFill="1" applyBorder="1" applyAlignment="1">
      <alignment vertical="center" wrapText="1"/>
    </xf>
    <xf numFmtId="0" fontId="31" fillId="0" borderId="8" xfId="0" applyFont="1" applyBorder="1" applyAlignment="1">
      <alignment horizontal="left" vertical="center"/>
    </xf>
    <xf numFmtId="4" fontId="77" fillId="0" borderId="8" xfId="0" applyNumberFormat="1" applyFont="1" applyFill="1" applyBorder="1" applyAlignment="1">
      <alignment horizontal="right" vertical="center"/>
    </xf>
    <xf numFmtId="164" fontId="77" fillId="0" borderId="8" xfId="0" applyNumberFormat="1" applyFont="1" applyFill="1" applyBorder="1" applyAlignment="1">
      <alignment horizontal="right" vertical="center"/>
    </xf>
    <xf numFmtId="3" fontId="77" fillId="0" borderId="8" xfId="0" applyNumberFormat="1" applyFont="1" applyFill="1" applyBorder="1" applyAlignment="1">
      <alignment horizontal="right" vertical="center"/>
    </xf>
    <xf numFmtId="0" fontId="73" fillId="38" borderId="0" xfId="0" applyFont="1" applyFill="1" applyAlignment="1">
      <alignment vertical="center"/>
    </xf>
    <xf numFmtId="0" fontId="77" fillId="38" borderId="0" xfId="0" applyFont="1" applyFill="1" applyAlignment="1">
      <alignment vertical="center"/>
    </xf>
    <xf numFmtId="165" fontId="77" fillId="0" borderId="8" xfId="0" applyNumberFormat="1" applyFont="1" applyFill="1" applyBorder="1" applyAlignment="1">
      <alignment horizontal="right" vertical="center"/>
    </xf>
    <xf numFmtId="0" fontId="61" fillId="38" borderId="0" xfId="0" applyFont="1" applyFill="1" applyAlignment="1">
      <alignment vertical="center"/>
    </xf>
    <xf numFmtId="3" fontId="0" fillId="0" borderId="29" xfId="0" applyNumberFormat="1" applyFill="1" applyBorder="1" applyAlignment="1">
      <alignment horizontal="right"/>
    </xf>
    <xf numFmtId="3" fontId="0" fillId="0" borderId="24" xfId="0" applyNumberFormat="1" applyFill="1" applyBorder="1" applyAlignment="1">
      <alignment horizontal="right"/>
    </xf>
    <xf numFmtId="3" fontId="0" fillId="0" borderId="25" xfId="0" applyNumberFormat="1" applyFill="1" applyBorder="1" applyAlignment="1">
      <alignment horizontal="right"/>
    </xf>
    <xf numFmtId="3" fontId="0" fillId="0" borderId="28" xfId="0" applyNumberFormat="1" applyFill="1" applyBorder="1" applyAlignment="1">
      <alignment horizontal="right"/>
    </xf>
    <xf numFmtId="3" fontId="0" fillId="0" borderId="26" xfId="0" applyNumberFormat="1" applyFill="1" applyBorder="1" applyAlignment="1">
      <alignment horizontal="right"/>
    </xf>
    <xf numFmtId="3" fontId="0" fillId="0" borderId="27" xfId="0" applyNumberFormat="1" applyFill="1" applyBorder="1" applyAlignment="1">
      <alignment horizontal="right"/>
    </xf>
    <xf numFmtId="0" fontId="64" fillId="34" borderId="0" xfId="0" applyFont="1" applyFill="1" applyBorder="1"/>
    <xf numFmtId="0" fontId="63" fillId="34" borderId="0" xfId="0" applyFont="1" applyFill="1" applyBorder="1"/>
    <xf numFmtId="0" fontId="65" fillId="34" borderId="0" xfId="0" applyFont="1" applyFill="1" applyBorder="1"/>
    <xf numFmtId="0" fontId="0" fillId="34" borderId="0" xfId="0" applyFill="1" applyBorder="1" applyAlignment="1">
      <alignment vertical="top" wrapText="1"/>
    </xf>
    <xf numFmtId="0" fontId="78" fillId="34" borderId="0" xfId="0" applyFont="1" applyFill="1" applyBorder="1"/>
    <xf numFmtId="0" fontId="79" fillId="34" borderId="0" xfId="1" applyFont="1" applyFill="1" applyAlignment="1" applyProtection="1"/>
    <xf numFmtId="4" fontId="72" fillId="34" borderId="0" xfId="0" applyNumberFormat="1" applyFont="1" applyFill="1" applyBorder="1" applyAlignment="1">
      <alignment horizontal="right"/>
    </xf>
    <xf numFmtId="0" fontId="80" fillId="0" borderId="0" xfId="0" applyFont="1"/>
    <xf numFmtId="0" fontId="47" fillId="0" borderId="0" xfId="0" applyFont="1" applyFill="1" applyAlignment="1">
      <alignment horizontal="left" vertical="center"/>
    </xf>
    <xf numFmtId="0" fontId="47" fillId="36" borderId="0" xfId="0" applyFont="1" applyFill="1" applyAlignment="1">
      <alignment horizontal="right" vertical="center"/>
    </xf>
    <xf numFmtId="0" fontId="20" fillId="0" borderId="19" xfId="0" applyFont="1" applyFill="1" applyBorder="1" applyAlignment="1">
      <alignment horizontal="left" indent="1"/>
    </xf>
    <xf numFmtId="0" fontId="51" fillId="0" borderId="20" xfId="0" applyFont="1" applyBorder="1"/>
    <xf numFmtId="0" fontId="20" fillId="0" borderId="21" xfId="0" applyFont="1" applyFill="1" applyBorder="1" applyAlignment="1">
      <alignment horizontal="left" indent="1"/>
    </xf>
    <xf numFmtId="0" fontId="51" fillId="0" borderId="4" xfId="0" applyFont="1" applyBorder="1"/>
    <xf numFmtId="0" fontId="20" fillId="0" borderId="22" xfId="0" applyFont="1" applyFill="1" applyBorder="1" applyAlignment="1">
      <alignment horizontal="left" indent="1"/>
    </xf>
    <xf numFmtId="0" fontId="51" fillId="0" borderId="23" xfId="0" applyFont="1" applyBorder="1"/>
    <xf numFmtId="0" fontId="59" fillId="0" borderId="0" xfId="0" applyFont="1" applyFill="1" applyAlignment="1">
      <alignment vertical="center"/>
    </xf>
    <xf numFmtId="164" fontId="72" fillId="34" borderId="0" xfId="0" applyNumberFormat="1" applyFont="1" applyFill="1" applyBorder="1" applyAlignment="1">
      <alignment horizontal="right"/>
    </xf>
    <xf numFmtId="0" fontId="26" fillId="19" borderId="0" xfId="0" applyFont="1" applyFill="1" applyAlignment="1">
      <alignment horizontal="left"/>
    </xf>
    <xf numFmtId="0" fontId="0" fillId="0" borderId="0" xfId="0" applyAlignment="1">
      <alignment vertical="top" wrapText="1"/>
    </xf>
    <xf numFmtId="0" fontId="81" fillId="34" borderId="0" xfId="1" applyFont="1" applyFill="1" applyAlignment="1" applyProtection="1"/>
    <xf numFmtId="0" fontId="82" fillId="34" borderId="0" xfId="0" applyFont="1" applyFill="1" applyAlignment="1"/>
    <xf numFmtId="0" fontId="10" fillId="4" borderId="0" xfId="0" applyFont="1" applyFill="1" applyAlignment="1"/>
    <xf numFmtId="0" fontId="1" fillId="0" borderId="0" xfId="0" applyNumberFormat="1" applyFont="1" applyAlignment="1"/>
    <xf numFmtId="0" fontId="83" fillId="0" borderId="0" xfId="0" applyFont="1"/>
    <xf numFmtId="0" fontId="84" fillId="34" borderId="0" xfId="0" applyFont="1" applyFill="1" applyAlignment="1"/>
    <xf numFmtId="0" fontId="1" fillId="0" borderId="0" xfId="0" applyFont="1" applyAlignment="1"/>
    <xf numFmtId="0" fontId="27" fillId="34" borderId="0" xfId="0" applyFont="1" applyFill="1" applyAlignment="1">
      <alignment horizontal="justify" vertical="top" wrapText="1"/>
    </xf>
    <xf numFmtId="0" fontId="0" fillId="0" borderId="0" xfId="0" applyAlignment="1">
      <alignment horizontal="justify" vertical="top" wrapText="1"/>
    </xf>
    <xf numFmtId="0" fontId="0" fillId="0" borderId="0" xfId="0" applyAlignment="1"/>
    <xf numFmtId="0" fontId="57" fillId="38" borderId="0" xfId="0" applyFont="1" applyFill="1" applyAlignment="1">
      <alignment horizontal="left" vertical="top" wrapText="1"/>
    </xf>
    <xf numFmtId="0" fontId="56" fillId="38" borderId="0" xfId="0" applyFont="1" applyFill="1" applyAlignment="1">
      <alignment wrapText="1"/>
    </xf>
    <xf numFmtId="0" fontId="63" fillId="34" borderId="0" xfId="0" applyFont="1" applyFill="1" applyBorder="1" applyAlignment="1">
      <alignment vertical="top" wrapText="1"/>
    </xf>
    <xf numFmtId="0" fontId="0" fillId="0" borderId="0" xfId="0" applyBorder="1" applyAlignment="1">
      <alignment vertical="top" wrapText="1"/>
    </xf>
    <xf numFmtId="0" fontId="0" fillId="0" borderId="0" xfId="0" applyBorder="1" applyAlignment="1"/>
    <xf numFmtId="0" fontId="73" fillId="34" borderId="0" xfId="0" applyFont="1" applyFill="1" applyAlignment="1">
      <alignment vertical="top"/>
    </xf>
    <xf numFmtId="0" fontId="58" fillId="34" borderId="0" xfId="0" applyFont="1" applyFill="1" applyAlignment="1">
      <alignment vertical="top"/>
    </xf>
    <xf numFmtId="0" fontId="48" fillId="34" borderId="0" xfId="0" applyFont="1" applyFill="1" applyAlignment="1"/>
    <xf numFmtId="0" fontId="19" fillId="40" borderId="30" xfId="0" applyFont="1" applyFill="1" applyBorder="1" applyAlignment="1">
      <alignment horizontal="center" vertical="top" wrapText="1"/>
    </xf>
    <xf numFmtId="0" fontId="0" fillId="0" borderId="0" xfId="0" applyAlignment="1">
      <alignment vertical="top"/>
    </xf>
    <xf numFmtId="0" fontId="42" fillId="11" borderId="30" xfId="0" applyFont="1" applyFill="1" applyBorder="1" applyAlignment="1">
      <alignment horizontal="center" vertical="top" wrapText="1"/>
    </xf>
  </cellXfs>
  <cellStyles count="4">
    <cellStyle name="Hyperlink" xfId="1" builtinId="8"/>
    <cellStyle name="Normal" xfId="0" builtinId="0"/>
    <cellStyle name="Normal 3" xfId="2"/>
    <cellStyle name="Normal_ImportData" xfId="3"/>
  </cellStyles>
  <dxfs count="235">
    <dxf>
      <fill>
        <patternFill>
          <bgColor rgb="FFFFC000"/>
        </patternFill>
      </fill>
    </dxf>
    <dxf>
      <fill>
        <patternFill>
          <bgColor theme="6" tint="0.39994506668294322"/>
        </patternFill>
      </fill>
    </dxf>
    <dxf>
      <fill>
        <patternFill>
          <bgColor rgb="FF00B050"/>
        </patternFill>
      </fill>
    </dxf>
    <dxf>
      <font>
        <color theme="0" tint="-0.34998626667073579"/>
      </font>
      <fill>
        <patternFill>
          <bgColor theme="0" tint="-0.34998626667073579"/>
        </patternFill>
      </fill>
    </dxf>
    <dxf>
      <font>
        <color theme="0"/>
      </font>
      <fill>
        <patternFill>
          <bgColor rgb="FF9B895B"/>
        </patternFill>
      </fill>
    </dxf>
    <dxf>
      <font>
        <color indexed="9"/>
      </font>
      <fill>
        <patternFill>
          <bgColor rgb="FFFFC000"/>
        </patternFill>
      </fill>
    </dxf>
    <dxf>
      <font>
        <color indexed="23"/>
      </font>
    </dxf>
    <dxf>
      <font>
        <b/>
        <i val="0"/>
        <strike val="0"/>
        <condense val="0"/>
        <extend val="0"/>
        <color indexed="44"/>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color theme="0" tint="-0.34998626667073579"/>
      </font>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color theme="0" tint="-0.34998626667073579"/>
      </font>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color theme="0" tint="-0.34998626667073579"/>
      </font>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color theme="0" tint="-0.34998626667073579"/>
      </font>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color theme="0" tint="-0.34998626667073579"/>
      </font>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color theme="0" tint="-0.34998626667073579"/>
      </font>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color theme="0" tint="-0.34998626667073579"/>
      </font>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tint="-0.34998626667073579"/>
      </font>
    </dxf>
    <dxf>
      <font>
        <color theme="0" tint="-0.34998626667073579"/>
      </font>
    </dxf>
    <dxf>
      <font>
        <color theme="0" tint="-0.34998626667073579"/>
      </font>
    </dxf>
    <dxf>
      <font>
        <color theme="0" tint="-0.34998626667073579"/>
      </font>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color theme="0"/>
      </font>
      <fill>
        <patternFill>
          <bgColor rgb="FF77776D"/>
        </patternFill>
      </fill>
    </dxf>
    <dxf>
      <font>
        <b/>
        <i val="0"/>
        <color rgb="FFC00000"/>
      </font>
      <fill>
        <patternFill>
          <bgColor indexed="51"/>
        </patternFill>
      </fill>
    </dxf>
    <dxf>
      <font>
        <color theme="0"/>
      </font>
      <fill>
        <patternFill>
          <bgColor rgb="FF9B895B"/>
        </patternFill>
      </fill>
      <border>
        <left/>
        <right/>
        <top/>
        <bottom style="thin">
          <color theme="0"/>
        </bottom>
      </border>
    </dxf>
    <dxf>
      <fill>
        <patternFill>
          <bgColor theme="0"/>
        </patternFill>
      </fill>
      <border>
        <left/>
        <right/>
        <top/>
        <bottom style="thin">
          <color theme="0" tint="-0.14996795556505021"/>
        </bottom>
      </border>
    </dxf>
    <dxf>
      <font>
        <color theme="0" tint="-0.34998626667073579"/>
      </font>
    </dxf>
    <dxf>
      <font>
        <color theme="0"/>
      </font>
      <fill>
        <patternFill>
          <bgColor rgb="FF9B895B"/>
        </patternFill>
      </fill>
    </dxf>
    <dxf>
      <font>
        <condense val="0"/>
        <extend val="0"/>
        <color indexed="23"/>
      </font>
    </dxf>
    <dxf>
      <font>
        <b/>
        <i val="0"/>
      </font>
      <fill>
        <patternFill>
          <bgColor rgb="FFFFC2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C8D59"/>
      <rgbColor rgb="00E8E7DD"/>
      <rgbColor rgb="000000FF"/>
      <rgbColor rgb="00717263"/>
      <rgbColor rgb="00E33647"/>
      <rgbColor rgb="0000FFFF"/>
      <rgbColor rgb="00FDCC8A"/>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86BAE5"/>
      <rgbColor rgb="00CCFFFF"/>
      <rgbColor rgb="004F81BD"/>
      <rgbColor rgb="00FFFF99"/>
      <rgbColor rgb="008DB4E3"/>
      <rgbColor rgb="00B30000"/>
      <rgbColor rgb="00CC99FF"/>
      <rgbColor rgb="0088C769"/>
      <rgbColor rgb="003366FF"/>
      <rgbColor rgb="0033CCCC"/>
      <rgbColor rgb="0099CC00"/>
      <rgbColor rgb="00FFC20E"/>
      <rgbColor rgb="00949488"/>
      <rgbColor rgb="0076756A"/>
      <rgbColor rgb="00666699"/>
      <rgbColor rgb="00969696"/>
      <rgbColor rgb="00003366"/>
      <rgbColor rgb="00339966"/>
      <rgbColor rgb="00A2A298"/>
      <rgbColor rgb="00333300"/>
      <rgbColor rgb="0058574C"/>
      <rgbColor rgb="00993366"/>
      <rgbColor rgb="00333399"/>
      <rgbColor rgb="00333333"/>
    </indexedColors>
    <mruColors>
      <color rgb="FFF5F2EB"/>
      <color rgb="FF9B895B"/>
      <color rgb="FFA77D00"/>
      <color rgb="FFFFC213"/>
      <color rgb="FFD6CEB9"/>
      <color rgb="FF77776D"/>
      <color rgb="FF5D584C"/>
      <color rgb="FF05D584"/>
      <color rgb="FF46463D"/>
      <color rgb="FF42423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32"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06/relationships/vbaProject" Target="vbaProject.bin"/><Relationship Id="rId30" Type="http://schemas.openxmlformats.org/officeDocument/2006/relationships/customXml" Target="../customXml/item3.xml"/><Relationship Id="rId35" Type="http://schemas.openxmlformats.org/officeDocument/2006/relationships/customXml" Target="../customXml/item8.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47651006712013E-2"/>
          <c:y val="6.7346938775510234E-2"/>
          <c:w val="0.77852348993288589"/>
          <c:h val="0.9"/>
        </c:manualLayout>
      </c:layout>
      <c:barChart>
        <c:barDir val="bar"/>
        <c:grouping val="clustered"/>
        <c:varyColors val="0"/>
        <c:ser>
          <c:idx val="0"/>
          <c:order val="0"/>
          <c:invertIfNegative val="0"/>
          <c:dLbls>
            <c:spPr>
              <a:noFill/>
              <a:ln w="25400">
                <a:noFill/>
              </a:ln>
            </c:spPr>
            <c:txPr>
              <a:bodyPr/>
              <a:lstStyle/>
              <a:p>
                <a:pPr>
                  <a:defRPr lang="es-ES" sz="1200" b="0" i="0" u="none" strike="noStrike" baseline="0">
                    <a:solidFill>
                      <a:srgbClr val="000000"/>
                    </a:solidFill>
                    <a:latin typeface="Calibri"/>
                    <a:ea typeface="Calibri"/>
                    <a:cs typeface="Calibri"/>
                  </a:defRPr>
                </a:pPr>
                <a:endParaRPr lang="en-US"/>
              </a:p>
            </c:txPr>
            <c:dLblPos val="inBase"/>
            <c:showLegendKey val="0"/>
            <c:showVal val="1"/>
            <c:showCatName val="0"/>
            <c:showSerName val="0"/>
            <c:showPercent val="0"/>
            <c:showBubbleSize val="0"/>
            <c:showLeaderLines val="0"/>
          </c:dLbls>
          <c:cat>
            <c:numRef>
              <c:f>#REF!</c:f>
              <c:numCache>
                <c:formatCode>General</c:formatCode>
                <c:ptCount val="1"/>
                <c:pt idx="0">
                  <c:v>1</c:v>
                </c:pt>
              </c:numCache>
            </c:num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267750400"/>
        <c:axId val="268178176"/>
      </c:barChart>
      <c:catAx>
        <c:axId val="267750400"/>
        <c:scaling>
          <c:orientation val="maxMin"/>
        </c:scaling>
        <c:delete val="0"/>
        <c:axPos val="l"/>
        <c:numFmt formatCode="General" sourceLinked="1"/>
        <c:majorTickMark val="out"/>
        <c:minorTickMark val="none"/>
        <c:tickLblPos val="nextTo"/>
        <c:txPr>
          <a:bodyPr rot="0" vert="horz"/>
          <a:lstStyle/>
          <a:p>
            <a:pPr>
              <a:defRPr lang="es-ES" sz="1800" b="0" i="0" u="none" strike="noStrike" baseline="0">
                <a:solidFill>
                  <a:srgbClr val="000000"/>
                </a:solidFill>
                <a:latin typeface="Calibri"/>
                <a:ea typeface="Calibri"/>
                <a:cs typeface="Calibri"/>
              </a:defRPr>
            </a:pPr>
            <a:endParaRPr lang="en-US"/>
          </a:p>
        </c:txPr>
        <c:crossAx val="268178176"/>
        <c:crosses val="autoZero"/>
        <c:auto val="1"/>
        <c:lblAlgn val="ctr"/>
        <c:lblOffset val="100"/>
        <c:noMultiLvlLbl val="0"/>
      </c:catAx>
      <c:valAx>
        <c:axId val="268178176"/>
        <c:scaling>
          <c:orientation val="minMax"/>
        </c:scaling>
        <c:delete val="0"/>
        <c:axPos val="t"/>
        <c:majorGridlines/>
        <c:numFmt formatCode="General" sourceLinked="1"/>
        <c:majorTickMark val="out"/>
        <c:minorTickMark val="none"/>
        <c:tickLblPos val="nextTo"/>
        <c:txPr>
          <a:bodyPr rot="0" vert="horz"/>
          <a:lstStyle/>
          <a:p>
            <a:pPr>
              <a:defRPr lang="es-ES" sz="1000" b="0" i="0" u="none" strike="noStrike" baseline="0">
                <a:solidFill>
                  <a:srgbClr val="000000"/>
                </a:solidFill>
                <a:latin typeface="Calibri"/>
                <a:ea typeface="Calibri"/>
                <a:cs typeface="Calibri"/>
              </a:defRPr>
            </a:pPr>
            <a:endParaRPr lang="en-US"/>
          </a:p>
        </c:txPr>
        <c:crossAx val="267750400"/>
        <c:crosses val="autoZero"/>
        <c:crossBetween val="between"/>
      </c:valAx>
      <c:spPr>
        <a:noFill/>
        <a:ln w="25400">
          <a:noFill/>
        </a:ln>
      </c:spPr>
    </c:plotArea>
    <c:legend>
      <c:legendPos val="r"/>
      <c:layout>
        <c:manualLayout>
          <c:xMode val="edge"/>
          <c:yMode val="edge"/>
          <c:x val="0.8909395973154367"/>
          <c:y val="0.47346938775510444"/>
          <c:w val="0.1023489932885906"/>
          <c:h val="4.8979591836734733E-2"/>
        </c:manualLayout>
      </c:layout>
      <c:overlay val="0"/>
      <c:txPr>
        <a:bodyPr/>
        <a:lstStyle/>
        <a:p>
          <a:pPr>
            <a:defRPr lang="es-ES" sz="845" b="0" i="0" u="none" strike="noStrike" baseline="0">
              <a:solidFill>
                <a:srgbClr val="000000"/>
              </a:solidFill>
              <a:latin typeface="Calibri"/>
              <a:ea typeface="Calibri"/>
              <a:cs typeface="Calibri"/>
            </a:defRPr>
          </a:pPr>
          <a:endParaRPr lang="en-US"/>
        </a:p>
      </c:txPr>
    </c:legend>
    <c:plotVisOnly val="1"/>
    <c:dispBlanksAs val="gap"/>
    <c:showDLblsOverMax val="0"/>
  </c:chart>
  <c:spPr>
    <a:no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822" l="0.70000000000000062" r="0.70000000000000062" t="0.750000000000008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8064516129392E-2"/>
          <c:y val="1.3513513513513521E-2"/>
          <c:w val="0.81290322580645158"/>
          <c:h val="0.96038128954810964"/>
        </c:manualLayout>
      </c:layout>
      <c:barChart>
        <c:barDir val="bar"/>
        <c:grouping val="clustered"/>
        <c:varyColors val="0"/>
        <c:ser>
          <c:idx val="0"/>
          <c:order val="0"/>
          <c:spPr>
            <a:solidFill>
              <a:srgbClr val="D6CEB9"/>
            </a:solidFill>
            <a:ln w="25400">
              <a:noFill/>
            </a:ln>
          </c:spPr>
          <c:invertIfNegative val="0"/>
          <c:cat>
            <c:strRef>
              <c:f>iMapRank!$AI$9:$AI$34</c:f>
              <c:strCache>
                <c:ptCount val="26"/>
                <c:pt idx="0">
                  <c:v>Panamá</c:v>
                </c:pt>
                <c:pt idx="1">
                  <c:v>Dominican Republic</c:v>
                </c:pt>
                <c:pt idx="2">
                  <c:v>Jamaica</c:v>
                </c:pt>
                <c:pt idx="3">
                  <c:v>Guatemala</c:v>
                </c:pt>
                <c:pt idx="4">
                  <c:v>Colombia</c:v>
                </c:pt>
                <c:pt idx="5">
                  <c:v>Haiti</c:v>
                </c:pt>
                <c:pt idx="6">
                  <c:v>Argentina</c:v>
                </c:pt>
                <c:pt idx="7">
                  <c:v>Peru</c:v>
                </c:pt>
                <c:pt idx="8">
                  <c:v>Bolivia</c:v>
                </c:pt>
                <c:pt idx="9">
                  <c:v>Costa Rica</c:v>
                </c:pt>
                <c:pt idx="10">
                  <c:v>Barbados</c:v>
                </c:pt>
                <c:pt idx="11">
                  <c:v>Guyana</c:v>
                </c:pt>
                <c:pt idx="12">
                  <c:v>Suriname</c:v>
                </c:pt>
                <c:pt idx="13">
                  <c:v>México</c:v>
                </c:pt>
                <c:pt idx="14">
                  <c:v>El Salvador</c:v>
                </c:pt>
                <c:pt idx="15">
                  <c:v>Trinidad and Tobago</c:v>
                </c:pt>
                <c:pt idx="16">
                  <c:v>Ecuador</c:v>
                </c:pt>
                <c:pt idx="17">
                  <c:v>Nicaragua</c:v>
                </c:pt>
                <c:pt idx="18">
                  <c:v>Brasil</c:v>
                </c:pt>
                <c:pt idx="19">
                  <c:v>Uruguay</c:v>
                </c:pt>
                <c:pt idx="20">
                  <c:v>Chile</c:v>
                </c:pt>
                <c:pt idx="21">
                  <c:v>Bahamas</c:v>
                </c:pt>
                <c:pt idx="22">
                  <c:v>Belize</c:v>
                </c:pt>
                <c:pt idx="23">
                  <c:v>Venezuela</c:v>
                </c:pt>
                <c:pt idx="24">
                  <c:v>Paraguay</c:v>
                </c:pt>
                <c:pt idx="25">
                  <c:v>Honduras</c:v>
                </c:pt>
              </c:strCache>
            </c:strRef>
          </c:cat>
          <c:val>
            <c:numRef>
              <c:f>iMapRank!$AJ$9:$AJ$34</c:f>
              <c:numCache>
                <c:formatCode>General</c:formatCode>
                <c:ptCount val="26"/>
                <c:pt idx="0">
                  <c:v>17.599999999999998</c:v>
                </c:pt>
                <c:pt idx="1">
                  <c:v>8.4378989177878498</c:v>
                </c:pt>
                <c:pt idx="2">
                  <c:v>8.0450017908396898</c:v>
                </c:pt>
                <c:pt idx="3">
                  <c:v>7.8</c:v>
                </c:pt>
                <c:pt idx="4">
                  <c:v>7.7299999999999995</c:v>
                </c:pt>
                <c:pt idx="5">
                  <c:v>7.6910436445216401</c:v>
                </c:pt>
                <c:pt idx="6">
                  <c:v>7.2048221837913999</c:v>
                </c:pt>
                <c:pt idx="7">
                  <c:v>6.9662940495960699</c:v>
                </c:pt>
                <c:pt idx="8">
                  <c:v>6.9456878227985897</c:v>
                </c:pt>
                <c:pt idx="9">
                  <c:v>6.8641640540997191</c:v>
                </c:pt>
                <c:pt idx="10">
                  <c:v>6.6200117764503199</c:v>
                </c:pt>
                <c:pt idx="11">
                  <c:v>6.2970213381781504</c:v>
                </c:pt>
                <c:pt idx="12">
                  <c:v>6.0552171063273095</c:v>
                </c:pt>
                <c:pt idx="13">
                  <c:v>5.9218808907268796</c:v>
                </c:pt>
                <c:pt idx="14">
                  <c:v>5.6016158710687201</c:v>
                </c:pt>
                <c:pt idx="15">
                  <c:v>5.3618877032470706</c:v>
                </c:pt>
                <c:pt idx="16">
                  <c:v>5.26505148816371</c:v>
                </c:pt>
                <c:pt idx="17">
                  <c:v>5</c:v>
                </c:pt>
                <c:pt idx="18">
                  <c:v>4.5281547327290106</c:v>
                </c:pt>
                <c:pt idx="19">
                  <c:v>4.3444985270182999</c:v>
                </c:pt>
                <c:pt idx="20">
                  <c:v>4.01</c:v>
                </c:pt>
                <c:pt idx="21">
                  <c:v>3.91327578192378</c:v>
                </c:pt>
                <c:pt idx="22">
                  <c:v>3.6146611585719599</c:v>
                </c:pt>
                <c:pt idx="23">
                  <c:v>3.5627437840933798</c:v>
                </c:pt>
                <c:pt idx="24">
                  <c:v>2.4994499559909897</c:v>
                </c:pt>
                <c:pt idx="25">
                  <c:v>0</c:v>
                </c:pt>
              </c:numCache>
            </c:numRef>
          </c:val>
        </c:ser>
        <c:ser>
          <c:idx val="1"/>
          <c:order val="1"/>
          <c:spPr>
            <a:solidFill>
              <a:schemeClr val="bg2">
                <a:lumMod val="75000"/>
              </a:schemeClr>
            </a:solidFill>
            <a:ln>
              <a:noFill/>
            </a:ln>
          </c:spPr>
          <c:invertIfNegative val="0"/>
          <c:cat>
            <c:strRef>
              <c:f>iMapRank!$AI$9:$AI$34</c:f>
              <c:strCache>
                <c:ptCount val="26"/>
                <c:pt idx="0">
                  <c:v>Panamá</c:v>
                </c:pt>
                <c:pt idx="1">
                  <c:v>Dominican Republic</c:v>
                </c:pt>
                <c:pt idx="2">
                  <c:v>Jamaica</c:v>
                </c:pt>
                <c:pt idx="3">
                  <c:v>Guatemala</c:v>
                </c:pt>
                <c:pt idx="4">
                  <c:v>Colombia</c:v>
                </c:pt>
                <c:pt idx="5">
                  <c:v>Haiti</c:v>
                </c:pt>
                <c:pt idx="6">
                  <c:v>Argentina</c:v>
                </c:pt>
                <c:pt idx="7">
                  <c:v>Peru</c:v>
                </c:pt>
                <c:pt idx="8">
                  <c:v>Bolivia</c:v>
                </c:pt>
                <c:pt idx="9">
                  <c:v>Costa Rica</c:v>
                </c:pt>
                <c:pt idx="10">
                  <c:v>Barbados</c:v>
                </c:pt>
                <c:pt idx="11">
                  <c:v>Guyana</c:v>
                </c:pt>
                <c:pt idx="12">
                  <c:v>Suriname</c:v>
                </c:pt>
                <c:pt idx="13">
                  <c:v>México</c:v>
                </c:pt>
                <c:pt idx="14">
                  <c:v>El Salvador</c:v>
                </c:pt>
                <c:pt idx="15">
                  <c:v>Trinidad and Tobago</c:v>
                </c:pt>
                <c:pt idx="16">
                  <c:v>Ecuador</c:v>
                </c:pt>
                <c:pt idx="17">
                  <c:v>Nicaragua</c:v>
                </c:pt>
                <c:pt idx="18">
                  <c:v>Brasil</c:v>
                </c:pt>
                <c:pt idx="19">
                  <c:v>Uruguay</c:v>
                </c:pt>
                <c:pt idx="20">
                  <c:v>Chile</c:v>
                </c:pt>
                <c:pt idx="21">
                  <c:v>Bahamas</c:v>
                </c:pt>
                <c:pt idx="22">
                  <c:v>Belize</c:v>
                </c:pt>
                <c:pt idx="23">
                  <c:v>Venezuela</c:v>
                </c:pt>
                <c:pt idx="24">
                  <c:v>Paraguay</c:v>
                </c:pt>
                <c:pt idx="25">
                  <c:v>Honduras</c:v>
                </c:pt>
              </c:strCache>
            </c:strRef>
          </c:cat>
          <c:val>
            <c:numRef>
              <c:f>iMapRank!$AK$9:$AK$34</c:f>
              <c:numCache>
                <c:formatCode>General</c:formatCode>
                <c:ptCount val="2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numCache>
            </c:numRef>
          </c:val>
        </c:ser>
        <c:dLbls>
          <c:showLegendKey val="0"/>
          <c:showVal val="0"/>
          <c:showCatName val="0"/>
          <c:showSerName val="0"/>
          <c:showPercent val="0"/>
          <c:showBubbleSize val="0"/>
        </c:dLbls>
        <c:gapWidth val="93"/>
        <c:overlap val="100"/>
        <c:axId val="273581952"/>
        <c:axId val="273583488"/>
      </c:barChart>
      <c:catAx>
        <c:axId val="273581952"/>
        <c:scaling>
          <c:orientation val="maxMin"/>
        </c:scaling>
        <c:delete val="1"/>
        <c:axPos val="l"/>
        <c:majorTickMark val="out"/>
        <c:minorTickMark val="none"/>
        <c:tickLblPos val="none"/>
        <c:crossAx val="273583488"/>
        <c:crosses val="autoZero"/>
        <c:auto val="1"/>
        <c:lblAlgn val="ctr"/>
        <c:lblOffset val="100"/>
        <c:noMultiLvlLbl val="0"/>
      </c:catAx>
      <c:valAx>
        <c:axId val="273583488"/>
        <c:scaling>
          <c:orientation val="minMax"/>
          <c:max val="17.599999999999987"/>
          <c:min val="0"/>
        </c:scaling>
        <c:delete val="1"/>
        <c:axPos val="t"/>
        <c:numFmt formatCode="General" sourceLinked="1"/>
        <c:majorTickMark val="out"/>
        <c:minorTickMark val="none"/>
        <c:tickLblPos val="none"/>
        <c:crossAx val="27358195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844" l="0.70000000000000062" r="0.70000000000000062" t="0.750000000000008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364592097220731"/>
          <c:y val="9.9644128113880917E-2"/>
          <c:w val="0.58519311113508077"/>
          <c:h val="0.84341637010675541"/>
        </c:manualLayout>
      </c:layout>
      <c:barChart>
        <c:barDir val="bar"/>
        <c:grouping val="clustered"/>
        <c:varyColors val="0"/>
        <c:ser>
          <c:idx val="0"/>
          <c:order val="0"/>
          <c:spPr>
            <a:solidFill>
              <a:srgbClr val="D6CEB9"/>
            </a:solidFill>
            <a:ln w="25400">
              <a:noFill/>
            </a:ln>
          </c:spPr>
          <c:invertIfNegative val="0"/>
          <c:dLbls>
            <c:numFmt formatCode="#,##0;;;" sourceLinked="0"/>
            <c:spPr>
              <a:noFill/>
              <a:ln w="25400">
                <a:noFill/>
              </a:ln>
            </c:spPr>
            <c:txPr>
              <a:bodyPr/>
              <a:lstStyle/>
              <a:p>
                <a:pPr>
                  <a:defRPr lang="es-ES" sz="9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iCtryDataTable!$D$156:$D$158</c:f>
              <c:strCache>
                <c:ptCount val="3"/>
                <c:pt idx="0">
                  <c:v>Road</c:v>
                </c:pt>
                <c:pt idx="1">
                  <c:v>Rail</c:v>
                </c:pt>
                <c:pt idx="2">
                  <c:v>Air</c:v>
                </c:pt>
              </c:strCache>
            </c:strRef>
          </c:cat>
          <c:val>
            <c:numRef>
              <c:f>iCtryDataTable!$H$156:$H$158</c:f>
              <c:numCache>
                <c:formatCode>General</c:formatCode>
                <c:ptCount val="3"/>
                <c:pt idx="0">
                  <c:v>335105</c:v>
                </c:pt>
                <c:pt idx="1">
                  <c:v>10582.95994386</c:v>
                </c:pt>
                <c:pt idx="2">
                  <c:v>0</c:v>
                </c:pt>
              </c:numCache>
            </c:numRef>
          </c:val>
        </c:ser>
        <c:dLbls>
          <c:showLegendKey val="0"/>
          <c:showVal val="0"/>
          <c:showCatName val="0"/>
          <c:showSerName val="0"/>
          <c:showPercent val="0"/>
          <c:showBubbleSize val="0"/>
        </c:dLbls>
        <c:gapWidth val="150"/>
        <c:axId val="282456832"/>
        <c:axId val="282458368"/>
      </c:barChart>
      <c:catAx>
        <c:axId val="282456832"/>
        <c:scaling>
          <c:orientation val="maxMin"/>
        </c:scaling>
        <c:delete val="0"/>
        <c:axPos val="l"/>
        <c:numFmt formatCode="General" sourceLinked="1"/>
        <c:majorTickMark val="out"/>
        <c:minorTickMark val="none"/>
        <c:tickLblPos val="nextTo"/>
        <c:spPr>
          <a:ln>
            <a:noFill/>
          </a:ln>
        </c:spPr>
        <c:txPr>
          <a:bodyPr rot="0" vert="horz"/>
          <a:lstStyle/>
          <a:p>
            <a:pPr>
              <a:defRPr lang="es-ES" sz="1000" b="0" i="0" u="none" strike="noStrike" baseline="0">
                <a:solidFill>
                  <a:srgbClr val="000000"/>
                </a:solidFill>
                <a:latin typeface="Calibri"/>
                <a:ea typeface="Calibri"/>
                <a:cs typeface="Calibri"/>
              </a:defRPr>
            </a:pPr>
            <a:endParaRPr lang="en-US"/>
          </a:p>
        </c:txPr>
        <c:crossAx val="282458368"/>
        <c:crosses val="autoZero"/>
        <c:auto val="1"/>
        <c:lblAlgn val="ctr"/>
        <c:lblOffset val="100"/>
        <c:noMultiLvlLbl val="0"/>
      </c:catAx>
      <c:valAx>
        <c:axId val="282458368"/>
        <c:scaling>
          <c:orientation val="minMax"/>
        </c:scaling>
        <c:delete val="0"/>
        <c:axPos val="t"/>
        <c:majorGridlines>
          <c:spPr>
            <a:ln>
              <a:solidFill>
                <a:schemeClr val="bg1">
                  <a:lumMod val="95000"/>
                </a:schemeClr>
              </a:solidFill>
            </a:ln>
          </c:spPr>
        </c:majorGridlines>
        <c:numFmt formatCode="General" sourceLinked="1"/>
        <c:majorTickMark val="out"/>
        <c:minorTickMark val="none"/>
        <c:tickLblPos val="nextTo"/>
        <c:txPr>
          <a:bodyPr rot="0" vert="horz"/>
          <a:lstStyle/>
          <a:p>
            <a:pPr>
              <a:defRPr lang="es-ES" sz="800" b="0" i="0" u="none" strike="noStrike" baseline="0">
                <a:solidFill>
                  <a:srgbClr val="000000"/>
                </a:solidFill>
                <a:latin typeface="Calibri"/>
                <a:ea typeface="Calibri"/>
                <a:cs typeface="Calibri"/>
              </a:defRPr>
            </a:pPr>
            <a:endParaRPr lang="en-US"/>
          </a:p>
        </c:txPr>
        <c:crossAx val="282456832"/>
        <c:crosses val="autoZero"/>
        <c:crossBetween val="between"/>
      </c:valAx>
      <c:spPr>
        <a:solidFill>
          <a:schemeClr val="bg1"/>
        </a:solidFill>
      </c:spPr>
    </c:plotArea>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511" l="0.70000000000000062" r="0.70000000000000062" t="0.750000000000005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9019446987731297"/>
          <c:y val="9.9644128113880917E-2"/>
          <c:w val="0.41921357504730605"/>
          <c:h val="0.84341637010675541"/>
        </c:manualLayout>
      </c:layout>
      <c:barChart>
        <c:barDir val="bar"/>
        <c:grouping val="clustered"/>
        <c:varyColors val="0"/>
        <c:ser>
          <c:idx val="0"/>
          <c:order val="0"/>
          <c:spPr>
            <a:solidFill>
              <a:srgbClr val="D6CEB9"/>
            </a:solidFill>
            <a:ln w="25400">
              <a:noFill/>
            </a:ln>
          </c:spPr>
          <c:invertIfNegative val="0"/>
          <c:dLbls>
            <c:numFmt formatCode="#,##0;;;" sourceLinked="0"/>
            <c:spPr>
              <a:noFill/>
              <a:ln w="25400">
                <a:noFill/>
              </a:ln>
            </c:spPr>
            <c:txPr>
              <a:bodyPr/>
              <a:lstStyle/>
              <a:p>
                <a:pPr>
                  <a:defRPr lang="es-ES" sz="9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iCtryDataTable!$D$162:$D$165</c:f>
              <c:strCache>
                <c:ptCount val="4"/>
                <c:pt idx="0">
                  <c:v>Freeways</c:v>
                </c:pt>
                <c:pt idx="1">
                  <c:v>Primary network</c:v>
                </c:pt>
                <c:pt idx="2">
                  <c:v>Secondary network</c:v>
                </c:pt>
                <c:pt idx="3">
                  <c:v>Other networks</c:v>
                </c:pt>
              </c:strCache>
            </c:strRef>
          </c:cat>
          <c:val>
            <c:numRef>
              <c:f>iCtryDataTable!$H$162:$H$165</c:f>
              <c:numCache>
                <c:formatCode>General</c:formatCode>
                <c:ptCount val="4"/>
                <c:pt idx="0">
                  <c:v>1070.8499999999999</c:v>
                </c:pt>
                <c:pt idx="1">
                  <c:v>38548.71</c:v>
                </c:pt>
                <c:pt idx="2">
                  <c:v>189073</c:v>
                </c:pt>
                <c:pt idx="3">
                  <c:v>400000</c:v>
                </c:pt>
              </c:numCache>
            </c:numRef>
          </c:val>
        </c:ser>
        <c:dLbls>
          <c:showLegendKey val="0"/>
          <c:showVal val="0"/>
          <c:showCatName val="0"/>
          <c:showSerName val="0"/>
          <c:showPercent val="0"/>
          <c:showBubbleSize val="0"/>
        </c:dLbls>
        <c:gapWidth val="150"/>
        <c:axId val="283432448"/>
        <c:axId val="283433984"/>
      </c:barChart>
      <c:catAx>
        <c:axId val="283432448"/>
        <c:scaling>
          <c:orientation val="maxMin"/>
        </c:scaling>
        <c:delete val="0"/>
        <c:axPos val="l"/>
        <c:numFmt formatCode="General" sourceLinked="1"/>
        <c:majorTickMark val="out"/>
        <c:minorTickMark val="none"/>
        <c:tickLblPos val="nextTo"/>
        <c:spPr>
          <a:ln>
            <a:noFill/>
          </a:ln>
        </c:spPr>
        <c:txPr>
          <a:bodyPr rot="0" vert="horz"/>
          <a:lstStyle/>
          <a:p>
            <a:pPr>
              <a:defRPr lang="es-ES" sz="1000" b="0" i="0" u="none" strike="noStrike" baseline="0">
                <a:solidFill>
                  <a:srgbClr val="000000"/>
                </a:solidFill>
                <a:latin typeface="Calibri"/>
                <a:ea typeface="Calibri"/>
                <a:cs typeface="Calibri"/>
              </a:defRPr>
            </a:pPr>
            <a:endParaRPr lang="en-US"/>
          </a:p>
        </c:txPr>
        <c:crossAx val="283433984"/>
        <c:crosses val="autoZero"/>
        <c:auto val="1"/>
        <c:lblAlgn val="ctr"/>
        <c:lblOffset val="100"/>
        <c:noMultiLvlLbl val="0"/>
      </c:catAx>
      <c:valAx>
        <c:axId val="283433984"/>
        <c:scaling>
          <c:orientation val="minMax"/>
        </c:scaling>
        <c:delete val="0"/>
        <c:axPos val="t"/>
        <c:majorGridlines>
          <c:spPr>
            <a:ln>
              <a:solidFill>
                <a:schemeClr val="bg1">
                  <a:lumMod val="95000"/>
                </a:schemeClr>
              </a:solidFill>
            </a:ln>
          </c:spPr>
        </c:majorGridlines>
        <c:numFmt formatCode="General" sourceLinked="1"/>
        <c:majorTickMark val="out"/>
        <c:minorTickMark val="none"/>
        <c:tickLblPos val="nextTo"/>
        <c:txPr>
          <a:bodyPr rot="0" vert="horz"/>
          <a:lstStyle/>
          <a:p>
            <a:pPr>
              <a:defRPr lang="es-ES" sz="800" b="0" i="0" u="none" strike="noStrike" baseline="0">
                <a:solidFill>
                  <a:srgbClr val="000000"/>
                </a:solidFill>
                <a:latin typeface="Calibri"/>
                <a:ea typeface="Calibri"/>
                <a:cs typeface="Calibri"/>
              </a:defRPr>
            </a:pPr>
            <a:endParaRPr lang="en-US"/>
          </a:p>
        </c:txPr>
        <c:crossAx val="283432448"/>
        <c:crosses val="autoZero"/>
        <c:crossBetween val="between"/>
      </c:valAx>
      <c:spPr>
        <a:solidFill>
          <a:schemeClr val="bg1"/>
        </a:solidFill>
      </c:spPr>
    </c:plotArea>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533" l="0.70000000000000062" r="0.70000000000000062" t="0.750000000000005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834767747055014"/>
          <c:y val="9.9644128113881014E-2"/>
          <c:w val="0.55369321858023779"/>
          <c:h val="0.84341637010675519"/>
        </c:manualLayout>
      </c:layout>
      <c:barChart>
        <c:barDir val="bar"/>
        <c:grouping val="clustered"/>
        <c:varyColors val="0"/>
        <c:ser>
          <c:idx val="0"/>
          <c:order val="0"/>
          <c:spPr>
            <a:solidFill>
              <a:srgbClr val="D6CEB9"/>
            </a:solidFill>
            <a:ln w="25400">
              <a:noFill/>
            </a:ln>
          </c:spPr>
          <c:invertIfNegative val="0"/>
          <c:dLbls>
            <c:numFmt formatCode="#,##0;;;" sourceLinked="0"/>
            <c:spPr>
              <a:noFill/>
              <a:ln w="25400">
                <a:noFill/>
              </a:ln>
            </c:spPr>
            <c:txPr>
              <a:bodyPr/>
              <a:lstStyle/>
              <a:p>
                <a:pPr>
                  <a:defRPr lang="es-ES" sz="1000" b="0" i="0" u="none" strike="noStrike" baseline="0">
                    <a:solidFill>
                      <a:srgbClr val="000000"/>
                    </a:solidFill>
                    <a:latin typeface="Calibri"/>
                    <a:ea typeface="Calibri"/>
                    <a:cs typeface="Calibri"/>
                  </a:defRPr>
                </a:pPr>
                <a:endParaRPr lang="en-US"/>
              </a:p>
            </c:txPr>
            <c:dLblPos val="inBase"/>
            <c:showLegendKey val="0"/>
            <c:showVal val="1"/>
            <c:showCatName val="0"/>
            <c:showSerName val="0"/>
            <c:showPercent val="0"/>
            <c:showBubbleSize val="0"/>
            <c:showLeaderLines val="0"/>
          </c:dLbls>
          <c:cat>
            <c:strRef>
              <c:f>iCtryDataTable!$D$151:$D$152</c:f>
              <c:strCache>
                <c:ptCount val="2"/>
                <c:pt idx="0">
                  <c:v>Imports</c:v>
                </c:pt>
                <c:pt idx="1">
                  <c:v>Exports</c:v>
                </c:pt>
              </c:strCache>
            </c:strRef>
          </c:cat>
          <c:val>
            <c:numRef>
              <c:f>iCtryDataTable!$H$151:$H$152</c:f>
              <c:numCache>
                <c:formatCode>General</c:formatCode>
                <c:ptCount val="2"/>
                <c:pt idx="0">
                  <c:v>33687.227988999999</c:v>
                </c:pt>
                <c:pt idx="1">
                  <c:v>100244.570502</c:v>
                </c:pt>
              </c:numCache>
            </c:numRef>
          </c:val>
        </c:ser>
        <c:dLbls>
          <c:showLegendKey val="0"/>
          <c:showVal val="0"/>
          <c:showCatName val="0"/>
          <c:showSerName val="0"/>
          <c:showPercent val="0"/>
          <c:showBubbleSize val="0"/>
        </c:dLbls>
        <c:gapWidth val="150"/>
        <c:axId val="282496000"/>
        <c:axId val="282497792"/>
      </c:barChart>
      <c:catAx>
        <c:axId val="282496000"/>
        <c:scaling>
          <c:orientation val="maxMin"/>
        </c:scaling>
        <c:delete val="0"/>
        <c:axPos val="l"/>
        <c:numFmt formatCode="General" sourceLinked="1"/>
        <c:majorTickMark val="out"/>
        <c:minorTickMark val="none"/>
        <c:tickLblPos val="nextTo"/>
        <c:spPr>
          <a:ln>
            <a:noFill/>
          </a:ln>
        </c:spPr>
        <c:txPr>
          <a:bodyPr rot="0" vert="horz"/>
          <a:lstStyle/>
          <a:p>
            <a:pPr>
              <a:defRPr lang="es-ES" sz="1000" b="0" i="0" u="none" strike="noStrike" baseline="0">
                <a:solidFill>
                  <a:srgbClr val="000000"/>
                </a:solidFill>
                <a:latin typeface="Calibri"/>
                <a:ea typeface="Calibri"/>
                <a:cs typeface="Calibri"/>
              </a:defRPr>
            </a:pPr>
            <a:endParaRPr lang="en-US"/>
          </a:p>
        </c:txPr>
        <c:crossAx val="282497792"/>
        <c:crosses val="autoZero"/>
        <c:auto val="1"/>
        <c:lblAlgn val="ctr"/>
        <c:lblOffset val="100"/>
        <c:noMultiLvlLbl val="0"/>
      </c:catAx>
      <c:valAx>
        <c:axId val="282497792"/>
        <c:scaling>
          <c:orientation val="minMax"/>
        </c:scaling>
        <c:delete val="0"/>
        <c:axPos val="t"/>
        <c:majorGridlines>
          <c:spPr>
            <a:ln>
              <a:solidFill>
                <a:schemeClr val="bg1">
                  <a:lumMod val="95000"/>
                </a:schemeClr>
              </a:solidFill>
            </a:ln>
          </c:spPr>
        </c:majorGridlines>
        <c:numFmt formatCode="General" sourceLinked="1"/>
        <c:majorTickMark val="out"/>
        <c:minorTickMark val="none"/>
        <c:tickLblPos val="nextTo"/>
        <c:txPr>
          <a:bodyPr rot="0" vert="horz"/>
          <a:lstStyle/>
          <a:p>
            <a:pPr>
              <a:defRPr lang="es-ES" sz="800" b="0" i="0" u="none" strike="noStrike" baseline="0">
                <a:solidFill>
                  <a:srgbClr val="000000"/>
                </a:solidFill>
                <a:latin typeface="Calibri"/>
                <a:ea typeface="Calibri"/>
                <a:cs typeface="Calibri"/>
              </a:defRPr>
            </a:pPr>
            <a:endParaRPr lang="en-US"/>
          </a:p>
        </c:txPr>
        <c:crossAx val="282496000"/>
        <c:crosses val="autoZero"/>
        <c:crossBetween val="between"/>
      </c:valAx>
      <c:spPr>
        <a:solidFill>
          <a:schemeClr val="bg1"/>
        </a:solidFill>
      </c:spPr>
    </c:plotArea>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577" l="0.70000000000000062" r="0.70000000000000062" t="0.75000000000000577"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63093912871787"/>
          <c:y val="3.1007780832129805E-2"/>
          <c:w val="0.82731408573928256"/>
          <c:h val="0.88953488372092315"/>
        </c:manualLayout>
      </c:layout>
      <c:scatterChart>
        <c:scatterStyle val="lineMarker"/>
        <c:varyColors val="0"/>
        <c:ser>
          <c:idx val="0"/>
          <c:order val="0"/>
          <c:tx>
            <c:v>base</c:v>
          </c:tx>
          <c:spPr>
            <a:ln w="28575">
              <a:noFill/>
            </a:ln>
          </c:spPr>
          <c:marker>
            <c:symbol val="circle"/>
            <c:size val="14"/>
            <c:spPr>
              <a:noFill/>
              <a:ln w="6350">
                <a:solidFill>
                  <a:schemeClr val="bg1">
                    <a:lumMod val="50000"/>
                  </a:schemeClr>
                </a:solidFill>
              </a:ln>
            </c:spPr>
          </c:marker>
          <c:trendline>
            <c:trendlineType val="linear"/>
            <c:dispRSqr val="0"/>
            <c:dispEq val="0"/>
          </c:trendline>
          <c:xVal>
            <c:numRef>
              <c:f>iScatter!$AA$21:$AA$46</c:f>
              <c:numCache>
                <c:formatCode>General</c:formatCode>
                <c:ptCount val="26"/>
                <c:pt idx="0">
                  <c:v>11547.898269965235</c:v>
                </c:pt>
                <c:pt idx="1">
                  <c:v>23150.579545454548</c:v>
                </c:pt>
                <c:pt idx="2">
                  <c:v>16512.518259209744</c:v>
                </c:pt>
                <c:pt idx="3">
                  <c:v>4544.4458588799207</c:v>
                </c:pt>
                <c:pt idx="4">
                  <c:v>2695.912263210369</c:v>
                </c:pt>
                <c:pt idx="5">
                  <c:v>12078.670216229939</c:v>
                </c:pt>
                <c:pt idx="6">
                  <c:v>15417.025699496753</c:v>
                </c:pt>
                <c:pt idx="7">
                  <c:v>7854.8435555174046</c:v>
                </c:pt>
                <c:pt idx="8">
                  <c:v>9432.7519954935178</c:v>
                </c:pt>
                <c:pt idx="9">
                  <c:v>5795.6604771010416</c:v>
                </c:pt>
                <c:pt idx="10">
                  <c:v>3818.7549185807861</c:v>
                </c:pt>
                <c:pt idx="11">
                  <c:v>3302.2178086726249</c:v>
                </c:pt>
                <c:pt idx="12">
                  <c:v>3680.1053872360535</c:v>
                </c:pt>
                <c:pt idx="13">
                  <c:v>769.91888399892071</c:v>
                </c:pt>
                <c:pt idx="14">
                  <c:v>2242.1655895622484</c:v>
                </c:pt>
                <c:pt idx="15">
                  <c:v>5628.6686660696978</c:v>
                </c:pt>
                <c:pt idx="16">
                  <c:v>10247.196880005571</c:v>
                </c:pt>
                <c:pt idx="17">
                  <c:v>1756.5624477512122</c:v>
                </c:pt>
                <c:pt idx="18">
                  <c:v>9918.7414500684008</c:v>
                </c:pt>
                <c:pt idx="19">
                  <c:v>3904.3512512361508</c:v>
                </c:pt>
                <c:pt idx="20">
                  <c:v>6530.2552995996584</c:v>
                </c:pt>
                <c:pt idx="21">
                  <c:v>5763.0165087427958</c:v>
                </c:pt>
                <c:pt idx="22">
                  <c:v>8677.6556776556772</c:v>
                </c:pt>
                <c:pt idx="23">
                  <c:v>#N/A</c:v>
                </c:pt>
                <c:pt idx="24">
                  <c:v>14612.244897959185</c:v>
                </c:pt>
                <c:pt idx="25">
                  <c:v>12956.059220110445</c:v>
                </c:pt>
              </c:numCache>
            </c:numRef>
          </c:xVal>
          <c:yVal>
            <c:numRef>
              <c:f>iScatter!$AB$21:$AB$46</c:f>
              <c:numCache>
                <c:formatCode>General</c:formatCode>
                <c:ptCount val="26"/>
                <c:pt idx="0">
                  <c:v>1.4601380499469501</c:v>
                </c:pt>
                <c:pt idx="1">
                  <c:v>5.46</c:v>
                </c:pt>
                <c:pt idx="2">
                  <c:v>1.5</c:v>
                </c:pt>
                <c:pt idx="3">
                  <c:v>1.7382529237255699</c:v>
                </c:pt>
                <c:pt idx="4">
                  <c:v>0.54409095254778705</c:v>
                </c:pt>
                <c:pt idx="5">
                  <c:v>1.4256544696776501</c:v>
                </c:pt>
                <c:pt idx="6">
                  <c:v>1.7733010343837201</c:v>
                </c:pt>
                <c:pt idx="7">
                  <c:v>1.3097656528619099</c:v>
                </c:pt>
                <c:pt idx="8">
                  <c:v>1.57</c:v>
                </c:pt>
                <c:pt idx="9">
                  <c:v>0.383050668357373</c:v>
                </c:pt>
                <c:pt idx="10">
                  <c:v>0.92</c:v>
                </c:pt>
                <c:pt idx="11">
                  <c:v>1.1399999999999999</c:v>
                </c:pt>
                <c:pt idx="12">
                  <c:v>1.08</c:v>
                </c:pt>
                <c:pt idx="13">
                  <c:v>1.25</c:v>
                </c:pt>
                <c:pt idx="14">
                  <c:v>1.25</c:v>
                </c:pt>
                <c:pt idx="15">
                  <c:v>1.2</c:v>
                </c:pt>
                <c:pt idx="16">
                  <c:v>0.86</c:v>
                </c:pt>
                <c:pt idx="17">
                  <c:v>1.23</c:v>
                </c:pt>
                <c:pt idx="18">
                  <c:v>1.05</c:v>
                </c:pt>
                <c:pt idx="19">
                  <c:v>1.5993633210365299</c:v>
                </c:pt>
                <c:pt idx="20">
                  <c:v>1.3922916644345</c:v>
                </c:pt>
                <c:pt idx="21">
                  <c:v>1.58</c:v>
                </c:pt>
                <c:pt idx="22">
                  <c:v>1.57</c:v>
                </c:pt>
                <c:pt idx="23">
                  <c:v>#N/A</c:v>
                </c:pt>
                <c:pt idx="24">
                  <c:v>2.0102454577494502</c:v>
                </c:pt>
                <c:pt idx="25">
                  <c:v>1.6319679201734501E-2</c:v>
                </c:pt>
              </c:numCache>
            </c:numRef>
          </c:yVal>
          <c:smooth val="0"/>
        </c:ser>
        <c:ser>
          <c:idx val="2"/>
          <c:order val="1"/>
          <c:tx>
            <c:v>Labels</c:v>
          </c:tx>
          <c:spPr>
            <a:ln w="28575">
              <a:noFill/>
            </a:ln>
          </c:spPr>
          <c:marker>
            <c:symbol val="none"/>
          </c:marker>
          <c:dLbls>
            <c:dLbl>
              <c:idx val="0"/>
              <c:tx>
                <c:rich>
                  <a:bodyPr/>
                  <a:lstStyle/>
                  <a:p>
                    <a:r>
                      <a:rPr lang="en-US"/>
                      <a:t>AR</a:t>
                    </a:r>
                  </a:p>
                </c:rich>
              </c:tx>
              <c:dLblPos val="ctr"/>
              <c:showLegendKey val="0"/>
              <c:showVal val="1"/>
              <c:showCatName val="0"/>
              <c:showSerName val="0"/>
              <c:showPercent val="0"/>
              <c:showBubbleSize val="0"/>
            </c:dLbl>
            <c:dLbl>
              <c:idx val="1"/>
              <c:tx>
                <c:rich>
                  <a:bodyPr/>
                  <a:lstStyle/>
                  <a:p>
                    <a:r>
                      <a:rPr lang="en-US"/>
                      <a:t>BS</a:t>
                    </a:r>
                  </a:p>
                </c:rich>
              </c:tx>
              <c:dLblPos val="ctr"/>
              <c:showLegendKey val="0"/>
              <c:showVal val="1"/>
              <c:showCatName val="0"/>
              <c:showSerName val="0"/>
              <c:showPercent val="0"/>
              <c:showBubbleSize val="0"/>
            </c:dLbl>
            <c:dLbl>
              <c:idx val="2"/>
              <c:tx>
                <c:rich>
                  <a:bodyPr/>
                  <a:lstStyle/>
                  <a:p>
                    <a:r>
                      <a:rPr lang="en-US"/>
                      <a:t>BB</a:t>
                    </a:r>
                  </a:p>
                </c:rich>
              </c:tx>
              <c:dLblPos val="ctr"/>
              <c:showLegendKey val="0"/>
              <c:showVal val="1"/>
              <c:showCatName val="0"/>
              <c:showSerName val="0"/>
              <c:showPercent val="0"/>
              <c:showBubbleSize val="0"/>
            </c:dLbl>
            <c:dLbl>
              <c:idx val="3"/>
              <c:tx>
                <c:rich>
                  <a:bodyPr/>
                  <a:lstStyle/>
                  <a:p>
                    <a:r>
                      <a:rPr lang="en-US"/>
                      <a:t>BZ</a:t>
                    </a:r>
                  </a:p>
                </c:rich>
              </c:tx>
              <c:dLblPos val="ctr"/>
              <c:showLegendKey val="0"/>
              <c:showVal val="1"/>
              <c:showCatName val="0"/>
              <c:showSerName val="0"/>
              <c:showPercent val="0"/>
              <c:showBubbleSize val="0"/>
            </c:dLbl>
            <c:dLbl>
              <c:idx val="4"/>
              <c:tx>
                <c:rich>
                  <a:bodyPr/>
                  <a:lstStyle/>
                  <a:p>
                    <a:r>
                      <a:rPr lang="en-US"/>
                      <a:t>BO</a:t>
                    </a:r>
                  </a:p>
                </c:rich>
              </c:tx>
              <c:dLblPos val="ctr"/>
              <c:showLegendKey val="0"/>
              <c:showVal val="1"/>
              <c:showCatName val="0"/>
              <c:showSerName val="0"/>
              <c:showPercent val="0"/>
              <c:showBubbleSize val="0"/>
            </c:dLbl>
            <c:dLbl>
              <c:idx val="5"/>
              <c:tx>
                <c:rich>
                  <a:bodyPr/>
                  <a:lstStyle/>
                  <a:p>
                    <a:r>
                      <a:rPr lang="en-US"/>
                      <a:t>BR</a:t>
                    </a:r>
                  </a:p>
                </c:rich>
              </c:tx>
              <c:dLblPos val="ctr"/>
              <c:showLegendKey val="0"/>
              <c:showVal val="1"/>
              <c:showCatName val="0"/>
              <c:showSerName val="0"/>
              <c:showPercent val="0"/>
              <c:showBubbleSize val="0"/>
            </c:dLbl>
            <c:dLbl>
              <c:idx val="6"/>
              <c:tx>
                <c:rich>
                  <a:bodyPr/>
                  <a:lstStyle/>
                  <a:p>
                    <a:r>
                      <a:rPr lang="en-US"/>
                      <a:t>CL</a:t>
                    </a:r>
                  </a:p>
                </c:rich>
              </c:tx>
              <c:dLblPos val="ctr"/>
              <c:showLegendKey val="0"/>
              <c:showVal val="1"/>
              <c:showCatName val="0"/>
              <c:showSerName val="0"/>
              <c:showPercent val="0"/>
              <c:showBubbleSize val="0"/>
            </c:dLbl>
            <c:dLbl>
              <c:idx val="7"/>
              <c:tx>
                <c:rich>
                  <a:bodyPr/>
                  <a:lstStyle/>
                  <a:p>
                    <a:r>
                      <a:rPr lang="en-US"/>
                      <a:t>CO</a:t>
                    </a:r>
                  </a:p>
                </c:rich>
              </c:tx>
              <c:dLblPos val="ctr"/>
              <c:showLegendKey val="0"/>
              <c:showVal val="1"/>
              <c:showCatName val="0"/>
              <c:showSerName val="0"/>
              <c:showPercent val="0"/>
              <c:showBubbleSize val="0"/>
            </c:dLbl>
            <c:dLbl>
              <c:idx val="8"/>
              <c:tx>
                <c:rich>
                  <a:bodyPr/>
                  <a:lstStyle/>
                  <a:p>
                    <a:r>
                      <a:rPr lang="en-US"/>
                      <a:t>CR</a:t>
                    </a:r>
                  </a:p>
                </c:rich>
              </c:tx>
              <c:dLblPos val="ctr"/>
              <c:showLegendKey val="0"/>
              <c:showVal val="1"/>
              <c:showCatName val="0"/>
              <c:showSerName val="0"/>
              <c:showPercent val="0"/>
              <c:showBubbleSize val="0"/>
            </c:dLbl>
            <c:dLbl>
              <c:idx val="9"/>
              <c:tx>
                <c:rich>
                  <a:bodyPr/>
                  <a:lstStyle/>
                  <a:p>
                    <a:r>
                      <a:rPr lang="en-US"/>
                      <a:t>EC</a:t>
                    </a:r>
                  </a:p>
                </c:rich>
              </c:tx>
              <c:dLblPos val="ctr"/>
              <c:showLegendKey val="0"/>
              <c:showVal val="1"/>
              <c:showCatName val="0"/>
              <c:showSerName val="0"/>
              <c:showPercent val="0"/>
              <c:showBubbleSize val="0"/>
            </c:dLbl>
            <c:dLbl>
              <c:idx val="10"/>
              <c:tx>
                <c:rich>
                  <a:bodyPr/>
                  <a:lstStyle/>
                  <a:p>
                    <a:r>
                      <a:rPr lang="en-US"/>
                      <a:t>SV</a:t>
                    </a:r>
                  </a:p>
                </c:rich>
              </c:tx>
              <c:dLblPos val="ctr"/>
              <c:showLegendKey val="0"/>
              <c:showVal val="1"/>
              <c:showCatName val="0"/>
              <c:showSerName val="0"/>
              <c:showPercent val="0"/>
              <c:showBubbleSize val="0"/>
            </c:dLbl>
            <c:dLbl>
              <c:idx val="11"/>
              <c:tx>
                <c:rich>
                  <a:bodyPr/>
                  <a:lstStyle/>
                  <a:p>
                    <a:r>
                      <a:rPr lang="en-US"/>
                      <a:t>GT</a:t>
                    </a:r>
                  </a:p>
                </c:rich>
              </c:tx>
              <c:dLblPos val="ctr"/>
              <c:showLegendKey val="0"/>
              <c:showVal val="1"/>
              <c:showCatName val="0"/>
              <c:showSerName val="0"/>
              <c:showPercent val="0"/>
              <c:showBubbleSize val="0"/>
            </c:dLbl>
            <c:dLbl>
              <c:idx val="12"/>
              <c:tx>
                <c:rich>
                  <a:bodyPr/>
                  <a:lstStyle/>
                  <a:p>
                    <a:r>
                      <a:rPr lang="en-US"/>
                      <a:t>GY</a:t>
                    </a:r>
                  </a:p>
                </c:rich>
              </c:tx>
              <c:dLblPos val="ctr"/>
              <c:showLegendKey val="0"/>
              <c:showVal val="1"/>
              <c:showCatName val="0"/>
              <c:showSerName val="0"/>
              <c:showPercent val="0"/>
              <c:showBubbleSize val="0"/>
            </c:dLbl>
            <c:dLbl>
              <c:idx val="13"/>
              <c:tx>
                <c:rich>
                  <a:bodyPr/>
                  <a:lstStyle/>
                  <a:p>
                    <a:r>
                      <a:rPr lang="en-US"/>
                      <a:t>HT</a:t>
                    </a:r>
                  </a:p>
                </c:rich>
              </c:tx>
              <c:dLblPos val="ctr"/>
              <c:showLegendKey val="0"/>
              <c:showVal val="1"/>
              <c:showCatName val="0"/>
              <c:showSerName val="0"/>
              <c:showPercent val="0"/>
              <c:showBubbleSize val="0"/>
            </c:dLbl>
            <c:dLbl>
              <c:idx val="14"/>
              <c:tx>
                <c:rich>
                  <a:bodyPr/>
                  <a:lstStyle/>
                  <a:p>
                    <a:r>
                      <a:rPr lang="en-US"/>
                      <a:t>HN</a:t>
                    </a:r>
                  </a:p>
                </c:rich>
              </c:tx>
              <c:dLblPos val="ctr"/>
              <c:showLegendKey val="0"/>
              <c:showVal val="1"/>
              <c:showCatName val="0"/>
              <c:showSerName val="0"/>
              <c:showPercent val="0"/>
              <c:showBubbleSize val="0"/>
            </c:dLbl>
            <c:dLbl>
              <c:idx val="15"/>
              <c:tx>
                <c:rich>
                  <a:bodyPr/>
                  <a:lstStyle/>
                  <a:p>
                    <a:r>
                      <a:rPr lang="en-US"/>
                      <a:t>JM</a:t>
                    </a:r>
                  </a:p>
                </c:rich>
              </c:tx>
              <c:dLblPos val="ctr"/>
              <c:showLegendKey val="0"/>
              <c:showVal val="1"/>
              <c:showCatName val="0"/>
              <c:showSerName val="0"/>
              <c:showPercent val="0"/>
              <c:showBubbleSize val="0"/>
            </c:dLbl>
            <c:dLbl>
              <c:idx val="16"/>
              <c:tx>
                <c:rich>
                  <a:bodyPr/>
                  <a:lstStyle/>
                  <a:p>
                    <a:r>
                      <a:rPr lang="en-US"/>
                      <a:t>MX</a:t>
                    </a:r>
                  </a:p>
                </c:rich>
              </c:tx>
              <c:dLblPos val="ctr"/>
              <c:showLegendKey val="0"/>
              <c:showVal val="1"/>
              <c:showCatName val="0"/>
              <c:showSerName val="0"/>
              <c:showPercent val="0"/>
              <c:showBubbleSize val="0"/>
            </c:dLbl>
            <c:dLbl>
              <c:idx val="17"/>
              <c:tx>
                <c:rich>
                  <a:bodyPr/>
                  <a:lstStyle/>
                  <a:p>
                    <a:r>
                      <a:rPr lang="en-US"/>
                      <a:t>NI</a:t>
                    </a:r>
                  </a:p>
                </c:rich>
              </c:tx>
              <c:dLblPos val="ctr"/>
              <c:showLegendKey val="0"/>
              <c:showVal val="1"/>
              <c:showCatName val="0"/>
              <c:showSerName val="0"/>
              <c:showPercent val="0"/>
              <c:showBubbleSize val="0"/>
            </c:dLbl>
            <c:dLbl>
              <c:idx val="18"/>
              <c:tx>
                <c:rich>
                  <a:bodyPr/>
                  <a:lstStyle/>
                  <a:p>
                    <a:r>
                      <a:rPr lang="en-US"/>
                      <a:t>PA</a:t>
                    </a:r>
                  </a:p>
                </c:rich>
              </c:tx>
              <c:dLblPos val="ctr"/>
              <c:showLegendKey val="0"/>
              <c:showVal val="1"/>
              <c:showCatName val="0"/>
              <c:showSerName val="0"/>
              <c:showPercent val="0"/>
              <c:showBubbleSize val="0"/>
            </c:dLbl>
            <c:dLbl>
              <c:idx val="19"/>
              <c:tx>
                <c:rich>
                  <a:bodyPr/>
                  <a:lstStyle/>
                  <a:p>
                    <a:r>
                      <a:rPr lang="en-US"/>
                      <a:t>PY</a:t>
                    </a:r>
                  </a:p>
                </c:rich>
              </c:tx>
              <c:dLblPos val="ctr"/>
              <c:showLegendKey val="0"/>
              <c:showVal val="1"/>
              <c:showCatName val="0"/>
              <c:showSerName val="0"/>
              <c:showPercent val="0"/>
              <c:showBubbleSize val="0"/>
            </c:dLbl>
            <c:dLbl>
              <c:idx val="20"/>
              <c:tx>
                <c:rich>
                  <a:bodyPr/>
                  <a:lstStyle/>
                  <a:p>
                    <a:r>
                      <a:rPr lang="en-US"/>
                      <a:t>PE</a:t>
                    </a:r>
                  </a:p>
                </c:rich>
              </c:tx>
              <c:dLblPos val="ctr"/>
              <c:showLegendKey val="0"/>
              <c:showVal val="1"/>
              <c:showCatName val="0"/>
              <c:showSerName val="0"/>
              <c:showPercent val="0"/>
              <c:showBubbleSize val="0"/>
            </c:dLbl>
            <c:dLbl>
              <c:idx val="21"/>
              <c:tx>
                <c:rich>
                  <a:bodyPr/>
                  <a:lstStyle/>
                  <a:p>
                    <a:r>
                      <a:rPr lang="en-US"/>
                      <a:t>DO</a:t>
                    </a:r>
                  </a:p>
                </c:rich>
              </c:tx>
              <c:dLblPos val="ctr"/>
              <c:showLegendKey val="0"/>
              <c:showVal val="1"/>
              <c:showCatName val="0"/>
              <c:showSerName val="0"/>
              <c:showPercent val="0"/>
              <c:showBubbleSize val="0"/>
            </c:dLbl>
            <c:dLbl>
              <c:idx val="22"/>
              <c:tx>
                <c:rich>
                  <a:bodyPr/>
                  <a:lstStyle/>
                  <a:p>
                    <a:r>
                      <a:rPr lang="en-US"/>
                      <a:t>SR</a:t>
                    </a:r>
                  </a:p>
                </c:rich>
              </c:tx>
              <c:dLblPos val="ctr"/>
              <c:showLegendKey val="0"/>
              <c:showVal val="1"/>
              <c:showCatName val="0"/>
              <c:showSerName val="0"/>
              <c:showPercent val="0"/>
              <c:showBubbleSize val="0"/>
            </c:dLbl>
            <c:dLbl>
              <c:idx val="23"/>
              <c:tx>
                <c:rich>
                  <a:bodyPr/>
                  <a:lstStyle/>
                  <a:p>
                    <a:r>
                      <a:rPr lang="en-US"/>
                      <a:t>TT</a:t>
                    </a:r>
                  </a:p>
                </c:rich>
              </c:tx>
              <c:dLblPos val="ctr"/>
              <c:showLegendKey val="0"/>
              <c:showVal val="1"/>
              <c:showCatName val="0"/>
              <c:showSerName val="0"/>
              <c:showPercent val="0"/>
              <c:showBubbleSize val="0"/>
            </c:dLbl>
            <c:dLbl>
              <c:idx val="24"/>
              <c:tx>
                <c:rich>
                  <a:bodyPr/>
                  <a:lstStyle/>
                  <a:p>
                    <a:r>
                      <a:rPr lang="en-US"/>
                      <a:t>UY</a:t>
                    </a:r>
                  </a:p>
                </c:rich>
              </c:tx>
              <c:dLblPos val="ctr"/>
              <c:showLegendKey val="0"/>
              <c:showVal val="1"/>
              <c:showCatName val="0"/>
              <c:showSerName val="0"/>
              <c:showPercent val="0"/>
              <c:showBubbleSize val="0"/>
            </c:dLbl>
            <c:dLbl>
              <c:idx val="25"/>
              <c:tx>
                <c:rich>
                  <a:bodyPr/>
                  <a:lstStyle/>
                  <a:p>
                    <a:r>
                      <a:rPr lang="en-US"/>
                      <a:t>VE</a:t>
                    </a:r>
                  </a:p>
                </c:rich>
              </c:tx>
              <c:dLblPos val="ctr"/>
              <c:showLegendKey val="0"/>
              <c:showVal val="1"/>
              <c:showCatName val="0"/>
              <c:showSerName val="0"/>
              <c:showPercent val="0"/>
              <c:showBubbleSize val="0"/>
            </c:dLbl>
            <c:txPr>
              <a:bodyPr/>
              <a:lstStyle/>
              <a:p>
                <a:pPr>
                  <a:defRPr lang="es-ES"/>
                </a:pPr>
                <a:endParaRPr lang="en-US"/>
              </a:p>
            </c:txPr>
            <c:dLblPos val="ctr"/>
            <c:showLegendKey val="0"/>
            <c:showVal val="1"/>
            <c:showCatName val="0"/>
            <c:showSerName val="0"/>
            <c:showPercent val="0"/>
            <c:showBubbleSize val="0"/>
            <c:showLeaderLines val="0"/>
          </c:dLbls>
          <c:xVal>
            <c:numRef>
              <c:f>iScatter!$X$21:$X$46</c:f>
              <c:numCache>
                <c:formatCode>General</c:formatCode>
                <c:ptCount val="26"/>
                <c:pt idx="0">
                  <c:v>11547.898269965235</c:v>
                </c:pt>
                <c:pt idx="1">
                  <c:v>23150.579545454548</c:v>
                </c:pt>
                <c:pt idx="2">
                  <c:v>16512.518259209744</c:v>
                </c:pt>
                <c:pt idx="3">
                  <c:v>4544.4458588799207</c:v>
                </c:pt>
                <c:pt idx="4">
                  <c:v>2695.912263210369</c:v>
                </c:pt>
                <c:pt idx="5">
                  <c:v>12078.670216229939</c:v>
                </c:pt>
                <c:pt idx="6">
                  <c:v>15417.025699496753</c:v>
                </c:pt>
                <c:pt idx="7">
                  <c:v>7854.8435555174046</c:v>
                </c:pt>
                <c:pt idx="8">
                  <c:v>9432.7519954935178</c:v>
                </c:pt>
                <c:pt idx="9">
                  <c:v>5795.6604771010416</c:v>
                </c:pt>
                <c:pt idx="10">
                  <c:v>3818.7549185807861</c:v>
                </c:pt>
                <c:pt idx="11">
                  <c:v>3302.2178086726249</c:v>
                </c:pt>
                <c:pt idx="12">
                  <c:v>3680.1053872360535</c:v>
                </c:pt>
                <c:pt idx="13">
                  <c:v>769.91888399892071</c:v>
                </c:pt>
                <c:pt idx="14">
                  <c:v>2242.1655895622484</c:v>
                </c:pt>
                <c:pt idx="15">
                  <c:v>5628.6686660696978</c:v>
                </c:pt>
                <c:pt idx="16">
                  <c:v>10247.196880005571</c:v>
                </c:pt>
                <c:pt idx="17">
                  <c:v>1756.5624477512122</c:v>
                </c:pt>
                <c:pt idx="18">
                  <c:v>9918.7414500684008</c:v>
                </c:pt>
                <c:pt idx="19">
                  <c:v>3904.3512512361508</c:v>
                </c:pt>
                <c:pt idx="20">
                  <c:v>6530.2552995996584</c:v>
                </c:pt>
                <c:pt idx="21">
                  <c:v>5763.0165087427958</c:v>
                </c:pt>
                <c:pt idx="22">
                  <c:v>8677.6556776556772</c:v>
                </c:pt>
                <c:pt idx="23">
                  <c:v>#N/A</c:v>
                </c:pt>
                <c:pt idx="24">
                  <c:v>14612.244897959185</c:v>
                </c:pt>
                <c:pt idx="25">
                  <c:v>12956.059220110445</c:v>
                </c:pt>
              </c:numCache>
            </c:numRef>
          </c:xVal>
          <c:yVal>
            <c:numRef>
              <c:f>iScatter!$Y$21:$Y$46</c:f>
              <c:numCache>
                <c:formatCode>General</c:formatCode>
                <c:ptCount val="26"/>
                <c:pt idx="0">
                  <c:v>1.4601380499469501</c:v>
                </c:pt>
                <c:pt idx="1">
                  <c:v>5.46</c:v>
                </c:pt>
                <c:pt idx="2">
                  <c:v>1.5</c:v>
                </c:pt>
                <c:pt idx="3">
                  <c:v>1.7382529237255699</c:v>
                </c:pt>
                <c:pt idx="4">
                  <c:v>0.54409095254778705</c:v>
                </c:pt>
                <c:pt idx="5">
                  <c:v>1.4256544696776501</c:v>
                </c:pt>
                <c:pt idx="6">
                  <c:v>1.7733010343837201</c:v>
                </c:pt>
                <c:pt idx="7">
                  <c:v>1.3097656528619099</c:v>
                </c:pt>
                <c:pt idx="8">
                  <c:v>1.57</c:v>
                </c:pt>
                <c:pt idx="9">
                  <c:v>0.383050668357373</c:v>
                </c:pt>
                <c:pt idx="10">
                  <c:v>0.92</c:v>
                </c:pt>
                <c:pt idx="11">
                  <c:v>1.1399999999999999</c:v>
                </c:pt>
                <c:pt idx="12">
                  <c:v>1.08</c:v>
                </c:pt>
                <c:pt idx="13">
                  <c:v>1.25</c:v>
                </c:pt>
                <c:pt idx="14">
                  <c:v>1.25</c:v>
                </c:pt>
                <c:pt idx="15">
                  <c:v>1.2</c:v>
                </c:pt>
                <c:pt idx="16">
                  <c:v>0.86</c:v>
                </c:pt>
                <c:pt idx="17">
                  <c:v>1.23</c:v>
                </c:pt>
                <c:pt idx="18">
                  <c:v>1.05</c:v>
                </c:pt>
                <c:pt idx="19">
                  <c:v>1.5993633210365299</c:v>
                </c:pt>
                <c:pt idx="20">
                  <c:v>1.3922916644345</c:v>
                </c:pt>
                <c:pt idx="21">
                  <c:v>1.58</c:v>
                </c:pt>
                <c:pt idx="22">
                  <c:v>1.57</c:v>
                </c:pt>
                <c:pt idx="23">
                  <c:v>#N/A</c:v>
                </c:pt>
                <c:pt idx="24">
                  <c:v>2.0102454577494502</c:v>
                </c:pt>
                <c:pt idx="25">
                  <c:v>1.6319679201734501E-2</c:v>
                </c:pt>
              </c:numCache>
            </c:numRef>
          </c:yVal>
          <c:smooth val="0"/>
        </c:ser>
        <c:ser>
          <c:idx val="1"/>
          <c:order val="2"/>
          <c:tx>
            <c:v>Highlighted</c:v>
          </c:tx>
          <c:spPr>
            <a:ln w="28575">
              <a:noFill/>
            </a:ln>
          </c:spPr>
          <c:marker>
            <c:symbol val="circle"/>
            <c:size val="14"/>
            <c:spPr>
              <a:solidFill>
                <a:srgbClr val="A77D00">
                  <a:alpha val="44000"/>
                </a:srgbClr>
              </a:solidFill>
              <a:ln>
                <a:noFill/>
                <a:prstDash val="solid"/>
              </a:ln>
            </c:spPr>
          </c:marker>
          <c:xVal>
            <c:numRef>
              <c:f>iScatter!$AD$21:$AD$46</c:f>
              <c:numCache>
                <c:formatCode>General</c:formatCode>
                <c:ptCount val="2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numCache>
            </c:numRef>
          </c:xVal>
          <c:yVal>
            <c:numRef>
              <c:f>iScatter!$AE$21:$AE$46</c:f>
              <c:numCache>
                <c:formatCode>General</c:formatCode>
                <c:ptCount val="2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numCache>
            </c:numRef>
          </c:yVal>
          <c:smooth val="0"/>
        </c:ser>
        <c:ser>
          <c:idx val="3"/>
          <c:order val="3"/>
          <c:tx>
            <c:strRef>
              <c:f>iScatter!$S$21</c:f>
              <c:strCache>
                <c:ptCount val="1"/>
                <c:pt idx="0">
                  <c:v>&lt;none&gt;</c:v>
                </c:pt>
              </c:strCache>
            </c:strRef>
          </c:tx>
          <c:spPr>
            <a:ln w="28575">
              <a:noFill/>
            </a:ln>
          </c:spPr>
          <c:marker>
            <c:symbol val="circle"/>
            <c:size val="18"/>
            <c:spPr>
              <a:solidFill>
                <a:srgbClr val="FFC213"/>
              </a:solidFill>
              <a:ln w="9525">
                <a:noFill/>
              </a:ln>
            </c:spPr>
          </c:marker>
          <c:dLbls>
            <c:spPr>
              <a:noFill/>
              <a:ln w="25400">
                <a:noFill/>
              </a:ln>
            </c:spPr>
            <c:txPr>
              <a:bodyPr/>
              <a:lstStyle/>
              <a:p>
                <a:pPr>
                  <a:defRPr lang="es-ES" sz="1000" b="1" i="0" u="none" strike="noStrike" baseline="0">
                    <a:solidFill>
                      <a:srgbClr val="FFFFFF"/>
                    </a:solidFill>
                    <a:latin typeface="Calibri"/>
                    <a:ea typeface="Calibri"/>
                    <a:cs typeface="Calibri"/>
                  </a:defRPr>
                </a:pPr>
                <a:endParaRPr lang="en-US"/>
              </a:p>
            </c:txPr>
            <c:dLblPos val="ctr"/>
            <c:showLegendKey val="0"/>
            <c:showVal val="0"/>
            <c:showCatName val="0"/>
            <c:showSerName val="1"/>
            <c:showPercent val="0"/>
            <c:showBubbleSize val="0"/>
            <c:showLeaderLines val="0"/>
          </c:dLbls>
          <c:xVal>
            <c:numRef>
              <c:f>iScatter!$T$21</c:f>
              <c:numCache>
                <c:formatCode>General</c:formatCode>
                <c:ptCount val="1"/>
                <c:pt idx="0">
                  <c:v>#N/A</c:v>
                </c:pt>
              </c:numCache>
            </c:numRef>
          </c:xVal>
          <c:yVal>
            <c:numRef>
              <c:f>iScatter!$U$21</c:f>
              <c:numCache>
                <c:formatCode>General</c:formatCode>
                <c:ptCount val="1"/>
                <c:pt idx="0">
                  <c:v>#N/A</c:v>
                </c:pt>
              </c:numCache>
            </c:numRef>
          </c:yVal>
          <c:smooth val="0"/>
        </c:ser>
        <c:dLbls>
          <c:showLegendKey val="0"/>
          <c:showVal val="0"/>
          <c:showCatName val="0"/>
          <c:showSerName val="0"/>
          <c:showPercent val="0"/>
          <c:showBubbleSize val="0"/>
        </c:dLbls>
        <c:axId val="283830912"/>
        <c:axId val="283628288"/>
      </c:scatterChart>
      <c:valAx>
        <c:axId val="283830912"/>
        <c:scaling>
          <c:orientation val="minMax"/>
        </c:scaling>
        <c:delete val="0"/>
        <c:axPos val="b"/>
        <c:majorGridlines>
          <c:spPr>
            <a:ln>
              <a:solidFill>
                <a:schemeClr val="bg1">
                  <a:lumMod val="85000"/>
                </a:schemeClr>
              </a:solidFill>
            </a:ln>
          </c:spPr>
        </c:majorGridlines>
        <c:title>
          <c:tx>
            <c:strRef>
              <c:f>iScatter!$E$10</c:f>
              <c:strCache>
                <c:ptCount val="1"/>
                <c:pt idx="0">
                  <c:v>GDP / CAPITA</c:v>
                </c:pt>
              </c:strCache>
            </c:strRef>
          </c:tx>
          <c:overlay val="0"/>
          <c:spPr>
            <a:noFill/>
            <a:ln w="25400">
              <a:noFill/>
            </a:ln>
          </c:spPr>
          <c:txPr>
            <a:bodyPr/>
            <a:lstStyle/>
            <a:p>
              <a:pPr>
                <a:defRPr lang="es-ES" sz="1100" b="1" i="0" u="none" strike="noStrike" baseline="0">
                  <a:solidFill>
                    <a:srgbClr val="000000"/>
                  </a:solidFill>
                  <a:latin typeface="Calibri"/>
                  <a:ea typeface="Calibri"/>
                  <a:cs typeface="Calibri"/>
                </a:defRPr>
              </a:pPr>
              <a:endParaRPr lang="en-US"/>
            </a:p>
          </c:txPr>
        </c:title>
        <c:numFmt formatCode="General" sourceLinked="1"/>
        <c:majorTickMark val="none"/>
        <c:minorTickMark val="none"/>
        <c:tickLblPos val="nextTo"/>
        <c:spPr>
          <a:ln>
            <a:noFill/>
          </a:ln>
        </c:spPr>
        <c:txPr>
          <a:bodyPr rot="0" vert="horz"/>
          <a:lstStyle/>
          <a:p>
            <a:pPr>
              <a:defRPr lang="es-ES" sz="1000" b="0" i="0" u="none" strike="noStrike" baseline="0">
                <a:solidFill>
                  <a:srgbClr val="808080"/>
                </a:solidFill>
                <a:latin typeface="Calibri"/>
                <a:ea typeface="Calibri"/>
                <a:cs typeface="Calibri"/>
              </a:defRPr>
            </a:pPr>
            <a:endParaRPr lang="en-US"/>
          </a:p>
        </c:txPr>
        <c:crossAx val="283628288"/>
        <c:crosses val="autoZero"/>
        <c:crossBetween val="midCat"/>
      </c:valAx>
      <c:valAx>
        <c:axId val="283628288"/>
        <c:scaling>
          <c:orientation val="minMax"/>
        </c:scaling>
        <c:delete val="0"/>
        <c:axPos val="l"/>
        <c:majorGridlines>
          <c:spPr>
            <a:ln>
              <a:solidFill>
                <a:schemeClr val="bg1">
                  <a:lumMod val="85000"/>
                </a:schemeClr>
              </a:solidFill>
            </a:ln>
          </c:spPr>
        </c:majorGridlines>
        <c:title>
          <c:tx>
            <c:strRef>
              <c:f>iScatter!$E$11</c:f>
              <c:strCache>
                <c:ptCount val="1"/>
                <c:pt idx="0">
                  <c:v>RETAIL PRICE GASOLINE</c:v>
                </c:pt>
              </c:strCache>
            </c:strRef>
          </c:tx>
          <c:overlay val="0"/>
          <c:spPr>
            <a:noFill/>
            <a:ln w="25400">
              <a:noFill/>
            </a:ln>
          </c:spPr>
          <c:txPr>
            <a:bodyPr/>
            <a:lstStyle/>
            <a:p>
              <a:pPr>
                <a:defRPr lang="es-ES" sz="1100" b="1" i="0" u="none" strike="noStrike" baseline="0">
                  <a:solidFill>
                    <a:srgbClr val="000000"/>
                  </a:solidFill>
                  <a:latin typeface="Calibri"/>
                  <a:ea typeface="Calibri"/>
                  <a:cs typeface="Calibri"/>
                </a:defRPr>
              </a:pPr>
              <a:endParaRPr lang="en-US"/>
            </a:p>
          </c:txPr>
        </c:title>
        <c:numFmt formatCode="General" sourceLinked="1"/>
        <c:majorTickMark val="none"/>
        <c:minorTickMark val="none"/>
        <c:tickLblPos val="nextTo"/>
        <c:spPr>
          <a:ln>
            <a:noFill/>
          </a:ln>
        </c:spPr>
        <c:txPr>
          <a:bodyPr rot="0" vert="horz"/>
          <a:lstStyle/>
          <a:p>
            <a:pPr>
              <a:defRPr lang="es-ES" sz="1000" b="0" i="0" u="none" strike="noStrike" baseline="0">
                <a:solidFill>
                  <a:srgbClr val="969696"/>
                </a:solidFill>
                <a:latin typeface="Calibri"/>
                <a:ea typeface="Calibri"/>
                <a:cs typeface="Calibri"/>
              </a:defRPr>
            </a:pPr>
            <a:endParaRPr lang="en-US"/>
          </a:p>
        </c:txPr>
        <c:crossAx val="283830912"/>
        <c:crosses val="autoZero"/>
        <c:crossBetween val="midCat"/>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1155" r="0.75000000000001155" t="1" header="0.5" footer="0.5"/>
    <c:pageSetup/>
  </c:printSettings>
</c:chartSpac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Drop" dropLines="26" dropStyle="combo" dx="16" fmlaLink="uxbWorks!$B$30" fmlaRange="tblCountries!$C$3:$C$28" noThreeD="1" val="0"/>
</file>

<file path=xl/ctrlProps/ctrlProp11.xml><?xml version="1.0" encoding="utf-8"?>
<formControlPr xmlns="http://schemas.microsoft.com/office/spreadsheetml/2009/9/main" objectType="Drop" dropLines="26" dropStyle="combo" dx="16" fmlaLink="uxbWorks!$B$30" fmlaRange="tblCountries!$C$3:$C$28" noThreeD="1" val="0"/>
</file>

<file path=xl/ctrlProps/ctrlProp12.xml><?xml version="1.0" encoding="utf-8"?>
<formControlPr xmlns="http://schemas.microsoft.com/office/spreadsheetml/2009/9/main" objectType="Drop" dropLines="30" dropStyle="combo" dx="16" fmlaLink="uxbWorks!$B$23" fmlaRange="tblCountries!$C$2:$C$28" noThreeD="1" val="0"/>
</file>

<file path=xl/ctrlProps/ctrlProp13.xml><?xml version="1.0" encoding="utf-8"?>
<formControlPr xmlns="http://schemas.microsoft.com/office/spreadsheetml/2009/9/main" objectType="Drop" dropLines="27" dropStyle="combo" dx="16" fmlaLink="uxbWorks!$B$17" fmlaRange="tblCountries!$N$2:$N$6" noThreeD="1" val="0"/>
</file>

<file path=xl/ctrlProps/ctrlProp14.xml><?xml version="1.0" encoding="utf-8"?>
<formControlPr xmlns="http://schemas.microsoft.com/office/spreadsheetml/2009/9/main" objectType="Drop" dropLines="40" dropStyle="combo" dx="16" fmlaLink="uxbWorks!$B$42" fmlaRange="tblIndicators!$W$2:$W$106" noThreeD="1" sel="96" val="65"/>
</file>

<file path=xl/ctrlProps/ctrlProp15.xml><?xml version="1.0" encoding="utf-8"?>
<formControlPr xmlns="http://schemas.microsoft.com/office/spreadsheetml/2009/9/main" objectType="Drop" dropLines="40" dropStyle="combo" dx="16" fmlaLink="uxbWorks!$B$43" fmlaRange="tblIndicators!$W$2:$W$106" noThreeD="1" sel="33" val="32"/>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Drop" dropStyle="combo" dx="16" fmlaLink="uxbWorks!$B$7" fmlaRange="tblLookups!$B$2:$B$3" noThreeD="1" val="0"/>
</file>

<file path=xl/ctrlProps/ctrlProp4.xml><?xml version="1.0" encoding="utf-8"?>
<formControlPr xmlns="http://schemas.microsoft.com/office/spreadsheetml/2009/9/main" objectType="Drop" dropLines="40" dropStyle="combo" dx="16" fmlaLink="uxbWorks!$B$21" fmlaRange="tblIndicators!$W$2:$W$106" noThreeD="1" sel="2" val="0"/>
</file>

<file path=xl/ctrlProps/ctrlProp5.xml><?xml version="1.0" encoding="utf-8"?>
<formControlPr xmlns="http://schemas.microsoft.com/office/spreadsheetml/2009/9/main" objectType="Drop" dropLines="27" dropStyle="combo" dx="16" fmlaLink="uxbWorks!$B$23" fmlaRange="tblCountries!$C$2:$C$28" noThreeD="1" val="0"/>
</file>

<file path=xl/ctrlProps/ctrlProp6.xml><?xml version="1.0" encoding="utf-8"?>
<formControlPr xmlns="http://schemas.microsoft.com/office/spreadsheetml/2009/9/main" objectType="Drop" dropLines="27" dropStyle="combo" dx="16" fmlaLink="uxbWorks!$B$17" fmlaRange="tblCountries!$N$2:$N$6" noThreeD="1" val="0"/>
</file>

<file path=xl/ctrlProps/ctrlProp7.xml><?xml version="1.0" encoding="utf-8"?>
<formControlPr xmlns="http://schemas.microsoft.com/office/spreadsheetml/2009/9/main" objectType="Drop" dropLines="27" dropStyle="combo" dx="16" fmlaLink="uxbWorks!$B$23" fmlaRange="tblCountries!$C$2:$C$28" noThreeD="1" val="0"/>
</file>

<file path=xl/ctrlProps/ctrlProp8.xml><?xml version="1.0" encoding="utf-8"?>
<formControlPr xmlns="http://schemas.microsoft.com/office/spreadsheetml/2009/9/main" objectType="Drop" dropLines="20" dropStyle="combo" dx="16" fmlaLink="uxbWorks!$B$35" fmlaRange="iMultiples!$F$3:$F$9" noThreeD="1" val="0"/>
</file>

<file path=xl/ctrlProps/ctrlProp9.xml><?xml version="1.0" encoding="utf-8"?>
<formControlPr xmlns="http://schemas.microsoft.com/office/spreadsheetml/2009/9/main" objectType="Drop" dropLines="27" dropStyle="combo" dx="16" fmlaLink="uxbWorks!$B$17" fmlaRange="tblCountries!$N$2:$N$6" noThreeD="1" val="0"/>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chart" Target="../charts/chart2.xml"/><Relationship Id="rId5" Type="http://schemas.openxmlformats.org/officeDocument/2006/relationships/image" Target="../media/image6.png"/><Relationship Id="rId4" Type="http://schemas.openxmlformats.org/officeDocument/2006/relationships/hyperlink" Target="#hlHome"/></Relationships>
</file>

<file path=xl/drawings/_rels/drawing5.xml.rels><?xml version="1.0" encoding="UTF-8" standalone="yes"?>
<Relationships xmlns="http://schemas.openxmlformats.org/package/2006/relationships"><Relationship Id="rId3" Type="http://schemas.openxmlformats.org/officeDocument/2006/relationships/hyperlink" Target="#hlHome"/><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image" Target="../media/image6.png"/><Relationship Id="rId5" Type="http://schemas.openxmlformats.org/officeDocument/2006/relationships/hyperlink" Target="#hlHome"/><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hlHome"/><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chart" Target="../charts/chart6.xml"/><Relationship Id="rId5" Type="http://schemas.openxmlformats.org/officeDocument/2006/relationships/image" Target="../media/image6.png"/><Relationship Id="rId4" Type="http://schemas.openxmlformats.org/officeDocument/2006/relationships/hyperlink" Target="#hlHome"/></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lHom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657225</xdr:colOff>
          <xdr:row>19</xdr:row>
          <xdr:rowOff>76200</xdr:rowOff>
        </xdr:from>
        <xdr:to>
          <xdr:col>3</xdr:col>
          <xdr:colOff>676275</xdr:colOff>
          <xdr:row>21</xdr:row>
          <xdr:rowOff>57150</xdr:rowOff>
        </xdr:to>
        <xdr:sp macro="" textlink="">
          <xdr:nvSpPr>
            <xdr:cNvPr id="6145" name="Button 1" hidden="1">
              <a:extLst>
                <a:ext uri="{63B3BB69-23CF-44E3-9099-C40C66FF867C}">
                  <a14:compatExt spid="_x0000_s614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Lock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657225</xdr:colOff>
          <xdr:row>23</xdr:row>
          <xdr:rowOff>76200</xdr:rowOff>
        </xdr:from>
        <xdr:to>
          <xdr:col>4</xdr:col>
          <xdr:colOff>533400</xdr:colOff>
          <xdr:row>25</xdr:row>
          <xdr:rowOff>57150</xdr:rowOff>
        </xdr:to>
        <xdr:sp macro="" textlink="">
          <xdr:nvSpPr>
            <xdr:cNvPr id="6146" name="Button 2" hidden="1">
              <a:extLst>
                <a:ext uri="{63B3BB69-23CF-44E3-9099-C40C66FF867C}">
                  <a14:compatExt spid="_x0000_s614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Unlock</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3</xdr:col>
      <xdr:colOff>85725</xdr:colOff>
      <xdr:row>0</xdr:row>
      <xdr:rowOff>114300</xdr:rowOff>
    </xdr:from>
    <xdr:to>
      <xdr:col>3</xdr:col>
      <xdr:colOff>314325</xdr:colOff>
      <xdr:row>2</xdr:row>
      <xdr:rowOff>200025</xdr:rowOff>
    </xdr:to>
    <xdr:pic macro="[0]!Export_Worksheet">
      <xdr:nvPicPr>
        <xdr:cNvPr id="449690" name="picExport" descr="Actions-document-export-icon.png"/>
        <xdr:cNvPicPr>
          <a:picLocks noChangeAspect="1"/>
        </xdr:cNvPicPr>
      </xdr:nvPicPr>
      <xdr:blipFill>
        <a:blip xmlns:r="http://schemas.openxmlformats.org/officeDocument/2006/relationships" r:embed="rId1" cstate="print"/>
        <a:srcRect/>
        <a:stretch>
          <a:fillRect/>
        </a:stretch>
      </xdr:blipFill>
      <xdr:spPr bwMode="auto">
        <a:xfrm>
          <a:off x="390525" y="114300"/>
          <a:ext cx="228600" cy="228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3</xdr:row>
      <xdr:rowOff>152400</xdr:rowOff>
    </xdr:from>
    <xdr:to>
      <xdr:col>2</xdr:col>
      <xdr:colOff>180975</xdr:colOff>
      <xdr:row>7</xdr:row>
      <xdr:rowOff>38100</xdr:rowOff>
    </xdr:to>
    <xdr:sp macro="" textlink="tblText!$A$6">
      <xdr:nvSpPr>
        <xdr:cNvPr id="2249" name="TextBox 5"/>
        <xdr:cNvSpPr txBox="1">
          <a:spLocks noChangeArrowheads="1"/>
        </xdr:cNvSpPr>
      </xdr:nvSpPr>
      <xdr:spPr bwMode="auto">
        <a:xfrm>
          <a:off x="666750" y="1181100"/>
          <a:ext cx="4410075" cy="838200"/>
        </a:xfrm>
        <a:prstGeom prst="rect">
          <a:avLst/>
        </a:prstGeom>
        <a:noFill/>
        <a:ln w="9525">
          <a:noFill/>
          <a:miter lim="800000"/>
          <a:headEnd/>
          <a:tailEnd/>
        </a:ln>
      </xdr:spPr>
      <xdr:txBody>
        <a:bodyPr vertOverflow="clip" wrap="square" lIns="0" tIns="0" rIns="0" bIns="0" anchor="t" upright="1"/>
        <a:lstStyle/>
        <a:p>
          <a:pPr algn="l" rtl="0">
            <a:defRPr sz="1000"/>
          </a:pPr>
          <a:fld id="{8779A0FD-9D1A-4072-8457-B27CBAFFABA5}" type="TxLink">
            <a:rPr lang="en-GB" sz="2000" b="1" i="0" u="none" strike="noStrike" baseline="0">
              <a:solidFill>
                <a:schemeClr val="tx1">
                  <a:lumMod val="75000"/>
                  <a:lumOff val="25000"/>
                </a:schemeClr>
              </a:solidFill>
              <a:latin typeface="Calibri"/>
            </a:rPr>
            <a:pPr algn="l" rtl="0">
              <a:defRPr sz="1000"/>
            </a:pPr>
            <a:t>Freight Transport and Logistics Yearbook 2014</a:t>
          </a:fld>
          <a:endParaRPr lang="en-GB" sz="2000" b="1" i="0" u="none" strike="noStrike" baseline="0">
            <a:solidFill>
              <a:schemeClr val="tx1">
                <a:lumMod val="75000"/>
                <a:lumOff val="25000"/>
              </a:schemeClr>
            </a:solidFill>
            <a:latin typeface="Calibri"/>
          </a:endParaRPr>
        </a:p>
      </xdr:txBody>
    </xdr:sp>
    <xdr:clientData/>
  </xdr:twoCellAnchor>
  <xdr:twoCellAnchor>
    <xdr:from>
      <xdr:col>3</xdr:col>
      <xdr:colOff>0</xdr:colOff>
      <xdr:row>19</xdr:row>
      <xdr:rowOff>247650</xdr:rowOff>
    </xdr:from>
    <xdr:to>
      <xdr:col>5</xdr:col>
      <xdr:colOff>9525</xdr:colOff>
      <xdr:row>21</xdr:row>
      <xdr:rowOff>0</xdr:rowOff>
    </xdr:to>
    <xdr:sp macro="" textlink="tblText!$A$53">
      <xdr:nvSpPr>
        <xdr:cNvPr id="2251" name="TextBox 8"/>
        <xdr:cNvSpPr txBox="1">
          <a:spLocks noChangeArrowheads="1"/>
        </xdr:cNvSpPr>
      </xdr:nvSpPr>
      <xdr:spPr bwMode="auto">
        <a:xfrm>
          <a:off x="5772150" y="5448300"/>
          <a:ext cx="3409950" cy="352425"/>
        </a:xfrm>
        <a:prstGeom prst="rect">
          <a:avLst/>
        </a:prstGeom>
        <a:solidFill>
          <a:srgbClr val="FFC000"/>
        </a:solidFill>
        <a:ln w="9525">
          <a:noFill/>
          <a:miter lim="800000"/>
          <a:headEnd/>
          <a:tailEnd/>
        </a:ln>
      </xdr:spPr>
      <xdr:txBody>
        <a:bodyPr vertOverflow="clip" wrap="square" lIns="27432" tIns="27432" rIns="27432" bIns="0" anchor="t" upright="1"/>
        <a:lstStyle/>
        <a:p>
          <a:pPr algn="ctr" rtl="0">
            <a:defRPr sz="1000"/>
          </a:pPr>
          <a:fld id="{529918FC-A7D0-4A72-8EB8-5E7929D4AEEA}" type="TxLink">
            <a:rPr lang="en-GB" sz="1800" b="1" i="0" u="none" strike="noStrike" baseline="0">
              <a:solidFill>
                <a:schemeClr val="tx1">
                  <a:lumMod val="75000"/>
                  <a:lumOff val="25000"/>
                </a:schemeClr>
              </a:solidFill>
              <a:latin typeface="Calibri"/>
            </a:rPr>
            <a:pPr algn="ctr" rtl="0">
              <a:defRPr sz="1000"/>
            </a:pPr>
            <a:t>Macros must be enabled</a:t>
          </a:fld>
          <a:endParaRPr lang="en-GB" sz="1800" b="1" i="0" u="none" strike="noStrike" baseline="0">
            <a:solidFill>
              <a:schemeClr val="tx1">
                <a:lumMod val="75000"/>
                <a:lumOff val="25000"/>
              </a:schemeClr>
            </a:solidFill>
            <a:latin typeface="Calibri"/>
          </a:endParaRPr>
        </a:p>
      </xdr:txBody>
    </xdr:sp>
    <xdr:clientData/>
  </xdr:twoCellAnchor>
  <xdr:twoCellAnchor editAs="oneCell">
    <xdr:from>
      <xdr:col>0</xdr:col>
      <xdr:colOff>0</xdr:colOff>
      <xdr:row>0</xdr:row>
      <xdr:rowOff>0</xdr:rowOff>
    </xdr:from>
    <xdr:to>
      <xdr:col>5</xdr:col>
      <xdr:colOff>9355</xdr:colOff>
      <xdr:row>1</xdr:row>
      <xdr:rowOff>1085</xdr:rowOff>
    </xdr:to>
    <xdr:pic>
      <xdr:nvPicPr>
        <xdr:cNvPr id="8" name="imgIDB_ES" descr="BID_T_Header_Espa+¦ol.png" hidden="1"/>
        <xdr:cNvPicPr>
          <a:picLocks noChangeAspect="1"/>
        </xdr:cNvPicPr>
      </xdr:nvPicPr>
      <xdr:blipFill>
        <a:blip xmlns:r="http://schemas.openxmlformats.org/officeDocument/2006/relationships" r:embed="rId1"/>
        <a:stretch>
          <a:fillRect/>
        </a:stretch>
      </xdr:blipFill>
      <xdr:spPr>
        <a:xfrm>
          <a:off x="0" y="0"/>
          <a:ext cx="9181930" cy="601160"/>
        </a:xfrm>
        <a:prstGeom prst="rect">
          <a:avLst/>
        </a:prstGeom>
      </xdr:spPr>
    </xdr:pic>
    <xdr:clientData/>
  </xdr:twoCellAnchor>
  <xdr:twoCellAnchor editAs="oneCell">
    <xdr:from>
      <xdr:col>0</xdr:col>
      <xdr:colOff>0</xdr:colOff>
      <xdr:row>0</xdr:row>
      <xdr:rowOff>0</xdr:rowOff>
    </xdr:from>
    <xdr:to>
      <xdr:col>5</xdr:col>
      <xdr:colOff>9187</xdr:colOff>
      <xdr:row>1</xdr:row>
      <xdr:rowOff>3153</xdr:rowOff>
    </xdr:to>
    <xdr:pic>
      <xdr:nvPicPr>
        <xdr:cNvPr id="9" name="imgIDB_EN" descr="BID_T_Header_Ingl+¬s.png"/>
        <xdr:cNvPicPr>
          <a:picLocks noChangeAspect="1"/>
        </xdr:cNvPicPr>
      </xdr:nvPicPr>
      <xdr:blipFill>
        <a:blip xmlns:r="http://schemas.openxmlformats.org/officeDocument/2006/relationships" r:embed="rId2"/>
        <a:stretch>
          <a:fillRect/>
        </a:stretch>
      </xdr:blipFill>
      <xdr:spPr>
        <a:xfrm>
          <a:off x="0" y="0"/>
          <a:ext cx="9181762" cy="603228"/>
        </a:xfrm>
        <a:prstGeom prst="rect">
          <a:avLst/>
        </a:prstGeom>
      </xdr:spPr>
    </xdr:pic>
    <xdr:clientData/>
  </xdr:twoCellAnchor>
  <xdr:twoCellAnchor editAs="oneCell">
    <xdr:from>
      <xdr:col>1</xdr:col>
      <xdr:colOff>0</xdr:colOff>
      <xdr:row>26</xdr:row>
      <xdr:rowOff>0</xdr:rowOff>
    </xdr:from>
    <xdr:to>
      <xdr:col>1</xdr:col>
      <xdr:colOff>1530985</xdr:colOff>
      <xdr:row>28</xdr:row>
      <xdr:rowOff>142240</xdr:rowOff>
    </xdr:to>
    <xdr:pic>
      <xdr:nvPicPr>
        <xdr:cNvPr id="10" name="Picture 9" descr="http://myidb.iadb.org/publications/resources/img/by-nc-nd.png"/>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8650" y="9458325"/>
          <a:ext cx="1530985" cy="54229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38100</xdr:colOff>
          <xdr:row>1</xdr:row>
          <xdr:rowOff>19050</xdr:rowOff>
        </xdr:from>
        <xdr:to>
          <xdr:col>3</xdr:col>
          <xdr:colOff>742950</xdr:colOff>
          <xdr:row>1</xdr:row>
          <xdr:rowOff>180975</xdr:rowOff>
        </xdr:to>
        <xdr:sp macro="" textlink="">
          <xdr:nvSpPr>
            <xdr:cNvPr id="2050" name="Drop Down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0</xdr:colOff>
      <xdr:row>39</xdr:row>
      <xdr:rowOff>0</xdr:rowOff>
    </xdr:from>
    <xdr:to>
      <xdr:col>11</xdr:col>
      <xdr:colOff>133350</xdr:colOff>
      <xdr:row>71</xdr:row>
      <xdr:rowOff>95250</xdr:rowOff>
    </xdr:to>
    <xdr:graphicFrame macro="">
      <xdr:nvGraphicFramePr>
        <xdr:cNvPr id="450714"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142876</xdr:colOff>
      <xdr:row>7</xdr:row>
      <xdr:rowOff>28575</xdr:rowOff>
    </xdr:from>
    <xdr:to>
      <xdr:col>7</xdr:col>
      <xdr:colOff>85726</xdr:colOff>
      <xdr:row>35</xdr:row>
      <xdr:rowOff>57150</xdr:rowOff>
    </xdr:to>
    <xdr:graphicFrame macro="">
      <xdr:nvGraphicFramePr>
        <xdr:cNvPr id="1714012" name="chtBar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1</xdr:rowOff>
    </xdr:from>
    <xdr:to>
      <xdr:col>10</xdr:col>
      <xdr:colOff>0</xdr:colOff>
      <xdr:row>34</xdr:row>
      <xdr:rowOff>0</xdr:rowOff>
    </xdr:to>
    <xdr:sp macro="" textlink="tblText!$A$32">
      <xdr:nvSpPr>
        <xdr:cNvPr id="16" name="alertSelectAnIndi" hidden="1"/>
        <xdr:cNvSpPr txBox="1"/>
      </xdr:nvSpPr>
      <xdr:spPr>
        <a:xfrm>
          <a:off x="333375" y="1114426"/>
          <a:ext cx="10410825" cy="5791200"/>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fld id="{EA97F4B2-59E9-478B-A9E6-767EB1D9AAD2}" type="TxLink">
            <a:rPr lang="en-US" sz="3200" b="0" i="0" u="none" strike="noStrike">
              <a:solidFill>
                <a:srgbClr val="000000"/>
              </a:solidFill>
              <a:latin typeface="Calibri"/>
              <a:cs typeface="Calibri"/>
            </a:rPr>
            <a:pPr algn="ctr"/>
            <a:t>Select an indicator</a:t>
          </a:fld>
          <a:endParaRPr lang="en-GB" sz="3200"/>
        </a:p>
      </xdr:txBody>
    </xdr:sp>
    <xdr:clientData/>
  </xdr:twoCellAnchor>
  <xdr:twoCellAnchor>
    <xdr:from>
      <xdr:col>1</xdr:col>
      <xdr:colOff>0</xdr:colOff>
      <xdr:row>7</xdr:row>
      <xdr:rowOff>1</xdr:rowOff>
    </xdr:from>
    <xdr:to>
      <xdr:col>8</xdr:col>
      <xdr:colOff>0</xdr:colOff>
      <xdr:row>34</xdr:row>
      <xdr:rowOff>0</xdr:rowOff>
    </xdr:to>
    <xdr:sp macro="" textlink="tblText!A32">
      <xdr:nvSpPr>
        <xdr:cNvPr id="38" name="alertSelectAnIndi" hidden="1"/>
        <xdr:cNvSpPr txBox="1"/>
      </xdr:nvSpPr>
      <xdr:spPr>
        <a:xfrm>
          <a:off x="352425" y="1552576"/>
          <a:ext cx="5715000" cy="3533774"/>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fld id="{1C71E427-2A15-4774-8640-DFF741DA02B3}" type="TxLink">
            <a:rPr lang="en-US" sz="2400" b="0" i="0" u="none" strike="noStrike">
              <a:solidFill>
                <a:srgbClr val="000000"/>
              </a:solidFill>
              <a:latin typeface="Calibri"/>
              <a:cs typeface="Calibri"/>
            </a:rPr>
            <a:pPr algn="ctr"/>
            <a:t>Select an indicator</a:t>
          </a:fld>
          <a:endParaRPr lang="en-GB" sz="2400"/>
        </a:p>
      </xdr:txBody>
    </xdr:sp>
    <xdr:clientData/>
  </xdr:twoCellAnchor>
  <xdr:twoCellAnchor editAs="oneCell">
    <xdr:from>
      <xdr:col>9</xdr:col>
      <xdr:colOff>1819275</xdr:colOff>
      <xdr:row>0</xdr:row>
      <xdr:rowOff>76200</xdr:rowOff>
    </xdr:from>
    <xdr:to>
      <xdr:col>9</xdr:col>
      <xdr:colOff>2047875</xdr:colOff>
      <xdr:row>0</xdr:row>
      <xdr:rowOff>304800</xdr:rowOff>
    </xdr:to>
    <xdr:pic macro="[0]!Export_Worksheet">
      <xdr:nvPicPr>
        <xdr:cNvPr id="1714040" name="picExport" descr="Actions-document-export-icon.png"/>
        <xdr:cNvPicPr>
          <a:picLocks noChangeAspect="1"/>
        </xdr:cNvPicPr>
      </xdr:nvPicPr>
      <xdr:blipFill>
        <a:blip xmlns:r="http://schemas.openxmlformats.org/officeDocument/2006/relationships" r:embed="rId2" cstate="print"/>
        <a:srcRect/>
        <a:stretch>
          <a:fillRect/>
        </a:stretch>
      </xdr:blipFill>
      <xdr:spPr bwMode="auto">
        <a:xfrm>
          <a:off x="10153650" y="76200"/>
          <a:ext cx="228600" cy="228600"/>
        </a:xfrm>
        <a:prstGeom prst="rect">
          <a:avLst/>
        </a:prstGeom>
        <a:noFill/>
        <a:ln w="9525">
          <a:noFill/>
          <a:miter lim="800000"/>
          <a:headEnd/>
          <a:tailEnd/>
        </a:ln>
      </xdr:spPr>
    </xdr:pic>
    <xdr:clientData/>
  </xdr:twoCellAnchor>
  <xdr:twoCellAnchor editAs="oneCell">
    <xdr:from>
      <xdr:col>9</xdr:col>
      <xdr:colOff>2105025</xdr:colOff>
      <xdr:row>0</xdr:row>
      <xdr:rowOff>19050</xdr:rowOff>
    </xdr:from>
    <xdr:to>
      <xdr:col>10</xdr:col>
      <xdr:colOff>9525</xdr:colOff>
      <xdr:row>0</xdr:row>
      <xdr:rowOff>323850</xdr:rowOff>
    </xdr:to>
    <xdr:pic macro="[0]!Export_PDF">
      <xdr:nvPicPr>
        <xdr:cNvPr id="1714047" name="pdf" descr="pdficon_large.gif"/>
        <xdr:cNvPicPr>
          <a:picLocks noChangeAspect="1"/>
        </xdr:cNvPicPr>
      </xdr:nvPicPr>
      <xdr:blipFill>
        <a:blip xmlns:r="http://schemas.openxmlformats.org/officeDocument/2006/relationships" r:embed="rId3" cstate="print"/>
        <a:srcRect/>
        <a:stretch>
          <a:fillRect/>
        </a:stretch>
      </xdr:blipFill>
      <xdr:spPr bwMode="auto">
        <a:xfrm>
          <a:off x="10439400" y="19050"/>
          <a:ext cx="304800" cy="3048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0</xdr:colOff>
      <xdr:row>0</xdr:row>
      <xdr:rowOff>359781</xdr:rowOff>
    </xdr:to>
    <xdr:pic>
      <xdr:nvPicPr>
        <xdr:cNvPr id="9" name="Picture 8" descr="o.png">
          <a:hlinkClick xmlns:r="http://schemas.openxmlformats.org/officeDocument/2006/relationships" r:id="rId4"/>
        </xdr:cNvPr>
        <xdr:cNvPicPr>
          <a:picLocks noChangeAspect="1"/>
        </xdr:cNvPicPr>
      </xdr:nvPicPr>
      <xdr:blipFill>
        <a:blip xmlns:r="http://schemas.openxmlformats.org/officeDocument/2006/relationships" r:embed="rId5" cstate="print"/>
        <a:stretch>
          <a:fillRect/>
        </a:stretch>
      </xdr:blipFill>
      <xdr:spPr>
        <a:xfrm>
          <a:off x="0" y="0"/>
          <a:ext cx="333375" cy="359781"/>
        </a:xfrm>
        <a:prstGeom prst="rect">
          <a:avLst/>
        </a:prstGeom>
      </xdr:spPr>
    </xdr:pic>
    <xdr:clientData/>
  </xdr:twoCellAnchor>
  <xdr:twoCellAnchor>
    <xdr:from>
      <xdr:col>1</xdr:col>
      <xdr:colOff>0</xdr:colOff>
      <xdr:row>8</xdr:row>
      <xdr:rowOff>0</xdr:rowOff>
    </xdr:from>
    <xdr:to>
      <xdr:col>7</xdr:col>
      <xdr:colOff>0</xdr:colOff>
      <xdr:row>9</xdr:row>
      <xdr:rowOff>0</xdr:rowOff>
    </xdr:to>
    <xdr:sp macro="[0]!IndRanking_CountryClick" textlink="">
      <xdr:nvSpPr>
        <xdr:cNvPr id="35" name="clk1"/>
        <xdr:cNvSpPr/>
      </xdr:nvSpPr>
      <xdr:spPr>
        <a:xfrm>
          <a:off x="333375" y="1990725"/>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9</xdr:row>
      <xdr:rowOff>0</xdr:rowOff>
    </xdr:from>
    <xdr:to>
      <xdr:col>7</xdr:col>
      <xdr:colOff>0</xdr:colOff>
      <xdr:row>10</xdr:row>
      <xdr:rowOff>0</xdr:rowOff>
    </xdr:to>
    <xdr:sp macro="[0]!IndRanking_CountryClick" textlink="">
      <xdr:nvSpPr>
        <xdr:cNvPr id="36" name="clk2"/>
        <xdr:cNvSpPr/>
      </xdr:nvSpPr>
      <xdr:spPr>
        <a:xfrm>
          <a:off x="333375" y="2190750"/>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10</xdr:row>
      <xdr:rowOff>0</xdr:rowOff>
    </xdr:from>
    <xdr:to>
      <xdr:col>7</xdr:col>
      <xdr:colOff>0</xdr:colOff>
      <xdr:row>11</xdr:row>
      <xdr:rowOff>0</xdr:rowOff>
    </xdr:to>
    <xdr:sp macro="[0]!IndRanking_CountryClick" textlink="">
      <xdr:nvSpPr>
        <xdr:cNvPr id="37" name="clk3"/>
        <xdr:cNvSpPr/>
      </xdr:nvSpPr>
      <xdr:spPr>
        <a:xfrm>
          <a:off x="333375" y="2390775"/>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11</xdr:row>
      <xdr:rowOff>0</xdr:rowOff>
    </xdr:from>
    <xdr:to>
      <xdr:col>7</xdr:col>
      <xdr:colOff>0</xdr:colOff>
      <xdr:row>12</xdr:row>
      <xdr:rowOff>0</xdr:rowOff>
    </xdr:to>
    <xdr:sp macro="[0]!IndRanking_CountryClick" textlink="">
      <xdr:nvSpPr>
        <xdr:cNvPr id="39" name="clk4"/>
        <xdr:cNvSpPr/>
      </xdr:nvSpPr>
      <xdr:spPr>
        <a:xfrm>
          <a:off x="333375" y="2590800"/>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12</xdr:row>
      <xdr:rowOff>0</xdr:rowOff>
    </xdr:from>
    <xdr:to>
      <xdr:col>7</xdr:col>
      <xdr:colOff>0</xdr:colOff>
      <xdr:row>13</xdr:row>
      <xdr:rowOff>0</xdr:rowOff>
    </xdr:to>
    <xdr:sp macro="[0]!IndRanking_CountryClick" textlink="">
      <xdr:nvSpPr>
        <xdr:cNvPr id="40" name="clk5"/>
        <xdr:cNvSpPr/>
      </xdr:nvSpPr>
      <xdr:spPr>
        <a:xfrm>
          <a:off x="333375" y="2790825"/>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13</xdr:row>
      <xdr:rowOff>0</xdr:rowOff>
    </xdr:from>
    <xdr:to>
      <xdr:col>7</xdr:col>
      <xdr:colOff>0</xdr:colOff>
      <xdr:row>14</xdr:row>
      <xdr:rowOff>0</xdr:rowOff>
    </xdr:to>
    <xdr:sp macro="[0]!IndRanking_CountryClick" textlink="">
      <xdr:nvSpPr>
        <xdr:cNvPr id="41" name="clk6"/>
        <xdr:cNvSpPr/>
      </xdr:nvSpPr>
      <xdr:spPr>
        <a:xfrm>
          <a:off x="333375" y="2990850"/>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14</xdr:row>
      <xdr:rowOff>0</xdr:rowOff>
    </xdr:from>
    <xdr:to>
      <xdr:col>7</xdr:col>
      <xdr:colOff>0</xdr:colOff>
      <xdr:row>15</xdr:row>
      <xdr:rowOff>0</xdr:rowOff>
    </xdr:to>
    <xdr:sp macro="[0]!IndRanking_CountryClick" textlink="">
      <xdr:nvSpPr>
        <xdr:cNvPr id="42" name="clk7"/>
        <xdr:cNvSpPr/>
      </xdr:nvSpPr>
      <xdr:spPr>
        <a:xfrm>
          <a:off x="333375" y="3190875"/>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15</xdr:row>
      <xdr:rowOff>0</xdr:rowOff>
    </xdr:from>
    <xdr:to>
      <xdr:col>7</xdr:col>
      <xdr:colOff>0</xdr:colOff>
      <xdr:row>16</xdr:row>
      <xdr:rowOff>0</xdr:rowOff>
    </xdr:to>
    <xdr:sp macro="[0]!IndRanking_CountryClick" textlink="">
      <xdr:nvSpPr>
        <xdr:cNvPr id="43" name="clk8"/>
        <xdr:cNvSpPr/>
      </xdr:nvSpPr>
      <xdr:spPr>
        <a:xfrm>
          <a:off x="333375" y="3390900"/>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16</xdr:row>
      <xdr:rowOff>0</xdr:rowOff>
    </xdr:from>
    <xdr:to>
      <xdr:col>7</xdr:col>
      <xdr:colOff>0</xdr:colOff>
      <xdr:row>17</xdr:row>
      <xdr:rowOff>0</xdr:rowOff>
    </xdr:to>
    <xdr:sp macro="[0]!IndRanking_CountryClick" textlink="">
      <xdr:nvSpPr>
        <xdr:cNvPr id="44" name="clk9"/>
        <xdr:cNvSpPr/>
      </xdr:nvSpPr>
      <xdr:spPr>
        <a:xfrm>
          <a:off x="333375" y="3590925"/>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17</xdr:row>
      <xdr:rowOff>0</xdr:rowOff>
    </xdr:from>
    <xdr:to>
      <xdr:col>7</xdr:col>
      <xdr:colOff>0</xdr:colOff>
      <xdr:row>18</xdr:row>
      <xdr:rowOff>0</xdr:rowOff>
    </xdr:to>
    <xdr:sp macro="[0]!IndRanking_CountryClick" textlink="">
      <xdr:nvSpPr>
        <xdr:cNvPr id="45" name="clk10"/>
        <xdr:cNvSpPr/>
      </xdr:nvSpPr>
      <xdr:spPr>
        <a:xfrm>
          <a:off x="333375" y="3790950"/>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18</xdr:row>
      <xdr:rowOff>0</xdr:rowOff>
    </xdr:from>
    <xdr:to>
      <xdr:col>7</xdr:col>
      <xdr:colOff>0</xdr:colOff>
      <xdr:row>19</xdr:row>
      <xdr:rowOff>0</xdr:rowOff>
    </xdr:to>
    <xdr:sp macro="[0]!IndRanking_CountryClick" textlink="">
      <xdr:nvSpPr>
        <xdr:cNvPr id="46" name="clk11"/>
        <xdr:cNvSpPr/>
      </xdr:nvSpPr>
      <xdr:spPr>
        <a:xfrm>
          <a:off x="333375" y="3990975"/>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19</xdr:row>
      <xdr:rowOff>0</xdr:rowOff>
    </xdr:from>
    <xdr:to>
      <xdr:col>7</xdr:col>
      <xdr:colOff>0</xdr:colOff>
      <xdr:row>20</xdr:row>
      <xdr:rowOff>0</xdr:rowOff>
    </xdr:to>
    <xdr:sp macro="[0]!IndRanking_CountryClick" textlink="">
      <xdr:nvSpPr>
        <xdr:cNvPr id="47" name="clk12"/>
        <xdr:cNvSpPr/>
      </xdr:nvSpPr>
      <xdr:spPr>
        <a:xfrm>
          <a:off x="333375" y="4191000"/>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20</xdr:row>
      <xdr:rowOff>0</xdr:rowOff>
    </xdr:from>
    <xdr:to>
      <xdr:col>7</xdr:col>
      <xdr:colOff>0</xdr:colOff>
      <xdr:row>21</xdr:row>
      <xdr:rowOff>0</xdr:rowOff>
    </xdr:to>
    <xdr:sp macro="[0]!IndRanking_CountryClick" textlink="">
      <xdr:nvSpPr>
        <xdr:cNvPr id="48" name="clk13"/>
        <xdr:cNvSpPr/>
      </xdr:nvSpPr>
      <xdr:spPr>
        <a:xfrm>
          <a:off x="333375" y="4391025"/>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21</xdr:row>
      <xdr:rowOff>0</xdr:rowOff>
    </xdr:from>
    <xdr:to>
      <xdr:col>7</xdr:col>
      <xdr:colOff>0</xdr:colOff>
      <xdr:row>22</xdr:row>
      <xdr:rowOff>0</xdr:rowOff>
    </xdr:to>
    <xdr:sp macro="[0]!IndRanking_CountryClick" textlink="">
      <xdr:nvSpPr>
        <xdr:cNvPr id="49" name="clk14"/>
        <xdr:cNvSpPr/>
      </xdr:nvSpPr>
      <xdr:spPr>
        <a:xfrm>
          <a:off x="333375" y="4591050"/>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22</xdr:row>
      <xdr:rowOff>0</xdr:rowOff>
    </xdr:from>
    <xdr:to>
      <xdr:col>7</xdr:col>
      <xdr:colOff>0</xdr:colOff>
      <xdr:row>23</xdr:row>
      <xdr:rowOff>0</xdr:rowOff>
    </xdr:to>
    <xdr:sp macro="[0]!IndRanking_CountryClick" textlink="">
      <xdr:nvSpPr>
        <xdr:cNvPr id="50" name="clk15"/>
        <xdr:cNvSpPr/>
      </xdr:nvSpPr>
      <xdr:spPr>
        <a:xfrm>
          <a:off x="333375" y="4791075"/>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23</xdr:row>
      <xdr:rowOff>0</xdr:rowOff>
    </xdr:from>
    <xdr:to>
      <xdr:col>7</xdr:col>
      <xdr:colOff>0</xdr:colOff>
      <xdr:row>24</xdr:row>
      <xdr:rowOff>0</xdr:rowOff>
    </xdr:to>
    <xdr:sp macro="[0]!IndRanking_CountryClick" textlink="">
      <xdr:nvSpPr>
        <xdr:cNvPr id="51" name="clk16"/>
        <xdr:cNvSpPr/>
      </xdr:nvSpPr>
      <xdr:spPr>
        <a:xfrm>
          <a:off x="333375" y="4991100"/>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24</xdr:row>
      <xdr:rowOff>0</xdr:rowOff>
    </xdr:from>
    <xdr:to>
      <xdr:col>7</xdr:col>
      <xdr:colOff>0</xdr:colOff>
      <xdr:row>25</xdr:row>
      <xdr:rowOff>0</xdr:rowOff>
    </xdr:to>
    <xdr:sp macro="[0]!IndRanking_CountryClick" textlink="">
      <xdr:nvSpPr>
        <xdr:cNvPr id="52" name="clk17"/>
        <xdr:cNvSpPr/>
      </xdr:nvSpPr>
      <xdr:spPr>
        <a:xfrm>
          <a:off x="333375" y="5191125"/>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25</xdr:row>
      <xdr:rowOff>0</xdr:rowOff>
    </xdr:from>
    <xdr:to>
      <xdr:col>7</xdr:col>
      <xdr:colOff>0</xdr:colOff>
      <xdr:row>26</xdr:row>
      <xdr:rowOff>0</xdr:rowOff>
    </xdr:to>
    <xdr:sp macro="[0]!IndRanking_CountryClick" textlink="">
      <xdr:nvSpPr>
        <xdr:cNvPr id="53" name="clk18"/>
        <xdr:cNvSpPr/>
      </xdr:nvSpPr>
      <xdr:spPr>
        <a:xfrm>
          <a:off x="333375" y="5391150"/>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26</xdr:row>
      <xdr:rowOff>0</xdr:rowOff>
    </xdr:from>
    <xdr:to>
      <xdr:col>7</xdr:col>
      <xdr:colOff>0</xdr:colOff>
      <xdr:row>27</xdr:row>
      <xdr:rowOff>0</xdr:rowOff>
    </xdr:to>
    <xdr:sp macro="[0]!IndRanking_CountryClick" textlink="">
      <xdr:nvSpPr>
        <xdr:cNvPr id="54" name="clk19"/>
        <xdr:cNvSpPr/>
      </xdr:nvSpPr>
      <xdr:spPr>
        <a:xfrm>
          <a:off x="333375" y="5591175"/>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27</xdr:row>
      <xdr:rowOff>0</xdr:rowOff>
    </xdr:from>
    <xdr:to>
      <xdr:col>7</xdr:col>
      <xdr:colOff>0</xdr:colOff>
      <xdr:row>28</xdr:row>
      <xdr:rowOff>0</xdr:rowOff>
    </xdr:to>
    <xdr:sp macro="[0]!IndRanking_CountryClick" textlink="">
      <xdr:nvSpPr>
        <xdr:cNvPr id="55" name="clk20"/>
        <xdr:cNvSpPr/>
      </xdr:nvSpPr>
      <xdr:spPr>
        <a:xfrm>
          <a:off x="333375" y="5791200"/>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28</xdr:row>
      <xdr:rowOff>0</xdr:rowOff>
    </xdr:from>
    <xdr:to>
      <xdr:col>7</xdr:col>
      <xdr:colOff>0</xdr:colOff>
      <xdr:row>29</xdr:row>
      <xdr:rowOff>0</xdr:rowOff>
    </xdr:to>
    <xdr:sp macro="[0]!IndRanking_CountryClick" textlink="">
      <xdr:nvSpPr>
        <xdr:cNvPr id="56" name="clk22"/>
        <xdr:cNvSpPr/>
      </xdr:nvSpPr>
      <xdr:spPr>
        <a:xfrm>
          <a:off x="333375" y="5991225"/>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29</xdr:row>
      <xdr:rowOff>0</xdr:rowOff>
    </xdr:from>
    <xdr:to>
      <xdr:col>7</xdr:col>
      <xdr:colOff>0</xdr:colOff>
      <xdr:row>30</xdr:row>
      <xdr:rowOff>0</xdr:rowOff>
    </xdr:to>
    <xdr:sp macro="[0]!IndRanking_CountryClick" textlink="">
      <xdr:nvSpPr>
        <xdr:cNvPr id="57" name="clk22"/>
        <xdr:cNvSpPr/>
      </xdr:nvSpPr>
      <xdr:spPr>
        <a:xfrm>
          <a:off x="333375" y="6191250"/>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30</xdr:row>
      <xdr:rowOff>0</xdr:rowOff>
    </xdr:from>
    <xdr:to>
      <xdr:col>7</xdr:col>
      <xdr:colOff>0</xdr:colOff>
      <xdr:row>31</xdr:row>
      <xdr:rowOff>0</xdr:rowOff>
    </xdr:to>
    <xdr:sp macro="[0]!IndRanking_CountryClick" textlink="">
      <xdr:nvSpPr>
        <xdr:cNvPr id="58" name="clk23"/>
        <xdr:cNvSpPr/>
      </xdr:nvSpPr>
      <xdr:spPr>
        <a:xfrm>
          <a:off x="333375" y="6391275"/>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31</xdr:row>
      <xdr:rowOff>0</xdr:rowOff>
    </xdr:from>
    <xdr:to>
      <xdr:col>7</xdr:col>
      <xdr:colOff>0</xdr:colOff>
      <xdr:row>32</xdr:row>
      <xdr:rowOff>0</xdr:rowOff>
    </xdr:to>
    <xdr:sp macro="[0]!IndRanking_CountryClick" textlink="">
      <xdr:nvSpPr>
        <xdr:cNvPr id="59" name="clk24"/>
        <xdr:cNvSpPr/>
      </xdr:nvSpPr>
      <xdr:spPr>
        <a:xfrm>
          <a:off x="333375" y="6591300"/>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32</xdr:row>
      <xdr:rowOff>0</xdr:rowOff>
    </xdr:from>
    <xdr:to>
      <xdr:col>7</xdr:col>
      <xdr:colOff>0</xdr:colOff>
      <xdr:row>33</xdr:row>
      <xdr:rowOff>0</xdr:rowOff>
    </xdr:to>
    <xdr:sp macro="[0]!IndRanking_CountryClick" textlink="">
      <xdr:nvSpPr>
        <xdr:cNvPr id="60" name="clk25"/>
        <xdr:cNvSpPr/>
      </xdr:nvSpPr>
      <xdr:spPr>
        <a:xfrm>
          <a:off x="333375" y="6791325"/>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0</xdr:colOff>
      <xdr:row>33</xdr:row>
      <xdr:rowOff>0</xdr:rowOff>
    </xdr:from>
    <xdr:to>
      <xdr:col>7</xdr:col>
      <xdr:colOff>0</xdr:colOff>
      <xdr:row>34</xdr:row>
      <xdr:rowOff>0</xdr:rowOff>
    </xdr:to>
    <xdr:sp macro="[0]!IndRanking_CountryClick" textlink="">
      <xdr:nvSpPr>
        <xdr:cNvPr id="61" name="clk26"/>
        <xdr:cNvSpPr/>
      </xdr:nvSpPr>
      <xdr:spPr>
        <a:xfrm>
          <a:off x="333375" y="6991350"/>
          <a:ext cx="49149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mc:AlternateContent xmlns:mc="http://schemas.openxmlformats.org/markup-compatibility/2006">
    <mc:Choice xmlns:a14="http://schemas.microsoft.com/office/drawing/2010/main" Requires="a14">
      <xdr:twoCellAnchor editAs="oneCell">
        <xdr:from>
          <xdr:col>4</xdr:col>
          <xdr:colOff>923925</xdr:colOff>
          <xdr:row>1</xdr:row>
          <xdr:rowOff>28575</xdr:rowOff>
        </xdr:from>
        <xdr:to>
          <xdr:col>7</xdr:col>
          <xdr:colOff>276225</xdr:colOff>
          <xdr:row>1</xdr:row>
          <xdr:rowOff>200025</xdr:rowOff>
        </xdr:to>
        <xdr:sp macro="" textlink="">
          <xdr:nvSpPr>
            <xdr:cNvPr id="423937" name="Drop Down 1" hidden="1">
              <a:extLst>
                <a:ext uri="{63B3BB69-23CF-44E3-9099-C40C66FF867C}">
                  <a14:compatExt spid="_x0000_s4239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962025</xdr:colOff>
          <xdr:row>1</xdr:row>
          <xdr:rowOff>38100</xdr:rowOff>
        </xdr:from>
        <xdr:to>
          <xdr:col>8</xdr:col>
          <xdr:colOff>2057400</xdr:colOff>
          <xdr:row>1</xdr:row>
          <xdr:rowOff>200025</xdr:rowOff>
        </xdr:to>
        <xdr:sp macro="" textlink="">
          <xdr:nvSpPr>
            <xdr:cNvPr id="423938" name="Drop Down 2" hidden="1">
              <a:extLst>
                <a:ext uri="{63B3BB69-23CF-44E3-9099-C40C66FF867C}">
                  <a14:compatExt spid="_x0000_s4239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876300</xdr:colOff>
          <xdr:row>1</xdr:row>
          <xdr:rowOff>28575</xdr:rowOff>
        </xdr:from>
        <xdr:to>
          <xdr:col>10</xdr:col>
          <xdr:colOff>0</xdr:colOff>
          <xdr:row>1</xdr:row>
          <xdr:rowOff>190500</xdr:rowOff>
        </xdr:to>
        <xdr:sp macro="" textlink="">
          <xdr:nvSpPr>
            <xdr:cNvPr id="423940" name="Drop Down 4" hidden="1">
              <a:extLst>
                <a:ext uri="{63B3BB69-23CF-44E3-9099-C40C66FF867C}">
                  <a14:compatExt spid="_x0000_s423940"/>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22</xdr:col>
      <xdr:colOff>571500</xdr:colOff>
      <xdr:row>0</xdr:row>
      <xdr:rowOff>57150</xdr:rowOff>
    </xdr:from>
    <xdr:to>
      <xdr:col>22</xdr:col>
      <xdr:colOff>800100</xdr:colOff>
      <xdr:row>0</xdr:row>
      <xdr:rowOff>285750</xdr:rowOff>
    </xdr:to>
    <xdr:pic macro="[0]!Export_Worksheet">
      <xdr:nvPicPr>
        <xdr:cNvPr id="384277" name="picExport" descr="Actions-document-export-icon.png"/>
        <xdr:cNvPicPr>
          <a:picLocks noChangeAspect="1"/>
        </xdr:cNvPicPr>
      </xdr:nvPicPr>
      <xdr:blipFill>
        <a:blip xmlns:r="http://schemas.openxmlformats.org/officeDocument/2006/relationships" r:embed="rId1" cstate="print"/>
        <a:srcRect/>
        <a:stretch>
          <a:fillRect/>
        </a:stretch>
      </xdr:blipFill>
      <xdr:spPr bwMode="auto">
        <a:xfrm>
          <a:off x="10258425" y="57150"/>
          <a:ext cx="228600" cy="228600"/>
        </a:xfrm>
        <a:prstGeom prst="rect">
          <a:avLst/>
        </a:prstGeom>
        <a:noFill/>
        <a:ln w="9525">
          <a:noFill/>
          <a:miter lim="800000"/>
          <a:headEnd/>
          <a:tailEnd/>
        </a:ln>
      </xdr:spPr>
    </xdr:pic>
    <xdr:clientData/>
  </xdr:twoCellAnchor>
  <xdr:twoCellAnchor editAs="oneCell">
    <xdr:from>
      <xdr:col>22</xdr:col>
      <xdr:colOff>866775</xdr:colOff>
      <xdr:row>0</xdr:row>
      <xdr:rowOff>19050</xdr:rowOff>
    </xdr:from>
    <xdr:to>
      <xdr:col>24</xdr:col>
      <xdr:colOff>209550</xdr:colOff>
      <xdr:row>0</xdr:row>
      <xdr:rowOff>323850</xdr:rowOff>
    </xdr:to>
    <xdr:pic macro="[0]!Export_PDF">
      <xdr:nvPicPr>
        <xdr:cNvPr id="384278" name="pdf" descr="pdficon_large.gif"/>
        <xdr:cNvPicPr>
          <a:picLocks noChangeAspect="1"/>
        </xdr:cNvPicPr>
      </xdr:nvPicPr>
      <xdr:blipFill>
        <a:blip xmlns:r="http://schemas.openxmlformats.org/officeDocument/2006/relationships" r:embed="rId2" cstate="print"/>
        <a:srcRect/>
        <a:stretch>
          <a:fillRect/>
        </a:stretch>
      </xdr:blipFill>
      <xdr:spPr bwMode="auto">
        <a:xfrm>
          <a:off x="10553700" y="19050"/>
          <a:ext cx="304800" cy="3048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0</xdr:colOff>
      <xdr:row>0</xdr:row>
      <xdr:rowOff>359781</xdr:rowOff>
    </xdr:to>
    <xdr:pic>
      <xdr:nvPicPr>
        <xdr:cNvPr id="5" name="Picture 4" descr="o.png">
          <a:hlinkClick xmlns:r="http://schemas.openxmlformats.org/officeDocument/2006/relationships" r:id="rId3"/>
        </xdr:cNvPr>
        <xdr:cNvPicPr>
          <a:picLocks noChangeAspect="1"/>
        </xdr:cNvPicPr>
      </xdr:nvPicPr>
      <xdr:blipFill>
        <a:blip xmlns:r="http://schemas.openxmlformats.org/officeDocument/2006/relationships" r:embed="rId4" cstate="print"/>
        <a:stretch>
          <a:fillRect/>
        </a:stretch>
      </xdr:blipFill>
      <xdr:spPr>
        <a:xfrm>
          <a:off x="0" y="0"/>
          <a:ext cx="333375" cy="35978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28575</xdr:colOff>
          <xdr:row>1</xdr:row>
          <xdr:rowOff>38100</xdr:rowOff>
        </xdr:from>
        <xdr:to>
          <xdr:col>16</xdr:col>
          <xdr:colOff>219075</xdr:colOff>
          <xdr:row>1</xdr:row>
          <xdr:rowOff>200025</xdr:rowOff>
        </xdr:to>
        <xdr:sp macro="" textlink="">
          <xdr:nvSpPr>
            <xdr:cNvPr id="384003" name="Drop Down 3" hidden="1">
              <a:extLst>
                <a:ext uri="{63B3BB69-23CF-44E3-9099-C40C66FF867C}">
                  <a14:compatExt spid="_x0000_s3840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666750</xdr:colOff>
          <xdr:row>1</xdr:row>
          <xdr:rowOff>38100</xdr:rowOff>
        </xdr:from>
        <xdr:to>
          <xdr:col>9</xdr:col>
          <xdr:colOff>381000</xdr:colOff>
          <xdr:row>1</xdr:row>
          <xdr:rowOff>200025</xdr:rowOff>
        </xdr:to>
        <xdr:sp macro="" textlink="">
          <xdr:nvSpPr>
            <xdr:cNvPr id="384006" name="Drop Down 6" hidden="1">
              <a:extLst>
                <a:ext uri="{63B3BB69-23CF-44E3-9099-C40C66FF867C}">
                  <a14:compatExt spid="_x0000_s3840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485775</xdr:colOff>
          <xdr:row>1</xdr:row>
          <xdr:rowOff>28575</xdr:rowOff>
        </xdr:from>
        <xdr:to>
          <xdr:col>22</xdr:col>
          <xdr:colOff>533400</xdr:colOff>
          <xdr:row>1</xdr:row>
          <xdr:rowOff>190500</xdr:rowOff>
        </xdr:to>
        <xdr:sp macro="" textlink="">
          <xdr:nvSpPr>
            <xdr:cNvPr id="384007" name="Drop Down 7" hidden="1">
              <a:extLst>
                <a:ext uri="{63B3BB69-23CF-44E3-9099-C40C66FF867C}">
                  <a14:compatExt spid="_x0000_s384007"/>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9</xdr:col>
      <xdr:colOff>0</xdr:colOff>
      <xdr:row>34</xdr:row>
      <xdr:rowOff>66675</xdr:rowOff>
    </xdr:from>
    <xdr:to>
      <xdr:col>11</xdr:col>
      <xdr:colOff>0</xdr:colOff>
      <xdr:row>45</xdr:row>
      <xdr:rowOff>0</xdr:rowOff>
    </xdr:to>
    <xdr:graphicFrame macro="">
      <xdr:nvGraphicFramePr>
        <xdr:cNvPr id="1884185"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21</xdr:row>
      <xdr:rowOff>0</xdr:rowOff>
    </xdr:from>
    <xdr:to>
      <xdr:col>11</xdr:col>
      <xdr:colOff>0</xdr:colOff>
      <xdr:row>32</xdr:row>
      <xdr:rowOff>0</xdr:rowOff>
    </xdr:to>
    <xdr:graphicFrame macro="">
      <xdr:nvGraphicFramePr>
        <xdr:cNvPr id="1884186"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2809875</xdr:colOff>
      <xdr:row>0</xdr:row>
      <xdr:rowOff>76200</xdr:rowOff>
    </xdr:from>
    <xdr:to>
      <xdr:col>10</xdr:col>
      <xdr:colOff>3038475</xdr:colOff>
      <xdr:row>0</xdr:row>
      <xdr:rowOff>304800</xdr:rowOff>
    </xdr:to>
    <xdr:pic macro="[0]!Export_Worksheet">
      <xdr:nvPicPr>
        <xdr:cNvPr id="1884188" name="picExport" descr="Actions-document-export-icon.png"/>
        <xdr:cNvPicPr>
          <a:picLocks noChangeAspect="1"/>
        </xdr:cNvPicPr>
      </xdr:nvPicPr>
      <xdr:blipFill>
        <a:blip xmlns:r="http://schemas.openxmlformats.org/officeDocument/2006/relationships" r:embed="rId3" cstate="print"/>
        <a:srcRect/>
        <a:stretch>
          <a:fillRect/>
        </a:stretch>
      </xdr:blipFill>
      <xdr:spPr bwMode="auto">
        <a:xfrm>
          <a:off x="9477375" y="76200"/>
          <a:ext cx="228600" cy="228600"/>
        </a:xfrm>
        <a:prstGeom prst="rect">
          <a:avLst/>
        </a:prstGeom>
        <a:noFill/>
        <a:ln w="9525">
          <a:noFill/>
          <a:miter lim="800000"/>
          <a:headEnd/>
          <a:tailEnd/>
        </a:ln>
      </xdr:spPr>
    </xdr:pic>
    <xdr:clientData/>
  </xdr:twoCellAnchor>
  <xdr:twoCellAnchor editAs="oneCell">
    <xdr:from>
      <xdr:col>10</xdr:col>
      <xdr:colOff>3095625</xdr:colOff>
      <xdr:row>0</xdr:row>
      <xdr:rowOff>28575</xdr:rowOff>
    </xdr:from>
    <xdr:to>
      <xdr:col>10</xdr:col>
      <xdr:colOff>3400425</xdr:colOff>
      <xdr:row>0</xdr:row>
      <xdr:rowOff>333375</xdr:rowOff>
    </xdr:to>
    <xdr:pic macro="[0]!Export_PDF">
      <xdr:nvPicPr>
        <xdr:cNvPr id="1884189" name="pdf" descr="pdficon_large.gif"/>
        <xdr:cNvPicPr>
          <a:picLocks noChangeAspect="1"/>
        </xdr:cNvPicPr>
      </xdr:nvPicPr>
      <xdr:blipFill>
        <a:blip xmlns:r="http://schemas.openxmlformats.org/officeDocument/2006/relationships" r:embed="rId4" cstate="print"/>
        <a:srcRect/>
        <a:stretch>
          <a:fillRect/>
        </a:stretch>
      </xdr:blipFill>
      <xdr:spPr bwMode="auto">
        <a:xfrm>
          <a:off x="9763125" y="28575"/>
          <a:ext cx="304800" cy="3048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9525</xdr:colOff>
      <xdr:row>0</xdr:row>
      <xdr:rowOff>359781</xdr:rowOff>
    </xdr:to>
    <xdr:pic>
      <xdr:nvPicPr>
        <xdr:cNvPr id="8" name="Picture 7" descr="o.png">
          <a:hlinkClick xmlns:r="http://schemas.openxmlformats.org/officeDocument/2006/relationships" r:id="rId5"/>
        </xdr:cNvPr>
        <xdr:cNvPicPr>
          <a:picLocks noChangeAspect="1"/>
        </xdr:cNvPicPr>
      </xdr:nvPicPr>
      <xdr:blipFill>
        <a:blip xmlns:r="http://schemas.openxmlformats.org/officeDocument/2006/relationships" r:embed="rId6" cstate="print"/>
        <a:stretch>
          <a:fillRect/>
        </a:stretch>
      </xdr:blipFill>
      <xdr:spPr>
        <a:xfrm>
          <a:off x="0" y="0"/>
          <a:ext cx="333375" cy="359781"/>
        </a:xfrm>
        <a:prstGeom prst="rect">
          <a:avLst/>
        </a:prstGeom>
      </xdr:spPr>
    </xdr:pic>
    <xdr:clientData/>
  </xdr:twoCellAnchor>
  <xdr:twoCellAnchor>
    <xdr:from>
      <xdr:col>9</xdr:col>
      <xdr:colOff>0</xdr:colOff>
      <xdr:row>6</xdr:row>
      <xdr:rowOff>0</xdr:rowOff>
    </xdr:from>
    <xdr:to>
      <xdr:col>11</xdr:col>
      <xdr:colOff>0</xdr:colOff>
      <xdr:row>19</xdr:row>
      <xdr:rowOff>1</xdr:rowOff>
    </xdr:to>
    <xdr:graphicFrame macro="">
      <xdr:nvGraphicFramePr>
        <xdr:cNvPr id="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276225</xdr:colOff>
          <xdr:row>1</xdr:row>
          <xdr:rowOff>28575</xdr:rowOff>
        </xdr:from>
        <xdr:to>
          <xdr:col>4</xdr:col>
          <xdr:colOff>171450</xdr:colOff>
          <xdr:row>1</xdr:row>
          <xdr:rowOff>190500</xdr:rowOff>
        </xdr:to>
        <xdr:sp macro="" textlink="">
          <xdr:nvSpPr>
            <xdr:cNvPr id="429057" name="Drop Down 1" hidden="1">
              <a:extLst>
                <a:ext uri="{63B3BB69-23CF-44E3-9099-C40C66FF867C}">
                  <a14:compatExt spid="_x0000_s429057"/>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10</xdr:col>
      <xdr:colOff>2219325</xdr:colOff>
      <xdr:row>0</xdr:row>
      <xdr:rowOff>66675</xdr:rowOff>
    </xdr:from>
    <xdr:to>
      <xdr:col>10</xdr:col>
      <xdr:colOff>2447925</xdr:colOff>
      <xdr:row>0</xdr:row>
      <xdr:rowOff>295275</xdr:rowOff>
    </xdr:to>
    <xdr:pic macro="[0]!Export_Worksheet">
      <xdr:nvPicPr>
        <xdr:cNvPr id="11534" name="picExport" descr="Actions-document-export-icon.png"/>
        <xdr:cNvPicPr>
          <a:picLocks noChangeAspect="1"/>
        </xdr:cNvPicPr>
      </xdr:nvPicPr>
      <xdr:blipFill>
        <a:blip xmlns:r="http://schemas.openxmlformats.org/officeDocument/2006/relationships" r:embed="rId1" cstate="print"/>
        <a:srcRect/>
        <a:stretch>
          <a:fillRect/>
        </a:stretch>
      </xdr:blipFill>
      <xdr:spPr bwMode="auto">
        <a:xfrm>
          <a:off x="12001500" y="66675"/>
          <a:ext cx="228600" cy="228600"/>
        </a:xfrm>
        <a:prstGeom prst="rect">
          <a:avLst/>
        </a:prstGeom>
        <a:noFill/>
        <a:ln w="9525">
          <a:noFill/>
          <a:miter lim="800000"/>
          <a:headEnd/>
          <a:tailEnd/>
        </a:ln>
      </xdr:spPr>
    </xdr:pic>
    <xdr:clientData/>
  </xdr:twoCellAnchor>
  <xdr:twoCellAnchor editAs="oneCell">
    <xdr:from>
      <xdr:col>10</xdr:col>
      <xdr:colOff>2524125</xdr:colOff>
      <xdr:row>0</xdr:row>
      <xdr:rowOff>19050</xdr:rowOff>
    </xdr:from>
    <xdr:to>
      <xdr:col>10</xdr:col>
      <xdr:colOff>2828925</xdr:colOff>
      <xdr:row>0</xdr:row>
      <xdr:rowOff>323850</xdr:rowOff>
    </xdr:to>
    <xdr:pic macro="[0]!Export_PDF">
      <xdr:nvPicPr>
        <xdr:cNvPr id="11535" name="pdf" descr="pdficon_large.gif"/>
        <xdr:cNvPicPr>
          <a:picLocks noChangeAspect="1"/>
        </xdr:cNvPicPr>
      </xdr:nvPicPr>
      <xdr:blipFill>
        <a:blip xmlns:r="http://schemas.openxmlformats.org/officeDocument/2006/relationships" r:embed="rId2" cstate="print"/>
        <a:srcRect/>
        <a:stretch>
          <a:fillRect/>
        </a:stretch>
      </xdr:blipFill>
      <xdr:spPr bwMode="auto">
        <a:xfrm>
          <a:off x="12306300" y="19050"/>
          <a:ext cx="304800" cy="3048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4</xdr:col>
      <xdr:colOff>247650</xdr:colOff>
      <xdr:row>0</xdr:row>
      <xdr:rowOff>359781</xdr:rowOff>
    </xdr:to>
    <xdr:pic>
      <xdr:nvPicPr>
        <xdr:cNvPr id="5" name="Picture 4" descr="o.png">
          <a:hlinkClick xmlns:r="http://schemas.openxmlformats.org/officeDocument/2006/relationships" r:id="rId3"/>
        </xdr:cNvPr>
        <xdr:cNvPicPr>
          <a:picLocks noChangeAspect="1"/>
        </xdr:cNvPicPr>
      </xdr:nvPicPr>
      <xdr:blipFill>
        <a:blip xmlns:r="http://schemas.openxmlformats.org/officeDocument/2006/relationships" r:embed="rId4" cstate="print"/>
        <a:stretch>
          <a:fillRect/>
        </a:stretch>
      </xdr:blipFill>
      <xdr:spPr>
        <a:xfrm>
          <a:off x="0" y="0"/>
          <a:ext cx="333375" cy="35978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857250</xdr:colOff>
          <xdr:row>1</xdr:row>
          <xdr:rowOff>28575</xdr:rowOff>
        </xdr:from>
        <xdr:to>
          <xdr:col>4</xdr:col>
          <xdr:colOff>2247900</xdr:colOff>
          <xdr:row>1</xdr:row>
          <xdr:rowOff>190500</xdr:rowOff>
        </xdr:to>
        <xdr:sp macro="" textlink="">
          <xdr:nvSpPr>
            <xdr:cNvPr id="11265" name="Drop Down 1" hidden="1">
              <a:extLst>
                <a:ext uri="{63B3BB69-23CF-44E3-9099-C40C66FF867C}">
                  <a14:compatExt spid="_x0000_s11265"/>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0</xdr:colOff>
      <xdr:row>5</xdr:row>
      <xdr:rowOff>47625</xdr:rowOff>
    </xdr:from>
    <xdr:to>
      <xdr:col>7</xdr:col>
      <xdr:colOff>133349</xdr:colOff>
      <xdr:row>34</xdr:row>
      <xdr:rowOff>66675</xdr:rowOff>
    </xdr:to>
    <xdr:graphicFrame macro="">
      <xdr:nvGraphicFramePr>
        <xdr:cNvPr id="422466" name="chtScatte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xdr:row>
      <xdr:rowOff>114300</xdr:rowOff>
    </xdr:from>
    <xdr:to>
      <xdr:col>7</xdr:col>
      <xdr:colOff>9526</xdr:colOff>
      <xdr:row>35</xdr:row>
      <xdr:rowOff>161925</xdr:rowOff>
    </xdr:to>
    <xdr:sp macro="" textlink="tblText!$A$32">
      <xdr:nvSpPr>
        <xdr:cNvPr id="421973" name="alertSelectAnIndi" hidden="1"/>
        <xdr:cNvSpPr txBox="1">
          <a:spLocks noChangeArrowheads="1"/>
        </xdr:cNvSpPr>
      </xdr:nvSpPr>
      <xdr:spPr bwMode="auto">
        <a:xfrm>
          <a:off x="3867150" y="676275"/>
          <a:ext cx="7124701" cy="6343650"/>
        </a:xfrm>
        <a:prstGeom prst="rect">
          <a:avLst/>
        </a:prstGeom>
        <a:solidFill>
          <a:srgbClr val="FFFFFF"/>
        </a:solidFill>
        <a:ln w="9525">
          <a:solidFill>
            <a:srgbClr val="7F7F7F"/>
          </a:solidFill>
          <a:miter lim="800000"/>
          <a:headEnd/>
          <a:tailEnd/>
        </a:ln>
      </xdr:spPr>
      <xdr:txBody>
        <a:bodyPr vertOverflow="clip" wrap="square" lIns="64008" tIns="64008" rIns="64008" bIns="64008" anchor="ctr" upright="1"/>
        <a:lstStyle/>
        <a:p>
          <a:pPr algn="ctr" rtl="0">
            <a:defRPr sz="1000"/>
          </a:pPr>
          <a:fld id="{98B34131-C932-49AE-A482-5B654B3BF459}" type="TxLink">
            <a:rPr lang="en-GB" sz="3200" b="0" i="0" u="none" strike="noStrike" baseline="0">
              <a:solidFill>
                <a:srgbClr val="000000"/>
              </a:solidFill>
              <a:latin typeface="Calibri"/>
            </a:rPr>
            <a:pPr algn="ctr" rtl="0">
              <a:defRPr sz="1000"/>
            </a:pPr>
            <a:t>Select an indicator</a:t>
          </a:fld>
          <a:endParaRPr lang="en-GB" sz="3200" b="0" i="0" u="none" strike="noStrike" baseline="0">
            <a:solidFill>
              <a:srgbClr val="000000"/>
            </a:solidFill>
            <a:latin typeface="Calibri"/>
          </a:endParaRPr>
        </a:p>
      </xdr:txBody>
    </xdr:sp>
    <xdr:clientData/>
  </xdr:twoCellAnchor>
  <xdr:twoCellAnchor editAs="oneCell">
    <xdr:from>
      <xdr:col>9</xdr:col>
      <xdr:colOff>9525</xdr:colOff>
      <xdr:row>0</xdr:row>
      <xdr:rowOff>47625</xdr:rowOff>
    </xdr:from>
    <xdr:to>
      <xdr:col>9</xdr:col>
      <xdr:colOff>238125</xdr:colOff>
      <xdr:row>0</xdr:row>
      <xdr:rowOff>276225</xdr:rowOff>
    </xdr:to>
    <xdr:pic macro="[0]!Export_Worksheet">
      <xdr:nvPicPr>
        <xdr:cNvPr id="422469" name="picExport" descr="Actions-document-export-icon.png"/>
        <xdr:cNvPicPr>
          <a:picLocks noChangeAspect="1"/>
        </xdr:cNvPicPr>
      </xdr:nvPicPr>
      <xdr:blipFill>
        <a:blip xmlns:r="http://schemas.openxmlformats.org/officeDocument/2006/relationships" r:embed="rId2" cstate="print"/>
        <a:srcRect/>
        <a:stretch>
          <a:fillRect/>
        </a:stretch>
      </xdr:blipFill>
      <xdr:spPr bwMode="auto">
        <a:xfrm>
          <a:off x="9448800" y="47625"/>
          <a:ext cx="228600" cy="228600"/>
        </a:xfrm>
        <a:prstGeom prst="rect">
          <a:avLst/>
        </a:prstGeom>
        <a:noFill/>
        <a:ln w="9525">
          <a:noFill/>
          <a:miter lim="800000"/>
          <a:headEnd/>
          <a:tailEnd/>
        </a:ln>
      </xdr:spPr>
    </xdr:pic>
    <xdr:clientData/>
  </xdr:twoCellAnchor>
  <xdr:twoCellAnchor editAs="oneCell">
    <xdr:from>
      <xdr:col>9</xdr:col>
      <xdr:colOff>314325</xdr:colOff>
      <xdr:row>0</xdr:row>
      <xdr:rowOff>0</xdr:rowOff>
    </xdr:from>
    <xdr:to>
      <xdr:col>9</xdr:col>
      <xdr:colOff>619125</xdr:colOff>
      <xdr:row>0</xdr:row>
      <xdr:rowOff>304800</xdr:rowOff>
    </xdr:to>
    <xdr:pic macro="[0]!Export_PDF">
      <xdr:nvPicPr>
        <xdr:cNvPr id="422470" name="pdf" descr="pdficon_large.gif"/>
        <xdr:cNvPicPr>
          <a:picLocks noChangeAspect="1"/>
        </xdr:cNvPicPr>
      </xdr:nvPicPr>
      <xdr:blipFill>
        <a:blip xmlns:r="http://schemas.openxmlformats.org/officeDocument/2006/relationships" r:embed="rId3" cstate="print"/>
        <a:srcRect/>
        <a:stretch>
          <a:fillRect/>
        </a:stretch>
      </xdr:blipFill>
      <xdr:spPr bwMode="auto">
        <a:xfrm>
          <a:off x="9753600" y="0"/>
          <a:ext cx="304800" cy="304800"/>
        </a:xfrm>
        <a:prstGeom prst="rect">
          <a:avLst/>
        </a:prstGeom>
        <a:noFill/>
        <a:ln w="9525">
          <a:noFill/>
          <a:miter lim="800000"/>
          <a:headEnd/>
          <a:tailEnd/>
        </a:ln>
      </xdr:spPr>
    </xdr:pic>
    <xdr:clientData/>
  </xdr:twoCellAnchor>
  <xdr:twoCellAnchor editAs="oneCell">
    <xdr:from>
      <xdr:col>5</xdr:col>
      <xdr:colOff>2809875</xdr:colOff>
      <xdr:row>0</xdr:row>
      <xdr:rowOff>76200</xdr:rowOff>
    </xdr:from>
    <xdr:to>
      <xdr:col>5</xdr:col>
      <xdr:colOff>0</xdr:colOff>
      <xdr:row>0</xdr:row>
      <xdr:rowOff>304800</xdr:rowOff>
    </xdr:to>
    <xdr:pic macro="[0]!Export_Worksheet">
      <xdr:nvPicPr>
        <xdr:cNvPr id="11" name="picExport" descr="Actions-document-export-icon.png"/>
        <xdr:cNvPicPr>
          <a:picLocks noChangeAspect="1"/>
        </xdr:cNvPicPr>
      </xdr:nvPicPr>
      <xdr:blipFill>
        <a:blip xmlns:r="http://schemas.openxmlformats.org/officeDocument/2006/relationships" r:embed="rId2" cstate="print"/>
        <a:srcRect/>
        <a:stretch>
          <a:fillRect/>
        </a:stretch>
      </xdr:blipFill>
      <xdr:spPr bwMode="auto">
        <a:xfrm>
          <a:off x="9477375" y="76200"/>
          <a:ext cx="228600" cy="228600"/>
        </a:xfrm>
        <a:prstGeom prst="rect">
          <a:avLst/>
        </a:prstGeom>
        <a:noFill/>
        <a:ln w="9525">
          <a:noFill/>
          <a:miter lim="800000"/>
          <a:headEnd/>
          <a:tailEnd/>
        </a:ln>
      </xdr:spPr>
    </xdr:pic>
    <xdr:clientData/>
  </xdr:twoCellAnchor>
  <xdr:twoCellAnchor editAs="oneCell">
    <xdr:from>
      <xdr:col>5</xdr:col>
      <xdr:colOff>3095625</xdr:colOff>
      <xdr:row>0</xdr:row>
      <xdr:rowOff>28575</xdr:rowOff>
    </xdr:from>
    <xdr:to>
      <xdr:col>5</xdr:col>
      <xdr:colOff>0</xdr:colOff>
      <xdr:row>0</xdr:row>
      <xdr:rowOff>333375</xdr:rowOff>
    </xdr:to>
    <xdr:pic macro="[0]!Export_PDF">
      <xdr:nvPicPr>
        <xdr:cNvPr id="12" name="Picture 29" descr="pdficon_large.gif"/>
        <xdr:cNvPicPr>
          <a:picLocks noChangeAspect="1"/>
        </xdr:cNvPicPr>
      </xdr:nvPicPr>
      <xdr:blipFill>
        <a:blip xmlns:r="http://schemas.openxmlformats.org/officeDocument/2006/relationships" r:embed="rId3" cstate="print"/>
        <a:srcRect/>
        <a:stretch>
          <a:fillRect/>
        </a:stretch>
      </xdr:blipFill>
      <xdr:spPr bwMode="auto">
        <a:xfrm>
          <a:off x="9763125" y="28575"/>
          <a:ext cx="304800" cy="3048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9525</xdr:colOff>
      <xdr:row>0</xdr:row>
      <xdr:rowOff>359781</xdr:rowOff>
    </xdr:to>
    <xdr:pic>
      <xdr:nvPicPr>
        <xdr:cNvPr id="13" name="Picture 12" descr="o.png">
          <a:hlinkClick xmlns:r="http://schemas.openxmlformats.org/officeDocument/2006/relationships" r:id="rId4"/>
        </xdr:cNvPr>
        <xdr:cNvPicPr>
          <a:picLocks noChangeAspect="1"/>
        </xdr:cNvPicPr>
      </xdr:nvPicPr>
      <xdr:blipFill>
        <a:blip xmlns:r="http://schemas.openxmlformats.org/officeDocument/2006/relationships" r:embed="rId5" cstate="print"/>
        <a:stretch>
          <a:fillRect/>
        </a:stretch>
      </xdr:blipFill>
      <xdr:spPr>
        <a:xfrm>
          <a:off x="0" y="0"/>
          <a:ext cx="333375" cy="359781"/>
        </a:xfrm>
        <a:prstGeom prst="rect">
          <a:avLst/>
        </a:prstGeom>
      </xdr:spPr>
    </xdr:pic>
    <xdr:clientData/>
  </xdr:twoCellAnchor>
  <xdr:twoCellAnchor editAs="oneCell">
    <xdr:from>
      <xdr:col>0</xdr:col>
      <xdr:colOff>0</xdr:colOff>
      <xdr:row>0</xdr:row>
      <xdr:rowOff>0</xdr:rowOff>
    </xdr:from>
    <xdr:to>
      <xdr:col>1</xdr:col>
      <xdr:colOff>0</xdr:colOff>
      <xdr:row>0</xdr:row>
      <xdr:rowOff>359781</xdr:rowOff>
    </xdr:to>
    <xdr:pic>
      <xdr:nvPicPr>
        <xdr:cNvPr id="14" name="Picture 13" descr="o.png">
          <a:hlinkClick xmlns:r="http://schemas.openxmlformats.org/officeDocument/2006/relationships" r:id="rId4"/>
        </xdr:cNvPr>
        <xdr:cNvPicPr>
          <a:picLocks noChangeAspect="1"/>
        </xdr:cNvPicPr>
      </xdr:nvPicPr>
      <xdr:blipFill>
        <a:blip xmlns:r="http://schemas.openxmlformats.org/officeDocument/2006/relationships" r:embed="rId5" cstate="print"/>
        <a:stretch>
          <a:fillRect/>
        </a:stretch>
      </xdr:blipFill>
      <xdr:spPr>
        <a:xfrm>
          <a:off x="0" y="0"/>
          <a:ext cx="333375" cy="35978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590550</xdr:colOff>
          <xdr:row>1</xdr:row>
          <xdr:rowOff>38100</xdr:rowOff>
        </xdr:from>
        <xdr:to>
          <xdr:col>9</xdr:col>
          <xdr:colOff>590550</xdr:colOff>
          <xdr:row>1</xdr:row>
          <xdr:rowOff>200025</xdr:rowOff>
        </xdr:to>
        <xdr:sp macro="" textlink="">
          <xdr:nvSpPr>
            <xdr:cNvPr id="421889" name="Drop Down 1" hidden="1">
              <a:extLst>
                <a:ext uri="{63B3BB69-23CF-44E3-9099-C40C66FF867C}">
                  <a14:compatExt spid="_x0000_s4218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xdr:row>
          <xdr:rowOff>28575</xdr:rowOff>
        </xdr:from>
        <xdr:to>
          <xdr:col>11</xdr:col>
          <xdr:colOff>0</xdr:colOff>
          <xdr:row>1</xdr:row>
          <xdr:rowOff>190500</xdr:rowOff>
        </xdr:to>
        <xdr:sp macro="" textlink="">
          <xdr:nvSpPr>
            <xdr:cNvPr id="421893" name="Drop Down 5" hidden="1">
              <a:extLst>
                <a:ext uri="{63B3BB69-23CF-44E3-9099-C40C66FF867C}">
                  <a14:compatExt spid="_x0000_s4218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xdr:row>
          <xdr:rowOff>28575</xdr:rowOff>
        </xdr:from>
        <xdr:to>
          <xdr:col>2</xdr:col>
          <xdr:colOff>2190750</xdr:colOff>
          <xdr:row>1</xdr:row>
          <xdr:rowOff>200025</xdr:rowOff>
        </xdr:to>
        <xdr:sp macro="" textlink="">
          <xdr:nvSpPr>
            <xdr:cNvPr id="421895" name="Drop Down 7" hidden="1">
              <a:extLst>
                <a:ext uri="{63B3BB69-23CF-44E3-9099-C40C66FF867C}">
                  <a14:compatExt spid="_x0000_s4218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xdr:row>
          <xdr:rowOff>38100</xdr:rowOff>
        </xdr:from>
        <xdr:to>
          <xdr:col>6</xdr:col>
          <xdr:colOff>133350</xdr:colOff>
          <xdr:row>1</xdr:row>
          <xdr:rowOff>209550</xdr:rowOff>
        </xdr:to>
        <xdr:sp macro="" textlink="">
          <xdr:nvSpPr>
            <xdr:cNvPr id="421896" name="Drop Down 8" hidden="1">
              <a:extLst>
                <a:ext uri="{63B3BB69-23CF-44E3-9099-C40C66FF867C}">
                  <a14:compatExt spid="_x0000_s421896"/>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247650</xdr:colOff>
      <xdr:row>0</xdr:row>
      <xdr:rowOff>359781</xdr:rowOff>
    </xdr:to>
    <xdr:pic>
      <xdr:nvPicPr>
        <xdr:cNvPr id="4" name="Picture 3" descr="o.png">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0" y="0"/>
          <a:ext cx="333375" cy="3597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logisticsportal.iadb.org/" TargetMode="External"/><Relationship Id="rId1" Type="http://schemas.openxmlformats.org/officeDocument/2006/relationships/hyperlink" Target="mailto:freight-logistics@iadb.org" TargetMode="External"/><Relationship Id="rId6" Type="http://schemas.openxmlformats.org/officeDocument/2006/relationships/ctrlProp" Target="../ctrlProps/ctrlProp3.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5.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7.bin"/><Relationship Id="rId4" Type="http://schemas.openxmlformats.org/officeDocument/2006/relationships/ctrlProp" Target="../ctrlProps/ctrlProp10.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8.bin"/><Relationship Id="rId4" Type="http://schemas.openxmlformats.org/officeDocument/2006/relationships/ctrlProp" Target="../ctrlProps/ctrlProp1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15.xml"/><Relationship Id="rId2" Type="http://schemas.openxmlformats.org/officeDocument/2006/relationships/drawing" Target="../drawings/drawing8.xml"/><Relationship Id="rId1" Type="http://schemas.openxmlformats.org/officeDocument/2006/relationships/printerSettings" Target="../printerSettings/printerSettings20.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S13"/>
  <sheetViews>
    <sheetView showGridLines="0" showRowColHeaders="0" workbookViewId="0">
      <pane ySplit="1" topLeftCell="A2" activePane="bottomLeft" state="frozen"/>
      <selection pane="bottomLeft"/>
    </sheetView>
  </sheetViews>
  <sheetFormatPr defaultColWidth="9.140625" defaultRowHeight="11.25" x14ac:dyDescent="0.2"/>
  <cols>
    <col min="1" max="1" width="5.5703125" style="1" bestFit="1" customWidth="1"/>
    <col min="2" max="2" width="6.42578125" style="1" customWidth="1"/>
    <col min="3" max="3" width="14.140625" style="1" customWidth="1"/>
    <col min="4" max="4" width="16.85546875" style="1" customWidth="1"/>
    <col min="5" max="5" width="23.7109375" style="1" customWidth="1"/>
    <col min="6" max="9" width="9.140625" style="1"/>
    <col min="10" max="10" width="11.42578125" style="1" bestFit="1" customWidth="1"/>
    <col min="11" max="16384" width="9.140625" style="1"/>
  </cols>
  <sheetData>
    <row r="1" spans="1:19" x14ac:dyDescent="0.2">
      <c r="A1" s="1" t="s">
        <v>416</v>
      </c>
      <c r="B1" s="1" t="s">
        <v>441</v>
      </c>
      <c r="C1" s="1" t="s">
        <v>413</v>
      </c>
      <c r="D1" s="1" t="s">
        <v>415</v>
      </c>
      <c r="E1" s="1" t="s">
        <v>414</v>
      </c>
      <c r="J1" s="1" t="s">
        <v>413</v>
      </c>
      <c r="K1" s="1" t="s">
        <v>415</v>
      </c>
      <c r="L1" s="1" t="s">
        <v>414</v>
      </c>
      <c r="M1" s="1" t="s">
        <v>434</v>
      </c>
      <c r="P1" s="1" t="s">
        <v>413</v>
      </c>
      <c r="Q1" s="1" t="s">
        <v>415</v>
      </c>
      <c r="R1" s="1" t="s">
        <v>414</v>
      </c>
    </row>
    <row r="2" spans="1:19" x14ac:dyDescent="0.2">
      <c r="A2" s="1">
        <v>0</v>
      </c>
      <c r="B2" s="1">
        <v>0</v>
      </c>
      <c r="C2" s="6" t="str">
        <f>CHOOSE(uxbWorks!$B$7,J2,P2)</f>
        <v>uxbContents</v>
      </c>
      <c r="D2" s="6" t="str">
        <f>CHOOSE(uxbWorks!$B$7,K2,R2)</f>
        <v>n/a</v>
      </c>
      <c r="E2" s="6" t="str">
        <f>CHOOSE(uxbWorks!$B$7,L2,S2)</f>
        <v>n/a</v>
      </c>
      <c r="J2" s="1" t="s">
        <v>444</v>
      </c>
      <c r="K2" s="1" t="s">
        <v>433</v>
      </c>
      <c r="L2" s="1" t="s">
        <v>433</v>
      </c>
      <c r="M2" s="1" t="s">
        <v>446</v>
      </c>
      <c r="P2" s="6" t="str">
        <f>J2</f>
        <v>uxbContents</v>
      </c>
    </row>
    <row r="3" spans="1:19" x14ac:dyDescent="0.2">
      <c r="A3" s="1">
        <v>0</v>
      </c>
      <c r="B3" s="1">
        <v>0</v>
      </c>
      <c r="C3" s="6" t="str">
        <f>CHOOSE(uxbWorks!$B$7,J3,P3)</f>
        <v>uxbWorks</v>
      </c>
      <c r="D3" s="6" t="str">
        <f>CHOOSE(uxbWorks!$B$7,K3,R3)</f>
        <v>n/a</v>
      </c>
      <c r="E3" s="6" t="str">
        <f>CHOOSE(uxbWorks!$B$7,L3,S3)</f>
        <v>n/a</v>
      </c>
      <c r="F3" s="6"/>
      <c r="J3" s="1" t="s">
        <v>417</v>
      </c>
      <c r="K3" s="1" t="s">
        <v>433</v>
      </c>
      <c r="L3" s="1" t="s">
        <v>433</v>
      </c>
      <c r="M3" s="1" t="s">
        <v>447</v>
      </c>
      <c r="P3" s="6" t="str">
        <f t="shared" ref="P3:P13" si="0">J3</f>
        <v>uxbWorks</v>
      </c>
    </row>
    <row r="4" spans="1:19" x14ac:dyDescent="0.2">
      <c r="A4" s="1">
        <v>0</v>
      </c>
      <c r="B4" s="1">
        <v>0</v>
      </c>
      <c r="C4" s="6" t="str">
        <f>CHOOSE(uxbWorks!$B$7,J4,P4)</f>
        <v>tblText</v>
      </c>
      <c r="D4" s="6" t="str">
        <f>CHOOSE(uxbWorks!$B$7,K4,R4)</f>
        <v>n/a</v>
      </c>
      <c r="E4" s="6" t="str">
        <f>CHOOSE(uxbWorks!$B$7,L4,S4)</f>
        <v>n/a</v>
      </c>
      <c r="F4" s="6"/>
      <c r="J4" s="1" t="s">
        <v>456</v>
      </c>
      <c r="K4" s="1" t="s">
        <v>433</v>
      </c>
      <c r="L4" s="1" t="s">
        <v>433</v>
      </c>
      <c r="M4" s="1" t="s">
        <v>445</v>
      </c>
      <c r="P4" s="6" t="str">
        <f t="shared" si="0"/>
        <v>tblText</v>
      </c>
    </row>
    <row r="5" spans="1:19" x14ac:dyDescent="0.2">
      <c r="A5" s="1">
        <v>0</v>
      </c>
      <c r="B5" s="1">
        <v>0</v>
      </c>
      <c r="C5" s="6" t="str">
        <f>CHOOSE(uxbWorks!$B$7,J5,P5)</f>
        <v>tblCountries</v>
      </c>
      <c r="D5" s="6" t="str">
        <f>CHOOSE(uxbWorks!$B$7,K5,R5)</f>
        <v>n/a</v>
      </c>
      <c r="E5" s="6" t="str">
        <f>CHOOSE(uxbWorks!$B$7,L5,S5)</f>
        <v>n/a</v>
      </c>
      <c r="F5" s="6"/>
      <c r="J5" s="1" t="s">
        <v>457</v>
      </c>
      <c r="K5" s="1" t="s">
        <v>433</v>
      </c>
      <c r="L5" s="1" t="s">
        <v>433</v>
      </c>
      <c r="M5" s="1" t="s">
        <v>458</v>
      </c>
      <c r="P5" s="6" t="str">
        <f t="shared" si="0"/>
        <v>tblCountries</v>
      </c>
    </row>
    <row r="6" spans="1:19" x14ac:dyDescent="0.2">
      <c r="A6" s="1">
        <v>0</v>
      </c>
      <c r="B6" s="1">
        <v>0</v>
      </c>
      <c r="C6" s="6" t="str">
        <f>CHOOSE(uxbWorks!$B$7,J6,P6)</f>
        <v>tblIndi</v>
      </c>
      <c r="D6" s="6"/>
      <c r="E6" s="6"/>
      <c r="F6" s="6"/>
      <c r="J6" s="1" t="s">
        <v>473</v>
      </c>
      <c r="K6" s="1" t="s">
        <v>433</v>
      </c>
      <c r="L6" s="1" t="s">
        <v>433</v>
      </c>
      <c r="M6" s="1" t="s">
        <v>474</v>
      </c>
      <c r="P6" s="6" t="s">
        <v>473</v>
      </c>
    </row>
    <row r="7" spans="1:19" x14ac:dyDescent="0.2">
      <c r="A7" s="1">
        <v>0</v>
      </c>
      <c r="B7" s="1">
        <v>0</v>
      </c>
      <c r="C7" s="6" t="str">
        <f>CHOOSE(uxbWorks!$B$7,J7,P7)</f>
        <v>tblIndi_EN</v>
      </c>
      <c r="D7" s="6" t="str">
        <f>CHOOSE(uxbWorks!$B$7,K7,R7)</f>
        <v>n/a</v>
      </c>
      <c r="E7" s="6" t="str">
        <f>CHOOSE(uxbWorks!$B$7,L7,S7)</f>
        <v>n/a</v>
      </c>
      <c r="F7" s="6"/>
      <c r="J7" s="1" t="s">
        <v>418</v>
      </c>
      <c r="K7" s="1" t="s">
        <v>433</v>
      </c>
      <c r="L7" s="1" t="s">
        <v>433</v>
      </c>
      <c r="M7" s="1" t="s">
        <v>448</v>
      </c>
      <c r="P7" s="6" t="str">
        <f t="shared" si="0"/>
        <v>tblIndi_EN</v>
      </c>
    </row>
    <row r="8" spans="1:19" x14ac:dyDescent="0.2">
      <c r="A8" s="1">
        <v>0</v>
      </c>
      <c r="B8" s="1">
        <v>0</v>
      </c>
      <c r="C8" s="6" t="str">
        <f>CHOOSE(uxbWorks!$B$7,J8,P8)</f>
        <v>tblIndi_ES</v>
      </c>
      <c r="D8" s="6" t="str">
        <f>CHOOSE(uxbWorks!$B$7,K8,R8)</f>
        <v>n/a</v>
      </c>
      <c r="E8" s="6" t="str">
        <f>CHOOSE(uxbWorks!$B$7,L8,S8)</f>
        <v>n/a</v>
      </c>
      <c r="F8" s="6"/>
      <c r="J8" s="1" t="s">
        <v>443</v>
      </c>
      <c r="K8" s="1" t="s">
        <v>433</v>
      </c>
      <c r="L8" s="1" t="s">
        <v>433</v>
      </c>
      <c r="M8" s="1" t="s">
        <v>449</v>
      </c>
      <c r="P8" s="6" t="str">
        <f t="shared" si="0"/>
        <v>tblIndi_ES</v>
      </c>
    </row>
    <row r="9" spans="1:19" x14ac:dyDescent="0.2">
      <c r="A9" s="1">
        <v>0</v>
      </c>
      <c r="B9" s="1">
        <v>0</v>
      </c>
      <c r="C9" s="6" t="str">
        <f>CHOOSE(uxbWorks!$B$7,J9,P9)</f>
        <v>tblLookups</v>
      </c>
      <c r="D9" s="6" t="str">
        <f>CHOOSE(uxbWorks!$B$7,K9,R9)</f>
        <v>n/a</v>
      </c>
      <c r="E9" s="6" t="str">
        <f>CHOOSE(uxbWorks!$B$7,L9,S9)</f>
        <v>n/a</v>
      </c>
      <c r="F9" s="6"/>
      <c r="J9" s="1" t="s">
        <v>442</v>
      </c>
      <c r="K9" s="1" t="s">
        <v>433</v>
      </c>
      <c r="L9" s="1" t="s">
        <v>433</v>
      </c>
      <c r="M9" s="1" t="s">
        <v>450</v>
      </c>
      <c r="P9" s="6" t="str">
        <f t="shared" si="0"/>
        <v>tblLookups</v>
      </c>
    </row>
    <row r="10" spans="1:19" x14ac:dyDescent="0.2">
      <c r="A10" s="1">
        <v>1</v>
      </c>
      <c r="B10" s="1">
        <v>0</v>
      </c>
      <c r="C10" s="6" t="str">
        <f>CHOOSE(uxbWorks!$B$7,J10,P10)</f>
        <v>Home</v>
      </c>
      <c r="D10" s="6" t="str">
        <f>CHOOSE(uxbWorks!$B$7,K10,R10)</f>
        <v>n/a</v>
      </c>
      <c r="E10" s="6" t="str">
        <f>CHOOSE(uxbWorks!$B$7,L10,S10)</f>
        <v>n/a</v>
      </c>
      <c r="F10" s="6"/>
      <c r="J10" s="1" t="s">
        <v>435</v>
      </c>
      <c r="K10" s="1" t="s">
        <v>433</v>
      </c>
      <c r="L10" s="1" t="s">
        <v>433</v>
      </c>
      <c r="P10" s="6" t="str">
        <f t="shared" si="0"/>
        <v>Home</v>
      </c>
    </row>
    <row r="11" spans="1:19" x14ac:dyDescent="0.2">
      <c r="A11" s="1">
        <v>1</v>
      </c>
      <c r="B11" s="1">
        <v>0</v>
      </c>
      <c r="C11" s="6" t="str">
        <f>CHOOSE(uxbWorks!$B$7,J11,P11)</f>
        <v>Contents</v>
      </c>
      <c r="D11" s="6" t="str">
        <f>CHOOSE(uxbWorks!$B$7,K11,R11)</f>
        <v>n/a</v>
      </c>
      <c r="E11" s="6" t="str">
        <f>CHOOSE(uxbWorks!$B$7,L11,S11)</f>
        <v>n/a</v>
      </c>
      <c r="F11" s="6"/>
      <c r="J11" s="1" t="s">
        <v>439</v>
      </c>
      <c r="K11" s="1" t="s">
        <v>433</v>
      </c>
      <c r="L11" s="1" t="s">
        <v>433</v>
      </c>
      <c r="P11" s="6" t="str">
        <f t="shared" si="0"/>
        <v>Contents</v>
      </c>
      <c r="Q11" s="1" t="s">
        <v>436</v>
      </c>
      <c r="R11" s="1" t="s">
        <v>437</v>
      </c>
      <c r="S11" s="1" t="s">
        <v>438</v>
      </c>
    </row>
    <row r="12" spans="1:19" x14ac:dyDescent="0.2">
      <c r="A12" s="1">
        <v>0</v>
      </c>
      <c r="B12" s="1">
        <v>0</v>
      </c>
      <c r="C12" s="6" t="str">
        <f>CHOOSE(uxbWorks!$B$7,J12,P12)</f>
        <v>iMapRank</v>
      </c>
      <c r="D12" s="6" t="str">
        <f>CHOOSE(uxbWorks!$B$7,K12,R12)</f>
        <v>n/a</v>
      </c>
      <c r="E12" s="6" t="str">
        <f>CHOOSE(uxbWorks!$B$7,L12,S12)</f>
        <v>n/a</v>
      </c>
      <c r="F12" s="6"/>
      <c r="J12" s="1" t="s">
        <v>162</v>
      </c>
      <c r="K12" s="1" t="s">
        <v>433</v>
      </c>
      <c r="L12" s="1" t="s">
        <v>433</v>
      </c>
      <c r="M12" s="1" t="s">
        <v>163</v>
      </c>
      <c r="P12" s="6" t="str">
        <f t="shared" si="0"/>
        <v>iMapRank</v>
      </c>
    </row>
    <row r="13" spans="1:19" x14ac:dyDescent="0.2">
      <c r="A13" s="1">
        <v>1</v>
      </c>
      <c r="B13" s="1">
        <v>1</v>
      </c>
      <c r="C13" s="6" t="str">
        <f>CHOOSE(uxbWorks!$B$7,J13,P13)</f>
        <v>Map</v>
      </c>
      <c r="D13" s="6" t="str">
        <f>CHOOSE(uxbWorks!$B$7,K13,R13)</f>
        <v>Map</v>
      </c>
      <c r="E13" s="6" t="str">
        <f>CHOOSE(uxbWorks!$B$7,L13,S13)</f>
        <v>View indicator data on a map.</v>
      </c>
      <c r="F13" s="6"/>
      <c r="J13" s="1" t="s">
        <v>436</v>
      </c>
      <c r="K13" s="1" t="s">
        <v>436</v>
      </c>
      <c r="L13" s="1" t="s">
        <v>440</v>
      </c>
      <c r="P13" s="6" t="str">
        <f t="shared" si="0"/>
        <v>Map</v>
      </c>
    </row>
  </sheetData>
  <phoneticPr fontId="12" type="noConversion"/>
  <pageMargins left="0.7" right="0.7" top="0.75" bottom="0.75" header="0.3" footer="0.3"/>
  <pageSetup orientation="portrait" r:id="rId1"/>
  <headerFooter>
    <oddHeader>&amp;LAnuario de Transporte de Carga y Logística 2014, BID</oddHeader>
    <oddFooter>&amp;LObservatorio Regional de Transporte de Carga y Logistica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Locker">
                <anchor moveWithCells="1" sizeWithCells="1">
                  <from>
                    <xdr:col>2</xdr:col>
                    <xdr:colOff>657225</xdr:colOff>
                    <xdr:row>19</xdr:row>
                    <xdr:rowOff>76200</xdr:rowOff>
                  </from>
                  <to>
                    <xdr:col>3</xdr:col>
                    <xdr:colOff>676275</xdr:colOff>
                    <xdr:row>21</xdr:row>
                    <xdr:rowOff>57150</xdr:rowOff>
                  </to>
                </anchor>
              </controlPr>
            </control>
          </mc:Choice>
        </mc:AlternateContent>
        <mc:AlternateContent xmlns:mc="http://schemas.openxmlformats.org/markup-compatibility/2006">
          <mc:Choice Requires="x14">
            <control shapeId="6146" r:id="rId5" name="Button 2">
              <controlPr defaultSize="0" print="0" autoFill="0" autoPict="0" macro="[0]!UnLocker">
                <anchor moveWithCells="1" sizeWithCells="1">
                  <from>
                    <xdr:col>3</xdr:col>
                    <xdr:colOff>657225</xdr:colOff>
                    <xdr:row>23</xdr:row>
                    <xdr:rowOff>76200</xdr:rowOff>
                  </from>
                  <to>
                    <xdr:col>4</xdr:col>
                    <xdr:colOff>533400</xdr:colOff>
                    <xdr:row>25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E30"/>
  <sheetViews>
    <sheetView showGridLines="0" showRowColHeaders="0" tabSelected="1" workbookViewId="0">
      <selection activeCell="A2" sqref="A2"/>
    </sheetView>
  </sheetViews>
  <sheetFormatPr defaultColWidth="9.140625" defaultRowHeight="15" x14ac:dyDescent="0.25"/>
  <cols>
    <col min="1" max="1" width="9.42578125" customWidth="1"/>
    <col min="2" max="2" width="65" customWidth="1"/>
    <col min="3" max="3" width="12.140625" customWidth="1"/>
    <col min="4" max="4" width="47.140625" customWidth="1"/>
    <col min="5" max="5" width="3.85546875" customWidth="1"/>
  </cols>
  <sheetData>
    <row r="1" spans="1:5" ht="47.25" customHeight="1" x14ac:dyDescent="0.3"/>
    <row r="2" spans="1:5" s="9" customFormat="1" ht="21.75" customHeight="1" x14ac:dyDescent="0.3">
      <c r="A2" s="93"/>
      <c r="B2" s="96" t="str">
        <f>UPPER("Select language / Seleccione el idioma")</f>
        <v>SELECT LANGUAGE / SELECCIONE EL IDIOMA</v>
      </c>
      <c r="C2" s="94"/>
      <c r="D2" s="94"/>
      <c r="E2" s="94"/>
    </row>
    <row r="3" spans="1:5" s="9" customFormat="1" ht="12" customHeight="1" x14ac:dyDescent="0.3">
      <c r="A3" s="116"/>
      <c r="B3" s="116"/>
      <c r="C3" s="116"/>
      <c r="D3" s="116"/>
      <c r="E3" s="116"/>
    </row>
    <row r="4" spans="1:5" ht="14.45" x14ac:dyDescent="0.3">
      <c r="A4" s="116"/>
      <c r="B4" s="116"/>
      <c r="C4" s="116"/>
      <c r="D4" s="116"/>
      <c r="E4" s="116"/>
    </row>
    <row r="5" spans="1:5" ht="14.45" x14ac:dyDescent="0.3">
      <c r="A5" s="116"/>
      <c r="B5" s="116"/>
      <c r="C5" s="116"/>
      <c r="D5" s="116"/>
      <c r="E5" s="116"/>
    </row>
    <row r="6" spans="1:5" ht="14.45" x14ac:dyDescent="0.3">
      <c r="A6" s="116"/>
      <c r="B6" s="116"/>
      <c r="C6" s="116"/>
      <c r="D6" s="116"/>
      <c r="E6" s="116"/>
    </row>
    <row r="7" spans="1:5" ht="14.45" x14ac:dyDescent="0.3">
      <c r="A7" s="116"/>
      <c r="B7" s="116"/>
      <c r="C7" s="116"/>
      <c r="D7" s="116"/>
      <c r="E7" s="116"/>
    </row>
    <row r="8" spans="1:5" ht="14.45" x14ac:dyDescent="0.3">
      <c r="A8" s="117"/>
      <c r="B8" s="120"/>
      <c r="C8" s="120"/>
      <c r="D8" s="129"/>
      <c r="E8" s="120"/>
    </row>
    <row r="9" spans="1:5" ht="23.25" x14ac:dyDescent="0.35">
      <c r="A9" s="118"/>
      <c r="B9" s="258" t="str">
        <f>tblText!$A$90</f>
        <v>The IDB’s Freight Logistics Statistics Yearbook is the first regional effort to collect and standardize data from the sector in 26 countries from Latin America and the Caribbean. Data is compiled from public sources and estimates drawn from publicly available information. Data in the Yearbook is organized in six groups: general indicators, roads, railways, air, water transport, and logistics activities. Explore the Yearbook’s data in the dynamic spreadsheet and filter the indicators and countries of your interest, perform comparisons, and see the results in graphics.
Visit IDB’s Logistics Observatory website to find additional data and analysis on freight transport in the region.</v>
      </c>
      <c r="C9" s="121"/>
      <c r="D9" s="251" t="str">
        <f>tblText!$A$13</f>
        <v>Indicator ranking</v>
      </c>
      <c r="E9" s="120"/>
    </row>
    <row r="10" spans="1:5" ht="22.5" customHeight="1" x14ac:dyDescent="0.35">
      <c r="A10" s="118"/>
      <c r="B10" s="259"/>
      <c r="C10" s="121"/>
      <c r="D10" s="252"/>
      <c r="E10" s="121"/>
    </row>
    <row r="11" spans="1:5" ht="26.25" x14ac:dyDescent="0.4">
      <c r="A11" s="118"/>
      <c r="B11" s="259"/>
      <c r="C11" s="119"/>
      <c r="D11" s="251" t="str">
        <f>tblText!$A$14</f>
        <v>Tables</v>
      </c>
      <c r="E11" s="119"/>
    </row>
    <row r="12" spans="1:5" ht="22.5" customHeight="1" x14ac:dyDescent="0.35">
      <c r="A12" s="118"/>
      <c r="B12" s="259"/>
      <c r="C12" s="121"/>
      <c r="D12" s="252"/>
      <c r="E12" s="121"/>
    </row>
    <row r="13" spans="1:5" ht="26.25" x14ac:dyDescent="0.4">
      <c r="A13" s="118"/>
      <c r="B13" s="259"/>
      <c r="C13" s="119"/>
      <c r="D13" s="251" t="str">
        <f>tblText!$A$15</f>
        <v>Country summary</v>
      </c>
      <c r="E13" s="119"/>
    </row>
    <row r="14" spans="1:5" ht="22.5" customHeight="1" x14ac:dyDescent="0.35">
      <c r="A14" s="118"/>
      <c r="B14" s="259"/>
      <c r="C14" s="121"/>
      <c r="D14" s="252"/>
      <c r="E14" s="121"/>
    </row>
    <row r="15" spans="1:5" ht="26.25" x14ac:dyDescent="0.4">
      <c r="A15" s="118"/>
      <c r="B15" s="259"/>
      <c r="C15" s="119"/>
      <c r="D15" s="251" t="str">
        <f>tblText!$A$16</f>
        <v>Country datasheet</v>
      </c>
      <c r="E15" s="119"/>
    </row>
    <row r="16" spans="1:5" ht="15.75" customHeight="1" x14ac:dyDescent="0.4">
      <c r="A16" s="118"/>
      <c r="B16" s="259"/>
      <c r="C16" s="119"/>
      <c r="D16" s="251"/>
      <c r="E16" s="119"/>
    </row>
    <row r="17" spans="1:5" ht="25.9" x14ac:dyDescent="0.5">
      <c r="A17" s="118"/>
      <c r="B17" s="236" t="s">
        <v>3513</v>
      </c>
      <c r="C17" s="119"/>
      <c r="D17" s="251" t="str">
        <f>tblText!$A$17</f>
        <v>Scatterplot</v>
      </c>
      <c r="E17" s="251"/>
    </row>
    <row r="18" spans="1:5" ht="18" customHeight="1" x14ac:dyDescent="0.4">
      <c r="A18" s="118"/>
      <c r="B18" s="236"/>
      <c r="C18" s="119"/>
      <c r="D18" s="251"/>
      <c r="E18" s="251"/>
    </row>
    <row r="19" spans="1:5" ht="22.5" customHeight="1" x14ac:dyDescent="0.35">
      <c r="A19" s="118"/>
      <c r="B19" s="130" t="str">
        <f>tblText!$A$91</f>
        <v>Disclaimer</v>
      </c>
      <c r="C19" s="121"/>
      <c r="D19" s="251" t="str">
        <f>tblText!$A$18</f>
        <v>Methodology</v>
      </c>
      <c r="E19" s="251"/>
    </row>
    <row r="20" spans="1:5" ht="26.25" customHeight="1" x14ac:dyDescent="0.4">
      <c r="A20" s="118"/>
      <c r="B20" s="258" t="str">
        <f>tblText!A93</f>
        <v>Data in the Yearbook was compiled from available secondary sources, and is constantly being updated. If you have access to more current data or would like to contribute with additional information to IDB’s Logistics Regional Observatory, please contact us at:</v>
      </c>
      <c r="C20" s="119"/>
      <c r="D20" s="251"/>
      <c r="E20" s="251"/>
    </row>
    <row r="21" spans="1:5" ht="21" customHeight="1" x14ac:dyDescent="0.4">
      <c r="A21" s="118"/>
      <c r="B21" s="258"/>
      <c r="C21" s="119"/>
      <c r="D21" s="251"/>
      <c r="E21" s="251"/>
    </row>
    <row r="22" spans="1:5" ht="26.25" x14ac:dyDescent="0.4">
      <c r="A22" s="118"/>
      <c r="B22" s="236" t="s">
        <v>3120</v>
      </c>
      <c r="C22" s="119"/>
      <c r="D22" s="251"/>
      <c r="E22" s="251"/>
    </row>
    <row r="23" spans="1:5" ht="14.25" customHeight="1" x14ac:dyDescent="0.4">
      <c r="A23" s="118"/>
      <c r="B23" s="236"/>
      <c r="C23" s="119"/>
      <c r="D23" s="251"/>
      <c r="E23" s="251"/>
    </row>
    <row r="24" spans="1:5" ht="15.75" x14ac:dyDescent="0.25">
      <c r="A24" s="116"/>
      <c r="B24" s="256" t="str">
        <f>tblText!$A$103</f>
        <v xml:space="preserve">Copyright © 2015 Inter-American Development Bank. </v>
      </c>
      <c r="C24" s="116"/>
      <c r="D24" s="116"/>
      <c r="E24" s="116"/>
    </row>
    <row r="25" spans="1:5" x14ac:dyDescent="0.25">
      <c r="A25" s="116"/>
      <c r="B25" s="116"/>
      <c r="C25" s="116"/>
      <c r="D25" s="116"/>
      <c r="E25" s="116"/>
    </row>
    <row r="26" spans="1:5" ht="216.75" customHeight="1" x14ac:dyDescent="0.35">
      <c r="A26" s="118"/>
      <c r="B26" s="258" t="str">
        <f>tblText!$A$104</f>
        <v>This work is licensed under a Creative Commons IGO 3.0 Attribution-NonCommercial-NoDerivatives license (http://creativecommons.org/licenses/by-nc-nd/3.0/igo/legalcode) and may be reproduced with attribution to the IDB and for any non-commercial purpose. 
No derivative work is allowed.
Any dispute related to the use of the works of the IDB that cannot be settled amicably shall be submitted to arbitration pursuant to the UNCITRAL rules. The use of the IDB’s name for any purpose other than for attribution, and the use of IDB’s logo shall be subject to a separate written license agreement between the IDB and the user and is not authorized as part of this CC-IGO license.
Note that link provided above includes additional terms and conditions of the license.
The results offered in this database/dataset are those compiled by the authors and do not necessarily reflect the views of the Inter-American Development Bank, its Board of Directors, or the countries they represent.</v>
      </c>
      <c r="C26" s="260"/>
      <c r="D26" s="260"/>
      <c r="E26" s="251"/>
    </row>
    <row r="27" spans="1:5" ht="16.5" customHeight="1" x14ac:dyDescent="0.25">
      <c r="A27" s="118"/>
      <c r="B27" s="118"/>
      <c r="C27" s="118"/>
      <c r="D27" s="118"/>
      <c r="E27" s="118"/>
    </row>
    <row r="28" spans="1:5" x14ac:dyDescent="0.25">
      <c r="A28" s="118"/>
      <c r="B28" s="118"/>
      <c r="C28" s="118"/>
      <c r="D28" s="118"/>
      <c r="E28" s="118"/>
    </row>
    <row r="29" spans="1:5" x14ac:dyDescent="0.25">
      <c r="A29" s="118"/>
      <c r="B29" s="118"/>
      <c r="C29" s="118"/>
      <c r="D29" s="118"/>
      <c r="E29" s="118"/>
    </row>
    <row r="30" spans="1:5" x14ac:dyDescent="0.25">
      <c r="A30" s="118"/>
      <c r="B30" s="118"/>
      <c r="C30" s="118"/>
      <c r="D30" s="118"/>
      <c r="E30" s="118"/>
    </row>
  </sheetData>
  <mergeCells count="3">
    <mergeCell ref="B20:B21"/>
    <mergeCell ref="B9:B16"/>
    <mergeCell ref="B26:D26"/>
  </mergeCells>
  <phoneticPr fontId="12" type="noConversion"/>
  <hyperlinks>
    <hyperlink ref="B11:E11" location="hlCat" display="hlCat"/>
    <hyperlink ref="B13:E13" location="hlCountrySummary" display="hlCountrySummary"/>
    <hyperlink ref="D11" location="hlCat" display="hlCat"/>
    <hyperlink ref="D17" location="hlScatter" display="hlScatter"/>
    <hyperlink ref="D15" location="hlDatasheet" display="hlDatasheet"/>
    <hyperlink ref="D13" location="hlCountrySummary" display="hlCountrySummary"/>
    <hyperlink ref="D9" location="hlMap" display="hlMap"/>
    <hyperlink ref="B22" r:id="rId1"/>
    <hyperlink ref="D19" location="Methodology!A1" display="Methodology!A1"/>
    <hyperlink ref="B17" r:id="rId2" display="http://logisticsportal.iadb.org/"/>
  </hyperlinks>
  <pageMargins left="0.70866141732283472" right="0.70866141732283472" top="0.74803149606299213" bottom="0.74803149606299213" header="0.31496062992125984" footer="0.31496062992125984"/>
  <pageSetup scale="88" orientation="landscape" r:id="rId3"/>
  <headerFooter>
    <oddHeader>&amp;LFreight Transport and Logistics Yearbook 2014, IDB</oddHeader>
    <oddFooter>&amp;LFreight Transport and Logistics Regional Observatory</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50" r:id="rId6" name="Drop Down 2">
              <controlPr defaultSize="0" autoLine="0" autoPict="0" macro="[0]!LanguageChange">
                <anchor moveWithCells="1">
                  <from>
                    <xdr:col>2</xdr:col>
                    <xdr:colOff>38100</xdr:colOff>
                    <xdr:row>1</xdr:row>
                    <xdr:rowOff>19050</xdr:rowOff>
                  </from>
                  <to>
                    <xdr:col>3</xdr:col>
                    <xdr:colOff>742950</xdr:colOff>
                    <xdr:row>1</xdr:row>
                    <xdr:rowOff>180975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L49"/>
  <sheetViews>
    <sheetView showGridLines="0" showRowColHeaders="0" workbookViewId="0"/>
  </sheetViews>
  <sheetFormatPr defaultColWidth="9.140625" defaultRowHeight="11.25" x14ac:dyDescent="0.2"/>
  <cols>
    <col min="1" max="4" width="9.140625" style="1"/>
    <col min="5" max="5" width="19.140625" style="1" customWidth="1"/>
    <col min="6" max="23" width="9.140625" style="1"/>
    <col min="24" max="24" width="31.85546875" style="1" customWidth="1"/>
    <col min="25" max="16384" width="9.140625" style="1"/>
  </cols>
  <sheetData>
    <row r="1" spans="1:38" ht="10.15" x14ac:dyDescent="0.2">
      <c r="B1" s="4">
        <f>uxbWorks!B20</f>
        <v>0</v>
      </c>
      <c r="C1" s="4" t="str">
        <f>uxbWorks!C20</f>
        <v>IndiCode</v>
      </c>
      <c r="D1" s="4" t="str">
        <f>uxbWorks!D20</f>
        <v>ParentID</v>
      </c>
      <c r="E1" s="4" t="str">
        <f>uxbWorks!E20</f>
        <v>Level</v>
      </c>
      <c r="F1" s="4" t="str">
        <f>uxbWorks!F20</f>
        <v>HasData</v>
      </c>
      <c r="G1" s="4" t="str">
        <f>uxbWorks!G20</f>
        <v>ID_Indic</v>
      </c>
      <c r="H1" s="4" t="str">
        <f>uxbWorks!H20</f>
        <v>DP</v>
      </c>
      <c r="I1" s="4" t="str">
        <f>uxbWorks!I20</f>
        <v>CALC:A_INDI</v>
      </c>
      <c r="J1" s="4" t="str">
        <f>uxbWorks!J20</f>
        <v>CALC:A_MULT</v>
      </c>
      <c r="K1" s="4" t="str">
        <f>uxbWorks!K20</f>
        <v>CALC:B_INDI</v>
      </c>
      <c r="L1" s="4" t="str">
        <f>uxbWorks!L20</f>
        <v>Description</v>
      </c>
      <c r="M1" s="4" t="str">
        <f>uxbWorks!M20</f>
        <v>Unit</v>
      </c>
      <c r="N1" s="4" t="str">
        <f>uxbWorks!N20</f>
        <v>Category</v>
      </c>
      <c r="O1" s="4" t="str">
        <f>uxbWorks!O20</f>
        <v>Definition</v>
      </c>
      <c r="P1" s="4" t="str">
        <f>uxbWorks!P20</f>
        <v>Sort_Order</v>
      </c>
      <c r="Q1" s="4">
        <f>uxbWorks!Q20</f>
        <v>0</v>
      </c>
      <c r="R1" s="4">
        <f>uxbWorks!R20</f>
        <v>0</v>
      </c>
      <c r="S1" s="4">
        <f>uxbWorks!S20</f>
        <v>0</v>
      </c>
      <c r="T1" s="4">
        <f>uxbWorks!T20</f>
        <v>0</v>
      </c>
      <c r="U1" s="4">
        <f>uxbWorks!U20</f>
        <v>0</v>
      </c>
      <c r="V1" s="4">
        <f>uxbWorks!V20</f>
        <v>0</v>
      </c>
      <c r="W1" s="4">
        <f>uxbWorks!W20</f>
        <v>0</v>
      </c>
      <c r="X1" s="4">
        <f>uxbWorks!X20</f>
        <v>0</v>
      </c>
    </row>
    <row r="2" spans="1:38" ht="10.15" x14ac:dyDescent="0.2">
      <c r="A2" s="1" t="s">
        <v>500</v>
      </c>
      <c r="B2" s="6">
        <f>uxbWorks!B21</f>
        <v>2</v>
      </c>
      <c r="C2" s="6" t="str">
        <f>uxbWorks!C21</f>
        <v>GENERAL01</v>
      </c>
      <c r="D2" s="6" t="str">
        <f>uxbWorks!D21</f>
        <v>GENERAL</v>
      </c>
      <c r="E2" s="6">
        <f>uxbWorks!E21</f>
        <v>1</v>
      </c>
      <c r="F2" s="6">
        <f>uxbWorks!F21</f>
        <v>1</v>
      </c>
      <c r="G2" s="6">
        <f>uxbWorks!G21</f>
        <v>1</v>
      </c>
      <c r="H2" s="6">
        <f>uxbWorks!H21</f>
        <v>2</v>
      </c>
      <c r="I2" s="6">
        <f>uxbWorks!I21</f>
        <v>0</v>
      </c>
      <c r="J2" s="6">
        <f>uxbWorks!J21</f>
        <v>0</v>
      </c>
      <c r="K2" s="6">
        <f>uxbWorks!K21</f>
        <v>0</v>
      </c>
      <c r="L2" s="6" t="str">
        <f>uxbWorks!L21</f>
        <v>Transport sector  % GDP</v>
      </c>
      <c r="M2" s="6" t="str">
        <f>uxbWorks!M21</f>
        <v>%</v>
      </c>
      <c r="N2" s="6" t="str">
        <f>uxbWorks!N21</f>
        <v>General indicators</v>
      </c>
      <c r="O2" s="6" t="str">
        <f>uxbWorks!O21</f>
        <v>Extent of the transport sector in the total GDP. Each country specifies how it is computed using the International Standard Industrial Classification (ISIC).</v>
      </c>
      <c r="P2" s="6">
        <f>uxbWorks!P21</f>
        <v>0</v>
      </c>
      <c r="Q2" s="6">
        <f>uxbWorks!Q21</f>
        <v>0</v>
      </c>
      <c r="R2" s="6">
        <f>uxbWorks!R21</f>
        <v>0</v>
      </c>
      <c r="S2" s="6">
        <f>uxbWorks!S21</f>
        <v>0</v>
      </c>
      <c r="T2" s="6" t="str">
        <f>uxbWorks!T21</f>
        <v xml:space="preserve">  Transport sector  % GDP</v>
      </c>
      <c r="U2" s="6" t="str">
        <f>uxbWorks!U21</f>
        <v>General indicators</v>
      </c>
      <c r="V2" s="6" t="str">
        <f>uxbWorks!V21</f>
        <v>GENERAL INDICATORS »</v>
      </c>
      <c r="W2" s="6">
        <f>uxbWorks!W21</f>
        <v>0</v>
      </c>
      <c r="X2" s="6">
        <f>uxbWorks!X21</f>
        <v>0</v>
      </c>
    </row>
    <row r="3" spans="1:38" ht="12" x14ac:dyDescent="0.25">
      <c r="A3" s="1" t="s">
        <v>173</v>
      </c>
      <c r="B3" s="6">
        <f>uxbWorks!B24</f>
        <v>0</v>
      </c>
      <c r="AB3" s="29">
        <v>0</v>
      </c>
      <c r="AC3" s="29">
        <f ca="1">PERCENTILE(W$9:W$34,AB3)</f>
        <v>2.4994499559909897</v>
      </c>
      <c r="AD3" s="29" t="str">
        <f ca="1">CONCATENATE("Score ",TEXT(AC3,"#,0.0"), " to ", TEXT(AC4-0.1,"#,#.0"))</f>
        <v>Score 2.5 to 4.4</v>
      </c>
    </row>
    <row r="4" spans="1:38" ht="12" x14ac:dyDescent="0.25">
      <c r="A4" s="1" t="s">
        <v>497</v>
      </c>
      <c r="B4" s="1" t="str">
        <f>IF(OR($B$3=0,$F$2=0),"",INDEX(G$9:G$34,$B$3))</f>
        <v/>
      </c>
      <c r="C4" s="1" t="str">
        <f>IF(ISERROR(B4),"",B4)</f>
        <v/>
      </c>
      <c r="D4" s="1" t="str">
        <f>IF(C4=0,"",C4)</f>
        <v/>
      </c>
      <c r="AB4" s="29">
        <v>0.25</v>
      </c>
      <c r="AC4" s="29">
        <f ca="1">PERCENTILE(W$9:W$34,AB4)</f>
        <v>4.5281547327290106</v>
      </c>
      <c r="AD4" s="29" t="str">
        <f ca="1">CONCATENATE("Score ",TEXT(AC4,"#,0.0"), " to ", TEXT(AC5-0.1,"#,#.0"))</f>
        <v>Score 4.5 to 6.0</v>
      </c>
    </row>
    <row r="5" spans="1:38" ht="12" x14ac:dyDescent="0.25">
      <c r="A5" s="1" t="s">
        <v>38</v>
      </c>
      <c r="B5" s="1" t="str">
        <f>IF(OR($B$3=0,$F$2=0),"",CHOOSE($B$8,INDEX(I$9:I$34,$B$3),INDEX(K$9:K$34,$B$3)))</f>
        <v/>
      </c>
      <c r="C5" s="1" t="str">
        <f>IF(ISERROR(B5),"",B5)</f>
        <v/>
      </c>
      <c r="D5" s="1" t="str">
        <f>IF(C5=0,"",C5)</f>
        <v/>
      </c>
      <c r="AB5" s="29">
        <v>0.5</v>
      </c>
      <c r="AC5" s="29">
        <f ca="1">PERCENTILE(W$9:W$34,AB5)</f>
        <v>6.0552171063273095</v>
      </c>
      <c r="AD5" s="29" t="str">
        <f ca="1">CONCATENATE("Score ",TEXT(AC5,"#,0.0"), " to ", TEXT(AC6-0.1,"#,#.0"))</f>
        <v>Score 6.1 to 7.1</v>
      </c>
    </row>
    <row r="6" spans="1:38" ht="12" x14ac:dyDescent="0.25">
      <c r="A6" s="1" t="s">
        <v>434</v>
      </c>
      <c r="B6" s="1" t="str">
        <f>IF(OR($B$3=0,$F$2=0),"",CHOOSE($B$8,INDEX(J$9:J$34,$B$3),INDEX(L$9:L$34,$B$3)))</f>
        <v/>
      </c>
      <c r="C6" s="1" t="str">
        <f>IF(ISERROR(B6),"",B6)</f>
        <v/>
      </c>
      <c r="D6" s="1" t="str">
        <f>IF(C6=0,"",C6)</f>
        <v/>
      </c>
      <c r="AB6" s="29">
        <v>0.75</v>
      </c>
      <c r="AC6" s="29">
        <f ca="1">PERCENTILE(W$9:W$34,AB6)</f>
        <v>7.2048221837913999</v>
      </c>
      <c r="AD6" s="29" t="str">
        <f ca="1">CONCATENATE("Score ",TEXT(AC6,"#,0.0"), " to ", TEXT(AC7,"#,#.0"))</f>
        <v>Score 7.2 to 17.6</v>
      </c>
    </row>
    <row r="7" spans="1:38" ht="12" x14ac:dyDescent="0.25">
      <c r="D7" s="1" t="str">
        <f>IF(C7=0,"",C7)</f>
        <v/>
      </c>
      <c r="AB7" s="29">
        <v>1</v>
      </c>
      <c r="AC7" s="29">
        <f ca="1">PERCENTILE(W$9:W$34,AB7)</f>
        <v>17.599999999999998</v>
      </c>
      <c r="AD7" s="29"/>
    </row>
    <row r="8" spans="1:38" ht="10.15" x14ac:dyDescent="0.2">
      <c r="A8" s="17" t="s">
        <v>1244</v>
      </c>
      <c r="B8" s="1">
        <f>uxbWorks!$B$7</f>
        <v>1</v>
      </c>
      <c r="F8" s="1" t="s">
        <v>502</v>
      </c>
      <c r="G8" s="2" t="s">
        <v>497</v>
      </c>
      <c r="H8" s="2" t="s">
        <v>498</v>
      </c>
      <c r="I8" s="2" t="s">
        <v>1245</v>
      </c>
      <c r="J8" s="2" t="s">
        <v>1246</v>
      </c>
      <c r="K8" s="2" t="s">
        <v>1242</v>
      </c>
      <c r="L8" s="17" t="s">
        <v>1243</v>
      </c>
      <c r="Q8" s="12" t="s">
        <v>35</v>
      </c>
      <c r="R8" s="12" t="s">
        <v>501</v>
      </c>
      <c r="S8" s="12" t="s">
        <v>156</v>
      </c>
      <c r="T8" s="12"/>
      <c r="U8" s="12"/>
      <c r="V8" s="12"/>
      <c r="W8" s="12"/>
      <c r="X8" s="12"/>
      <c r="Y8" s="12"/>
      <c r="Z8" s="12"/>
      <c r="AA8" s="12"/>
      <c r="AB8" s="12"/>
      <c r="AC8" s="12"/>
      <c r="AD8" s="12" t="s">
        <v>161</v>
      </c>
      <c r="AF8" s="1" t="s">
        <v>277</v>
      </c>
      <c r="AJ8" s="17" t="s">
        <v>3058</v>
      </c>
      <c r="AK8" s="17" t="s">
        <v>3059</v>
      </c>
      <c r="AL8" s="17" t="s">
        <v>3060</v>
      </c>
    </row>
    <row r="9" spans="1:38" ht="12" x14ac:dyDescent="0.25">
      <c r="A9" s="1">
        <v>1</v>
      </c>
      <c r="B9" s="1" t="str">
        <f>tblCountries!B3</f>
        <v>AR</v>
      </c>
      <c r="C9" s="1" t="str">
        <f>tblCountries!C3</f>
        <v>Argentina</v>
      </c>
      <c r="D9" s="1">
        <f>tblCountries!D3</f>
        <v>1</v>
      </c>
      <c r="E9" s="1" t="str">
        <f>CONCATENATE("NAC_",$B9,"_1_",$C$2)</f>
        <v>NAC_AR_1_GENERAL01</v>
      </c>
      <c r="F9" s="1">
        <f t="shared" ref="F9" si="0">MATCH(E9,lu_DataCode,0)</f>
        <v>1</v>
      </c>
      <c r="G9" s="1">
        <f t="shared" ref="G9:G34" ca="1" si="1">INDEX(OFFSET(lu_DataCode,0,3),$F9)</f>
        <v>2012</v>
      </c>
      <c r="H9" s="1">
        <f t="shared" ref="H9:H34" ca="1" si="2">INDEX(OFFSET(lu_DataCode,0,4),$F9)</f>
        <v>7.2048221837913999</v>
      </c>
      <c r="I9" s="1" t="str">
        <f t="shared" ref="I9:I34" ca="1" si="3">INDEX(OFFSET(lu_DataCode,0,5),$F9)</f>
        <v>Instituto Nacional de Estadística y Censos (INDEC)</v>
      </c>
      <c r="J9" s="1" t="str">
        <f t="shared" ref="J9:J34" ca="1" si="4">INDEX(OFFSET(lu_DataCode,0,6),$F9)</f>
        <v>National Accounts methods.  Annual frequency. ISIC I.</v>
      </c>
      <c r="K9" s="1" t="str">
        <f t="shared" ref="K9:K34" ca="1" si="5">INDEX(OFFSET(lu_DataCode,0,7),$F9)</f>
        <v>Instituto Nacional de Estadística y Censos (INDEC)</v>
      </c>
      <c r="L9" s="1" t="str">
        <f t="shared" ref="L9:L34" ca="1" si="6">INDEX(OFFSET(lu_DataCode,0,8),$F9)</f>
        <v>Metodología de Cuentas Nacionales. Frecuencia anual. ISIC I.</v>
      </c>
      <c r="M9" s="1">
        <f ca="1">IF(ISNUMBER(H9),1,0)</f>
        <v>1</v>
      </c>
      <c r="N9" s="1">
        <f ca="1">IF(ISNUMBER(H9),ROUND(H9,6),IF($P$2=0,-100000000000,1000000000000))</f>
        <v>7.2048220000000001</v>
      </c>
      <c r="O9" s="1">
        <f ca="1">RANK(N9,N$9:N$34,$P$2)+COUNTIF(N$9:N9,N9)-1</f>
        <v>7</v>
      </c>
      <c r="P9" s="1">
        <f ca="1">MATCH($A9,O$9:O$34,0)</f>
        <v>19</v>
      </c>
      <c r="Q9" s="1">
        <f ca="1">INDEX(M$9:M$34,$P9)</f>
        <v>1</v>
      </c>
      <c r="R9" s="1">
        <f ca="1">INDEX(D$9:D$34,$P9)</f>
        <v>1</v>
      </c>
      <c r="S9" s="22">
        <f ca="1">IF(Q9=0,"-",IF(OR(W9=W8,W9=W10),CONCATENATE("=",RANK(W9,W$9:W$34)),$A9))</f>
        <v>1</v>
      </c>
      <c r="T9" s="1" t="str">
        <f ca="1">INDEX(B$9:B$34,$P9)</f>
        <v>PA</v>
      </c>
      <c r="U9" s="1" t="str">
        <f ca="1">INDEX(C$9:C$34,$P9)</f>
        <v>Panamá</v>
      </c>
      <c r="V9" s="1">
        <f ca="1">IF($Q9=0,"",INDEX(G$9:G$34,$P9))</f>
        <v>2012</v>
      </c>
      <c r="W9" s="1">
        <f ca="1">IF($Q9=0,"",INDEX(H$9:H$34,$P9))</f>
        <v>17.599999999999998</v>
      </c>
      <c r="X9" s="11" t="str">
        <f ca="1">IF($Q9=0,"",INDEX(I$9:I$34,$P9))</f>
        <v>Banco Interamericano de Desarrollo. 2014. Logística de cargas en Mesoamérica (de próxima publicación)</v>
      </c>
      <c r="Y9" s="1" t="str">
        <f ca="1">IF($Q9=0,"",INDEX(K$9:K$34,$P9))</f>
        <v>Banco Interamericano de Desarrollo. 2014. Logística de cargas en Mesoamérica (de próxima publicación)</v>
      </c>
      <c r="Z9" s="1" t="str">
        <f ca="1">CHOOSE(uxbWorks!$B$7,X9,Y9)</f>
        <v>Banco Interamericano de Desarrollo. 2014. Logística de cargas en Mesoamérica (de próxima publicación)</v>
      </c>
      <c r="AC9" s="1" t="str">
        <f ca="1">T9</f>
        <v>PA</v>
      </c>
      <c r="AD9" s="29">
        <f ca="1">IF(NOT(ISNUMBER(W9)),0,IF(W9&lt;$AC$4,1,IF(W9&lt;$AC$5,2,IF(W9&lt;$AC$6,3,4))))</f>
        <v>4</v>
      </c>
      <c r="AF9" s="1" t="str">
        <f>B9</f>
        <v>AR</v>
      </c>
      <c r="AG9" s="1">
        <f>IF(A9=uxbWorks!$B$30,4,0)</f>
        <v>4</v>
      </c>
      <c r="AI9" s="1" t="str">
        <f ca="1">U9</f>
        <v>Panamá</v>
      </c>
      <c r="AJ9" s="1">
        <f ca="1">W9</f>
        <v>17.599999999999998</v>
      </c>
      <c r="AK9" s="1" t="e">
        <f ca="1">IF(R9=3,AJ9,NA())</f>
        <v>#N/A</v>
      </c>
    </row>
    <row r="10" spans="1:38" ht="12" x14ac:dyDescent="0.25">
      <c r="A10" s="1">
        <v>2</v>
      </c>
      <c r="B10" s="1" t="str">
        <f>tblCountries!B4</f>
        <v>BS</v>
      </c>
      <c r="C10" s="1" t="str">
        <f>tblCountries!C4</f>
        <v>Bahamas</v>
      </c>
      <c r="D10" s="1">
        <f>tblCountries!D4</f>
        <v>1</v>
      </c>
      <c r="E10" s="1" t="str">
        <f t="shared" ref="E10:E34" si="7">CONCATENATE("NAC_",$B10,"_1_",$C$2)</f>
        <v>NAC_BS_1_GENERAL01</v>
      </c>
      <c r="F10" s="1">
        <f t="shared" ref="F10:F34" si="8">MATCH(E10,lu_DataCode,0)</f>
        <v>5</v>
      </c>
      <c r="G10" s="1">
        <f t="shared" ca="1" si="1"/>
        <v>2012</v>
      </c>
      <c r="H10" s="1">
        <f t="shared" ca="1" si="2"/>
        <v>3.91327578192378</v>
      </c>
      <c r="I10" s="1" t="str">
        <f t="shared" ca="1" si="3"/>
        <v>Instituto Estadístico de Bahamas</v>
      </c>
      <c r="J10" s="1" t="str">
        <f t="shared" ca="1" si="4"/>
        <v>National Accounts methods.  Annual frequency. Includes land, marine, and air transport.</v>
      </c>
      <c r="K10" s="1" t="str">
        <f t="shared" ca="1" si="5"/>
        <v>Instituto Estadístico de Bahamas</v>
      </c>
      <c r="L10" s="1" t="str">
        <f t="shared" ca="1" si="6"/>
        <v>Metodología de Cuentas Nacionales. Frecuencia anual. Incluye transporte terrestre, marítimo y aéreo.</v>
      </c>
      <c r="M10" s="1">
        <f t="shared" ref="M10:M34" ca="1" si="9">IF(ISNUMBER(H10),1,0)</f>
        <v>1</v>
      </c>
      <c r="N10" s="1">
        <f t="shared" ref="N10:N34" ca="1" si="10">IF(ISNUMBER(H10),ROUND(H10,6),IF($P$2=0,-100000000000,1000000000000))</f>
        <v>3.9132760000000002</v>
      </c>
      <c r="O10" s="1">
        <f ca="1">RANK(N10,N$9:N$34,$P$2)+COUNTIF(N$9:N10,N10)-1</f>
        <v>22</v>
      </c>
      <c r="P10" s="1">
        <f t="shared" ref="P10:P34" ca="1" si="11">MATCH($A10,O$9:O$34,0)</f>
        <v>22</v>
      </c>
      <c r="Q10" s="1">
        <f t="shared" ref="Q10:Q34" ca="1" si="12">INDEX(M$9:M$34,$P10)</f>
        <v>1</v>
      </c>
      <c r="R10" s="1">
        <f t="shared" ref="R10:R34" ca="1" si="13">INDEX(D$9:D$34,$P10)</f>
        <v>1</v>
      </c>
      <c r="S10" s="22">
        <f t="shared" ref="S10:S34" ca="1" si="14">IF(Q10=0,"-",IF(OR(W10=W9,W10=W11),CONCATENATE("=",RANK(W10,W$9:W$34)),$A10))</f>
        <v>2</v>
      </c>
      <c r="T10" s="1" t="str">
        <f t="shared" ref="T10:T34" ca="1" si="15">INDEX(B$9:B$34,$P10)</f>
        <v>DO</v>
      </c>
      <c r="U10" s="1" t="str">
        <f t="shared" ref="U10:U34" ca="1" si="16">INDEX(C$9:C$34,$P10)</f>
        <v>Dominican Republic</v>
      </c>
      <c r="V10" s="1">
        <f t="shared" ref="V10:V34" ca="1" si="17">IF($Q10=0,"",INDEX(G$9:G$34,$P10))</f>
        <v>2012</v>
      </c>
      <c r="W10" s="1">
        <f t="shared" ref="W10:W34" ca="1" si="18">IF($Q10=0,"",INDEX(H$9:H$34,$P10))</f>
        <v>8.4378989177878498</v>
      </c>
      <c r="X10" s="11" t="str">
        <f t="shared" ref="X10:X34" ca="1" si="19">IF($Q10=0,"",INDEX(I$9:I$34,$P10))</f>
        <v>Banco Central de la República Dominicana</v>
      </c>
      <c r="Y10" s="1" t="str">
        <f t="shared" ref="Y10:Y34" ca="1" si="20">IF($Q10=0,"",INDEX(K$9:K$34,$P10))</f>
        <v>Banco Central de la República Dominicana</v>
      </c>
      <c r="Z10" s="1" t="str">
        <f ca="1">CHOOSE(uxbWorks!$B$7,X10,Y10)</f>
        <v>Banco Central de la República Dominicana</v>
      </c>
      <c r="AC10" s="1" t="str">
        <f t="shared" ref="AC10:AC34" ca="1" si="21">T10</f>
        <v>DO</v>
      </c>
      <c r="AD10" s="29">
        <f t="shared" ref="AD10:AD34" ca="1" si="22">IF(NOT(ISNUMBER(W10)),0,IF(W10&lt;$AC$4,1,IF(W10&lt;$AC$5,2,IF(W10&lt;$AC$6,3,4))))</f>
        <v>4</v>
      </c>
      <c r="AF10" s="1" t="str">
        <f t="shared" ref="AF10:AF34" si="23">B10</f>
        <v>BS</v>
      </c>
      <c r="AG10" s="1">
        <f>IF(A10=uxbWorks!$B$30,4,0)</f>
        <v>0</v>
      </c>
      <c r="AI10" s="1" t="str">
        <f t="shared" ref="AI10:AI34" ca="1" si="24">U10</f>
        <v>Dominican Republic</v>
      </c>
      <c r="AJ10" s="1">
        <f t="shared" ref="AJ10:AJ34" ca="1" si="25">W10</f>
        <v>8.4378989177878498</v>
      </c>
      <c r="AK10" s="1" t="e">
        <f t="shared" ref="AK10:AK34" ca="1" si="26">IF(R10=3,AJ10,NA())</f>
        <v>#N/A</v>
      </c>
    </row>
    <row r="11" spans="1:38" ht="12" x14ac:dyDescent="0.25">
      <c r="A11" s="1">
        <v>3</v>
      </c>
      <c r="B11" s="1" t="str">
        <f>tblCountries!B5</f>
        <v>BB</v>
      </c>
      <c r="C11" s="1" t="str">
        <f>tblCountries!C5</f>
        <v>Barbados</v>
      </c>
      <c r="D11" s="1">
        <f>tblCountries!D5</f>
        <v>1</v>
      </c>
      <c r="E11" s="1" t="str">
        <f t="shared" si="7"/>
        <v>NAC_BB_1_GENERAL01</v>
      </c>
      <c r="F11" s="1">
        <f t="shared" si="8"/>
        <v>2</v>
      </c>
      <c r="G11" s="1">
        <f t="shared" ca="1" si="1"/>
        <v>2012</v>
      </c>
      <c r="H11" s="1">
        <f t="shared" ca="1" si="2"/>
        <v>6.6200117764503199</v>
      </c>
      <c r="I11" s="1" t="str">
        <f t="shared" ca="1" si="3"/>
        <v>Banco Central de Barbados</v>
      </c>
      <c r="J11" s="1" t="str">
        <f t="shared" ca="1" si="4"/>
        <v>Based on data extrapolation from years 2008-2011. National Accounts methods.  Annual frequency. ISIC I.</v>
      </c>
      <c r="K11" s="1" t="str">
        <f t="shared" ca="1" si="5"/>
        <v>Banco Central de Barbados</v>
      </c>
      <c r="L11" s="1" t="str">
        <f t="shared" ca="1" si="6"/>
        <v>Basado en extrapolación de los datos usando los años entre el 2008 y el 2011. Metodología de Cuentas Nacionales. Frecuencia anual. ISIC I.</v>
      </c>
      <c r="M11" s="1">
        <f t="shared" ca="1" si="9"/>
        <v>1</v>
      </c>
      <c r="N11" s="1">
        <f t="shared" ca="1" si="10"/>
        <v>6.620012</v>
      </c>
      <c r="O11" s="1">
        <f ca="1">RANK(N11,N$9:N$34,$P$2)+COUNTIF(N$9:N11,N11)-1</f>
        <v>11</v>
      </c>
      <c r="P11" s="1">
        <f t="shared" ca="1" si="11"/>
        <v>16</v>
      </c>
      <c r="Q11" s="1">
        <f t="shared" ca="1" si="12"/>
        <v>1</v>
      </c>
      <c r="R11" s="1">
        <f t="shared" ca="1" si="13"/>
        <v>1</v>
      </c>
      <c r="S11" s="22">
        <f t="shared" ca="1" si="14"/>
        <v>3</v>
      </c>
      <c r="T11" s="1" t="str">
        <f t="shared" ca="1" si="15"/>
        <v>JM</v>
      </c>
      <c r="U11" s="1" t="str">
        <f t="shared" ca="1" si="16"/>
        <v>Jamaica</v>
      </c>
      <c r="V11" s="1">
        <f t="shared" ca="1" si="17"/>
        <v>2012</v>
      </c>
      <c r="W11" s="1">
        <f t="shared" ca="1" si="18"/>
        <v>8.0450017908396898</v>
      </c>
      <c r="X11" s="11" t="str">
        <f t="shared" ca="1" si="19"/>
        <v>Instituto Estadístico de Jamaica</v>
      </c>
      <c r="Y11" s="1" t="str">
        <f t="shared" ca="1" si="20"/>
        <v>Instituto Estadístico de Jamaica</v>
      </c>
      <c r="Z11" s="1" t="str">
        <f ca="1">CHOOSE(uxbWorks!$B$7,X11,Y11)</f>
        <v>Instituto Estadístico de Jamaica</v>
      </c>
      <c r="AC11" s="1" t="str">
        <f t="shared" ca="1" si="21"/>
        <v>JM</v>
      </c>
      <c r="AD11" s="29">
        <f t="shared" ca="1" si="22"/>
        <v>4</v>
      </c>
      <c r="AF11" s="1" t="str">
        <f t="shared" si="23"/>
        <v>BB</v>
      </c>
      <c r="AG11" s="1">
        <f>IF(A11=uxbWorks!$B$30,4,0)</f>
        <v>0</v>
      </c>
      <c r="AI11" s="1" t="str">
        <f t="shared" ca="1" si="24"/>
        <v>Jamaica</v>
      </c>
      <c r="AJ11" s="1">
        <f t="shared" ca="1" si="25"/>
        <v>8.0450017908396898</v>
      </c>
      <c r="AK11" s="1" t="e">
        <f t="shared" ca="1" si="26"/>
        <v>#N/A</v>
      </c>
    </row>
    <row r="12" spans="1:38" ht="12" x14ac:dyDescent="0.25">
      <c r="A12" s="1">
        <v>4</v>
      </c>
      <c r="B12" s="1" t="str">
        <f>tblCountries!B6</f>
        <v>BZ</v>
      </c>
      <c r="C12" s="1" t="str">
        <f>tblCountries!C6</f>
        <v>Belize</v>
      </c>
      <c r="D12" s="1">
        <f>tblCountries!D6</f>
        <v>1</v>
      </c>
      <c r="E12" s="1" t="str">
        <f t="shared" si="7"/>
        <v>NAC_BZ_1_GENERAL01</v>
      </c>
      <c r="F12" s="1">
        <f t="shared" si="8"/>
        <v>17</v>
      </c>
      <c r="G12" s="1">
        <f t="shared" ca="1" si="1"/>
        <v>2012</v>
      </c>
      <c r="H12" s="1">
        <f t="shared" ca="1" si="2"/>
        <v>3.6146611585719599</v>
      </c>
      <c r="I12" s="1" t="str">
        <f t="shared" ca="1" si="3"/>
        <v>Banco Interamericano de Desarrollo. 2014. Logística de cargas en Mesoamérica (de próxima publicación)</v>
      </c>
      <c r="J12" s="1" t="str">
        <f t="shared" ca="1" si="4"/>
        <v>Based on data extrapolation from years 2008-2011.</v>
      </c>
      <c r="K12" s="1" t="str">
        <f t="shared" ca="1" si="5"/>
        <v>Banco Interamericano de Desarrollo. 2014. Logística de cargas en Mesoamérica (de próxima publicación)</v>
      </c>
      <c r="L12" s="1" t="str">
        <f t="shared" ca="1" si="6"/>
        <v>Basado en extrapolación de los datos usando los años entre el 2008 y el 2011.</v>
      </c>
      <c r="M12" s="1">
        <f t="shared" ca="1" si="9"/>
        <v>1</v>
      </c>
      <c r="N12" s="1">
        <f t="shared" ca="1" si="10"/>
        <v>3.6146609999999999</v>
      </c>
      <c r="O12" s="1">
        <f ca="1">RANK(N12,N$9:N$34,$P$2)+COUNTIF(N$9:N12,N12)-1</f>
        <v>23</v>
      </c>
      <c r="P12" s="1">
        <f t="shared" ca="1" si="11"/>
        <v>12</v>
      </c>
      <c r="Q12" s="1">
        <f t="shared" ca="1" si="12"/>
        <v>1</v>
      </c>
      <c r="R12" s="1">
        <f t="shared" ca="1" si="13"/>
        <v>1</v>
      </c>
      <c r="S12" s="22">
        <f t="shared" ca="1" si="14"/>
        <v>4</v>
      </c>
      <c r="T12" s="1" t="str">
        <f t="shared" ca="1" si="15"/>
        <v>GT</v>
      </c>
      <c r="U12" s="1" t="str">
        <f t="shared" ca="1" si="16"/>
        <v>Guatemala</v>
      </c>
      <c r="V12" s="1">
        <f t="shared" ca="1" si="17"/>
        <v>2012</v>
      </c>
      <c r="W12" s="1">
        <f t="shared" ca="1" si="18"/>
        <v>7.8</v>
      </c>
      <c r="X12" s="11" t="str">
        <f t="shared" ca="1" si="19"/>
        <v>Banco Interamericano de Desarrollo. 2014. Logística de cargas en Mesoamérica (de próxima publicación)</v>
      </c>
      <c r="Y12" s="1" t="str">
        <f t="shared" ca="1" si="20"/>
        <v>Banco Interamericano de Desarrollo. 2014. Logística de cargas en Mesoamérica (de próxima publicación)</v>
      </c>
      <c r="Z12" s="1" t="str">
        <f ca="1">CHOOSE(uxbWorks!$B$7,X12,Y12)</f>
        <v>Banco Interamericano de Desarrollo. 2014. Logística de cargas en Mesoamérica (de próxima publicación)</v>
      </c>
      <c r="AC12" s="1" t="str">
        <f t="shared" ca="1" si="21"/>
        <v>GT</v>
      </c>
      <c r="AD12" s="29">
        <f t="shared" ca="1" si="22"/>
        <v>4</v>
      </c>
      <c r="AF12" s="1" t="str">
        <f t="shared" si="23"/>
        <v>BZ</v>
      </c>
      <c r="AG12" s="1">
        <f>IF(A12=uxbWorks!$B$30,4,0)</f>
        <v>0</v>
      </c>
      <c r="AI12" s="1" t="str">
        <f t="shared" ca="1" si="24"/>
        <v>Guatemala</v>
      </c>
      <c r="AJ12" s="1">
        <f t="shared" ca="1" si="25"/>
        <v>7.8</v>
      </c>
      <c r="AK12" s="1" t="e">
        <f t="shared" ca="1" si="26"/>
        <v>#N/A</v>
      </c>
    </row>
    <row r="13" spans="1:38" ht="12" x14ac:dyDescent="0.25">
      <c r="A13" s="1">
        <v>5</v>
      </c>
      <c r="B13" s="1" t="str">
        <f>tblCountries!B7</f>
        <v>BO</v>
      </c>
      <c r="C13" s="1" t="str">
        <f>tblCountries!C7</f>
        <v>Bolivia</v>
      </c>
      <c r="D13" s="1">
        <f>tblCountries!D7</f>
        <v>1</v>
      </c>
      <c r="E13" s="1" t="str">
        <f t="shared" si="7"/>
        <v>NAC_BO_1_GENERAL01</v>
      </c>
      <c r="F13" s="1">
        <f t="shared" si="8"/>
        <v>3</v>
      </c>
      <c r="G13" s="1">
        <f t="shared" ca="1" si="1"/>
        <v>2012</v>
      </c>
      <c r="H13" s="1">
        <f t="shared" ca="1" si="2"/>
        <v>6.9456878227985897</v>
      </c>
      <c r="I13" s="1" t="str">
        <f t="shared" ca="1" si="3"/>
        <v>Instituto Nacional de Estadística de Bolivia</v>
      </c>
      <c r="J13" s="1" t="str">
        <f t="shared" ca="1" si="4"/>
        <v>Based on data extrapolation from years 2008-2011. National Accounts methods.  Annual frequency.</v>
      </c>
      <c r="K13" s="1" t="str">
        <f t="shared" ca="1" si="5"/>
        <v>Instituto Nacional de Estadística de Bolivia</v>
      </c>
      <c r="L13" s="1" t="str">
        <f t="shared" ca="1" si="6"/>
        <v>Basado en extrapolación de los datos usando los años entre el 2008 y el 2011. Metodología de Cuentas Nacionales. Frecuencia anual.</v>
      </c>
      <c r="M13" s="1">
        <f t="shared" ca="1" si="9"/>
        <v>1</v>
      </c>
      <c r="N13" s="1">
        <f t="shared" ca="1" si="10"/>
        <v>6.9456879999999996</v>
      </c>
      <c r="O13" s="1">
        <f ca="1">RANK(N13,N$9:N$34,$P$2)+COUNTIF(N$9:N13,N13)-1</f>
        <v>9</v>
      </c>
      <c r="P13" s="1">
        <f t="shared" ca="1" si="11"/>
        <v>8</v>
      </c>
      <c r="Q13" s="1">
        <f t="shared" ca="1" si="12"/>
        <v>1</v>
      </c>
      <c r="R13" s="1">
        <f t="shared" ca="1" si="13"/>
        <v>1</v>
      </c>
      <c r="S13" s="22">
        <f t="shared" ca="1" si="14"/>
        <v>5</v>
      </c>
      <c r="T13" s="1" t="str">
        <f t="shared" ca="1" si="15"/>
        <v>CO</v>
      </c>
      <c r="U13" s="1" t="str">
        <f t="shared" ca="1" si="16"/>
        <v>Colombia</v>
      </c>
      <c r="V13" s="1">
        <f t="shared" ca="1" si="17"/>
        <v>2012</v>
      </c>
      <c r="W13" s="1">
        <f t="shared" ca="1" si="18"/>
        <v>7.7299999999999995</v>
      </c>
      <c r="X13" s="11" t="str">
        <f t="shared" ca="1" si="19"/>
        <v>Departamento Administrativo Nacional de Estadísticas (DANE)</v>
      </c>
      <c r="Y13" s="1" t="str">
        <f t="shared" ca="1" si="20"/>
        <v>Departamento Administrativo Nacional de Estadísticas (DANE)</v>
      </c>
      <c r="Z13" s="1" t="str">
        <f ca="1">CHOOSE(uxbWorks!$B$7,X13,Y13)</f>
        <v>Departamento Administrativo Nacional de Estadísticas (DANE)</v>
      </c>
      <c r="AC13" s="1" t="str">
        <f t="shared" ca="1" si="21"/>
        <v>CO</v>
      </c>
      <c r="AD13" s="29">
        <f t="shared" ca="1" si="22"/>
        <v>4</v>
      </c>
      <c r="AF13" s="1" t="str">
        <f t="shared" si="23"/>
        <v>BO</v>
      </c>
      <c r="AG13" s="1">
        <f>IF(A13=uxbWorks!$B$30,4,0)</f>
        <v>0</v>
      </c>
      <c r="AI13" s="1" t="str">
        <f t="shared" ca="1" si="24"/>
        <v>Colombia</v>
      </c>
      <c r="AJ13" s="1">
        <f t="shared" ca="1" si="25"/>
        <v>7.7299999999999995</v>
      </c>
      <c r="AK13" s="1" t="e">
        <f t="shared" ca="1" si="26"/>
        <v>#N/A</v>
      </c>
    </row>
    <row r="14" spans="1:38" ht="12" x14ac:dyDescent="0.25">
      <c r="A14" s="1">
        <v>6</v>
      </c>
      <c r="B14" s="1" t="str">
        <f>tblCountries!B8</f>
        <v>BR</v>
      </c>
      <c r="C14" s="1" t="str">
        <f>tblCountries!C8</f>
        <v>Brasil</v>
      </c>
      <c r="D14" s="1">
        <f>tblCountries!D8</f>
        <v>1</v>
      </c>
      <c r="E14" s="1" t="str">
        <f t="shared" si="7"/>
        <v>NAC_BR_1_GENERAL01</v>
      </c>
      <c r="F14" s="1">
        <f t="shared" si="8"/>
        <v>4</v>
      </c>
      <c r="G14" s="1">
        <f t="shared" ca="1" si="1"/>
        <v>2012</v>
      </c>
      <c r="H14" s="1">
        <f t="shared" ca="1" si="2"/>
        <v>4.5281547327290106</v>
      </c>
      <c r="I14" s="1" t="str">
        <f t="shared" ca="1" si="3"/>
        <v>Instituto Brasilero de Geografía y Estadística (IBGE)</v>
      </c>
      <c r="J14" s="1" t="str">
        <f t="shared" ca="1" si="4"/>
        <v>National Accounts methods.  Annual frequency. Includes transport, storage and mail.</v>
      </c>
      <c r="K14" s="1" t="str">
        <f t="shared" ca="1" si="5"/>
        <v>Instituto Brasilero de Geografía y Estadística (IBGE)</v>
      </c>
      <c r="L14" s="1" t="str">
        <f t="shared" ca="1" si="6"/>
        <v>Metodología de Cuentas Nacionales. Frecuencia anual. Incluye transporte, almacenamiento y correo.</v>
      </c>
      <c r="M14" s="1">
        <f t="shared" ca="1" si="9"/>
        <v>1</v>
      </c>
      <c r="N14" s="1">
        <f t="shared" ca="1" si="10"/>
        <v>4.5281549999999999</v>
      </c>
      <c r="O14" s="1">
        <f ca="1">RANK(N14,N$9:N$34,$P$2)+COUNTIF(N$9:N14,N14)-1</f>
        <v>19</v>
      </c>
      <c r="P14" s="1">
        <f t="shared" ca="1" si="11"/>
        <v>14</v>
      </c>
      <c r="Q14" s="1">
        <f t="shared" ca="1" si="12"/>
        <v>1</v>
      </c>
      <c r="R14" s="1">
        <f t="shared" ca="1" si="13"/>
        <v>1</v>
      </c>
      <c r="S14" s="22">
        <f t="shared" ca="1" si="14"/>
        <v>6</v>
      </c>
      <c r="T14" s="1" t="str">
        <f t="shared" ca="1" si="15"/>
        <v>HT</v>
      </c>
      <c r="U14" s="1" t="str">
        <f t="shared" ca="1" si="16"/>
        <v>Haiti</v>
      </c>
      <c r="V14" s="1">
        <f t="shared" ca="1" si="17"/>
        <v>2012</v>
      </c>
      <c r="W14" s="1">
        <f t="shared" ca="1" si="18"/>
        <v>7.6910436445216401</v>
      </c>
      <c r="X14" s="11" t="str">
        <f t="shared" ca="1" si="19"/>
        <v>Instituto de Estadística (IHSI)</v>
      </c>
      <c r="Y14" s="1" t="str">
        <f t="shared" ca="1" si="20"/>
        <v>Instituto de Estadística (IHSI)</v>
      </c>
      <c r="Z14" s="1" t="str">
        <f ca="1">CHOOSE(uxbWorks!$B$7,X14,Y14)</f>
        <v>Instituto de Estadística (IHSI)</v>
      </c>
      <c r="AC14" s="1" t="str">
        <f t="shared" ca="1" si="21"/>
        <v>HT</v>
      </c>
      <c r="AD14" s="29">
        <f t="shared" ca="1" si="22"/>
        <v>4</v>
      </c>
      <c r="AF14" s="1" t="str">
        <f t="shared" si="23"/>
        <v>BR</v>
      </c>
      <c r="AG14" s="1">
        <f>IF(A14=uxbWorks!$B$30,4,0)</f>
        <v>0</v>
      </c>
      <c r="AI14" s="1" t="str">
        <f t="shared" ca="1" si="24"/>
        <v>Haiti</v>
      </c>
      <c r="AJ14" s="1">
        <f t="shared" ca="1" si="25"/>
        <v>7.6910436445216401</v>
      </c>
      <c r="AK14" s="1" t="e">
        <f t="shared" ca="1" si="26"/>
        <v>#N/A</v>
      </c>
    </row>
    <row r="15" spans="1:38" ht="12" x14ac:dyDescent="0.25">
      <c r="A15" s="1">
        <v>7</v>
      </c>
      <c r="B15" s="1" t="str">
        <f>tblCountries!B9</f>
        <v>CL</v>
      </c>
      <c r="C15" s="1" t="str">
        <f>tblCountries!C9</f>
        <v>Chile</v>
      </c>
      <c r="D15" s="1">
        <f>tblCountries!D9</f>
        <v>1</v>
      </c>
      <c r="E15" s="1" t="str">
        <f t="shared" si="7"/>
        <v>NAC_CL_1_GENERAL01</v>
      </c>
      <c r="F15" s="1">
        <f t="shared" si="8"/>
        <v>6</v>
      </c>
      <c r="G15" s="1">
        <f t="shared" ca="1" si="1"/>
        <v>2012</v>
      </c>
      <c r="H15" s="1">
        <f t="shared" ca="1" si="2"/>
        <v>4.01</v>
      </c>
      <c r="I15" s="1" t="str">
        <f t="shared" ca="1" si="3"/>
        <v>Banco Central de Chile</v>
      </c>
      <c r="J15" s="1" t="str">
        <f t="shared" ca="1" si="4"/>
        <v>National Accounts methods.  Annual frequency.</v>
      </c>
      <c r="K15" s="1" t="str">
        <f t="shared" ca="1" si="5"/>
        <v>Banco Central de Chile</v>
      </c>
      <c r="L15" s="1" t="str">
        <f t="shared" ca="1" si="6"/>
        <v>Metodología de Cuentas Nacionales. Frecuencia anual.</v>
      </c>
      <c r="M15" s="1">
        <f t="shared" ca="1" si="9"/>
        <v>1</v>
      </c>
      <c r="N15" s="1">
        <f t="shared" ca="1" si="10"/>
        <v>4.01</v>
      </c>
      <c r="O15" s="1">
        <f ca="1">RANK(N15,N$9:N$34,$P$2)+COUNTIF(N$9:N15,N15)-1</f>
        <v>21</v>
      </c>
      <c r="P15" s="1">
        <f t="shared" ca="1" si="11"/>
        <v>1</v>
      </c>
      <c r="Q15" s="1">
        <f t="shared" ca="1" si="12"/>
        <v>1</v>
      </c>
      <c r="R15" s="1">
        <f t="shared" ca="1" si="13"/>
        <v>1</v>
      </c>
      <c r="S15" s="22">
        <f t="shared" ca="1" si="14"/>
        <v>7</v>
      </c>
      <c r="T15" s="1" t="str">
        <f t="shared" ca="1" si="15"/>
        <v>AR</v>
      </c>
      <c r="U15" s="1" t="str">
        <f t="shared" ca="1" si="16"/>
        <v>Argentina</v>
      </c>
      <c r="V15" s="1">
        <f t="shared" ca="1" si="17"/>
        <v>2012</v>
      </c>
      <c r="W15" s="1">
        <f t="shared" ca="1" si="18"/>
        <v>7.2048221837913999</v>
      </c>
      <c r="X15" s="11" t="str">
        <f t="shared" ca="1" si="19"/>
        <v>Instituto Nacional de Estadística y Censos (INDEC)</v>
      </c>
      <c r="Y15" s="1" t="str">
        <f t="shared" ca="1" si="20"/>
        <v>Instituto Nacional de Estadística y Censos (INDEC)</v>
      </c>
      <c r="Z15" s="1" t="str">
        <f ca="1">CHOOSE(uxbWorks!$B$7,X15,Y15)</f>
        <v>Instituto Nacional de Estadística y Censos (INDEC)</v>
      </c>
      <c r="AC15" s="1" t="str">
        <f t="shared" ca="1" si="21"/>
        <v>AR</v>
      </c>
      <c r="AD15" s="29">
        <f t="shared" ca="1" si="22"/>
        <v>4</v>
      </c>
      <c r="AF15" s="1" t="str">
        <f t="shared" si="23"/>
        <v>CL</v>
      </c>
      <c r="AG15" s="1">
        <f>IF(A15=uxbWorks!$B$30,4,0)</f>
        <v>0</v>
      </c>
      <c r="AI15" s="1" t="str">
        <f t="shared" ca="1" si="24"/>
        <v>Argentina</v>
      </c>
      <c r="AJ15" s="1">
        <f t="shared" ca="1" si="25"/>
        <v>7.2048221837913999</v>
      </c>
      <c r="AK15" s="1" t="e">
        <f t="shared" ca="1" si="26"/>
        <v>#N/A</v>
      </c>
    </row>
    <row r="16" spans="1:38" ht="12" x14ac:dyDescent="0.25">
      <c r="A16" s="1">
        <v>8</v>
      </c>
      <c r="B16" s="1" t="str">
        <f>tblCountries!B10</f>
        <v>CO</v>
      </c>
      <c r="C16" s="1" t="str">
        <f>tblCountries!C10</f>
        <v>Colombia</v>
      </c>
      <c r="D16" s="1">
        <f>tblCountries!D10</f>
        <v>1</v>
      </c>
      <c r="E16" s="1" t="str">
        <f t="shared" si="7"/>
        <v>NAC_CO_1_GENERAL01</v>
      </c>
      <c r="F16" s="1">
        <f t="shared" si="8"/>
        <v>18</v>
      </c>
      <c r="G16" s="1">
        <f t="shared" ca="1" si="1"/>
        <v>2012</v>
      </c>
      <c r="H16" s="1">
        <f t="shared" ca="1" si="2"/>
        <v>7.7299999999999995</v>
      </c>
      <c r="I16" s="1" t="str">
        <f t="shared" ca="1" si="3"/>
        <v>Departamento Administrativo Nacional de Estadísticas (DANE)</v>
      </c>
      <c r="J16" s="1">
        <f t="shared" ca="1" si="4"/>
        <v>0</v>
      </c>
      <c r="K16" s="1" t="str">
        <f t="shared" ca="1" si="5"/>
        <v>Departamento Administrativo Nacional de Estadísticas (DANE)</v>
      </c>
      <c r="L16" s="1">
        <f t="shared" ca="1" si="6"/>
        <v>0</v>
      </c>
      <c r="M16" s="1">
        <f t="shared" ca="1" si="9"/>
        <v>1</v>
      </c>
      <c r="N16" s="1">
        <f t="shared" ca="1" si="10"/>
        <v>7.73</v>
      </c>
      <c r="O16" s="1">
        <f ca="1">RANK(N16,N$9:N$34,$P$2)+COUNTIF(N$9:N16,N16)-1</f>
        <v>5</v>
      </c>
      <c r="P16" s="1">
        <f t="shared" ca="1" si="11"/>
        <v>21</v>
      </c>
      <c r="Q16" s="1">
        <f t="shared" ca="1" si="12"/>
        <v>1</v>
      </c>
      <c r="R16" s="1">
        <f t="shared" ca="1" si="13"/>
        <v>1</v>
      </c>
      <c r="S16" s="22">
        <f t="shared" ca="1" si="14"/>
        <v>8</v>
      </c>
      <c r="T16" s="1" t="str">
        <f t="shared" ca="1" si="15"/>
        <v>PE</v>
      </c>
      <c r="U16" s="1" t="str">
        <f t="shared" ca="1" si="16"/>
        <v>Peru</v>
      </c>
      <c r="V16" s="1">
        <f t="shared" ca="1" si="17"/>
        <v>2012</v>
      </c>
      <c r="W16" s="1">
        <f t="shared" ca="1" si="18"/>
        <v>6.9662940495960699</v>
      </c>
      <c r="X16" s="11" t="str">
        <f t="shared" ca="1" si="19"/>
        <v>Instituto Nacional de Estadística e Informática (INEI)</v>
      </c>
      <c r="Y16" s="1" t="str">
        <f t="shared" ca="1" si="20"/>
        <v>Instituto Nacional de Estadística e Informática (INEI)</v>
      </c>
      <c r="Z16" s="1" t="str">
        <f ca="1">CHOOSE(uxbWorks!$B$7,X16,Y16)</f>
        <v>Instituto Nacional de Estadística e Informática (INEI)</v>
      </c>
      <c r="AC16" s="1" t="str">
        <f t="shared" ca="1" si="21"/>
        <v>PE</v>
      </c>
      <c r="AD16" s="29">
        <f t="shared" ca="1" si="22"/>
        <v>3</v>
      </c>
      <c r="AF16" s="1" t="str">
        <f t="shared" si="23"/>
        <v>CO</v>
      </c>
      <c r="AG16" s="1">
        <f>IF(A16=uxbWorks!$B$30,4,0)</f>
        <v>0</v>
      </c>
      <c r="AI16" s="1" t="str">
        <f t="shared" ca="1" si="24"/>
        <v>Peru</v>
      </c>
      <c r="AJ16" s="1">
        <f t="shared" ca="1" si="25"/>
        <v>6.9662940495960699</v>
      </c>
      <c r="AK16" s="1" t="e">
        <f t="shared" ca="1" si="26"/>
        <v>#N/A</v>
      </c>
    </row>
    <row r="17" spans="1:37" ht="12" x14ac:dyDescent="0.25">
      <c r="A17" s="1">
        <v>9</v>
      </c>
      <c r="B17" s="1" t="str">
        <f>tblCountries!B11</f>
        <v>CR</v>
      </c>
      <c r="C17" s="1" t="str">
        <f>tblCountries!C11</f>
        <v>Costa Rica</v>
      </c>
      <c r="D17" s="1">
        <f>tblCountries!D11</f>
        <v>1</v>
      </c>
      <c r="E17" s="1" t="str">
        <f t="shared" si="7"/>
        <v>NAC_CR_1_GENERAL01</v>
      </c>
      <c r="F17" s="1">
        <f t="shared" si="8"/>
        <v>19</v>
      </c>
      <c r="G17" s="1">
        <f t="shared" ca="1" si="1"/>
        <v>2012</v>
      </c>
      <c r="H17" s="1">
        <f t="shared" ca="1" si="2"/>
        <v>6.8641640540997191</v>
      </c>
      <c r="I17" s="1" t="str">
        <f t="shared" ca="1" si="3"/>
        <v>Banco Central de Costa Rica, área de Estadísticas de Servicios y Construcción</v>
      </c>
      <c r="J17" s="1">
        <f t="shared" ca="1" si="4"/>
        <v>0</v>
      </c>
      <c r="K17" s="1" t="str">
        <f t="shared" ca="1" si="5"/>
        <v>Banco Central de Costa Rica, área de Estadísticas de Servicios y Construcción</v>
      </c>
      <c r="L17" s="1">
        <f t="shared" ca="1" si="6"/>
        <v>0</v>
      </c>
      <c r="M17" s="1">
        <f t="shared" ca="1" si="9"/>
        <v>1</v>
      </c>
      <c r="N17" s="1">
        <f t="shared" ca="1" si="10"/>
        <v>6.8641639999999997</v>
      </c>
      <c r="O17" s="1">
        <f ca="1">RANK(N17,N$9:N$34,$P$2)+COUNTIF(N$9:N17,N17)-1</f>
        <v>10</v>
      </c>
      <c r="P17" s="1">
        <f t="shared" ca="1" si="11"/>
        <v>5</v>
      </c>
      <c r="Q17" s="1">
        <f t="shared" ca="1" si="12"/>
        <v>1</v>
      </c>
      <c r="R17" s="1">
        <f t="shared" ca="1" si="13"/>
        <v>1</v>
      </c>
      <c r="S17" s="22">
        <f t="shared" ca="1" si="14"/>
        <v>9</v>
      </c>
      <c r="T17" s="1" t="str">
        <f t="shared" ca="1" si="15"/>
        <v>BO</v>
      </c>
      <c r="U17" s="1" t="str">
        <f t="shared" ca="1" si="16"/>
        <v>Bolivia</v>
      </c>
      <c r="V17" s="1">
        <f t="shared" ca="1" si="17"/>
        <v>2012</v>
      </c>
      <c r="W17" s="1">
        <f t="shared" ca="1" si="18"/>
        <v>6.9456878227985897</v>
      </c>
      <c r="X17" s="11" t="str">
        <f t="shared" ca="1" si="19"/>
        <v>Instituto Nacional de Estadística de Bolivia</v>
      </c>
      <c r="Y17" s="1" t="str">
        <f t="shared" ca="1" si="20"/>
        <v>Instituto Nacional de Estadística de Bolivia</v>
      </c>
      <c r="Z17" s="1" t="str">
        <f ca="1">CHOOSE(uxbWorks!$B$7,X17,Y17)</f>
        <v>Instituto Nacional de Estadística de Bolivia</v>
      </c>
      <c r="AC17" s="1" t="str">
        <f t="shared" ca="1" si="21"/>
        <v>BO</v>
      </c>
      <c r="AD17" s="29">
        <f t="shared" ca="1" si="22"/>
        <v>3</v>
      </c>
      <c r="AF17" s="1" t="str">
        <f t="shared" si="23"/>
        <v>CR</v>
      </c>
      <c r="AG17" s="1">
        <f>IF(A17=uxbWorks!$B$30,4,0)</f>
        <v>0</v>
      </c>
      <c r="AI17" s="1" t="str">
        <f t="shared" ca="1" si="24"/>
        <v>Bolivia</v>
      </c>
      <c r="AJ17" s="1">
        <f t="shared" ca="1" si="25"/>
        <v>6.9456878227985897</v>
      </c>
      <c r="AK17" s="1" t="e">
        <f t="shared" ca="1" si="26"/>
        <v>#N/A</v>
      </c>
    </row>
    <row r="18" spans="1:37" ht="12" x14ac:dyDescent="0.25">
      <c r="A18" s="1">
        <v>10</v>
      </c>
      <c r="B18" s="1" t="str">
        <f>tblCountries!B12</f>
        <v>EC</v>
      </c>
      <c r="C18" s="1" t="str">
        <f>tblCountries!C12</f>
        <v>Ecuador</v>
      </c>
      <c r="D18" s="1">
        <f>tblCountries!D12</f>
        <v>1</v>
      </c>
      <c r="E18" s="1" t="str">
        <f t="shared" si="7"/>
        <v>NAC_EC_1_GENERAL01</v>
      </c>
      <c r="F18" s="1">
        <f t="shared" si="8"/>
        <v>7</v>
      </c>
      <c r="G18" s="1">
        <f t="shared" ca="1" si="1"/>
        <v>2012</v>
      </c>
      <c r="H18" s="1">
        <f t="shared" ca="1" si="2"/>
        <v>5.26505148816371</v>
      </c>
      <c r="I18" s="1" t="str">
        <f t="shared" ca="1" si="3"/>
        <v>Banco Central de Ecuador</v>
      </c>
      <c r="J18" s="1" t="str">
        <f t="shared" ca="1" si="4"/>
        <v>National Accounts methods.  Annual frequency. Includes Transport and Storage.</v>
      </c>
      <c r="K18" s="1" t="str">
        <f t="shared" ca="1" si="5"/>
        <v>Banco Central de Ecuador</v>
      </c>
      <c r="L18" s="1" t="str">
        <f t="shared" ca="1" si="6"/>
        <v>Metodología de Cuentas Nacionales. Frecuencia anual. Incluye transporte y almacenamiento.</v>
      </c>
      <c r="M18" s="1">
        <f t="shared" ca="1" si="9"/>
        <v>1</v>
      </c>
      <c r="N18" s="1">
        <f t="shared" ca="1" si="10"/>
        <v>5.2650509999999997</v>
      </c>
      <c r="O18" s="1">
        <f ca="1">RANK(N18,N$9:N$34,$P$2)+COUNTIF(N$9:N18,N18)-1</f>
        <v>17</v>
      </c>
      <c r="P18" s="1">
        <f t="shared" ca="1" si="11"/>
        <v>9</v>
      </c>
      <c r="Q18" s="1">
        <f t="shared" ca="1" si="12"/>
        <v>1</v>
      </c>
      <c r="R18" s="1">
        <f t="shared" ca="1" si="13"/>
        <v>1</v>
      </c>
      <c r="S18" s="22">
        <f t="shared" ca="1" si="14"/>
        <v>10</v>
      </c>
      <c r="T18" s="1" t="str">
        <f t="shared" ca="1" si="15"/>
        <v>CR</v>
      </c>
      <c r="U18" s="1" t="str">
        <f t="shared" ca="1" si="16"/>
        <v>Costa Rica</v>
      </c>
      <c r="V18" s="1">
        <f t="shared" ca="1" si="17"/>
        <v>2012</v>
      </c>
      <c r="W18" s="1">
        <f t="shared" ca="1" si="18"/>
        <v>6.8641640540997191</v>
      </c>
      <c r="X18" s="11" t="str">
        <f t="shared" ca="1" si="19"/>
        <v>Banco Central de Costa Rica, área de Estadísticas de Servicios y Construcción</v>
      </c>
      <c r="Y18" s="1" t="str">
        <f t="shared" ca="1" si="20"/>
        <v>Banco Central de Costa Rica, área de Estadísticas de Servicios y Construcción</v>
      </c>
      <c r="Z18" s="1" t="str">
        <f ca="1">CHOOSE(uxbWorks!$B$7,X18,Y18)</f>
        <v>Banco Central de Costa Rica, área de Estadísticas de Servicios y Construcción</v>
      </c>
      <c r="AC18" s="1" t="str">
        <f t="shared" ca="1" si="21"/>
        <v>CR</v>
      </c>
      <c r="AD18" s="29">
        <f t="shared" ca="1" si="22"/>
        <v>3</v>
      </c>
      <c r="AF18" s="1" t="str">
        <f t="shared" si="23"/>
        <v>EC</v>
      </c>
      <c r="AG18" s="1">
        <f>IF(A18=uxbWorks!$B$30,4,0)</f>
        <v>0</v>
      </c>
      <c r="AI18" s="1" t="str">
        <f t="shared" ca="1" si="24"/>
        <v>Costa Rica</v>
      </c>
      <c r="AJ18" s="1">
        <f t="shared" ca="1" si="25"/>
        <v>6.8641640540997191</v>
      </c>
      <c r="AK18" s="1" t="e">
        <f t="shared" ca="1" si="26"/>
        <v>#N/A</v>
      </c>
    </row>
    <row r="19" spans="1:37" ht="12" x14ac:dyDescent="0.25">
      <c r="A19" s="1">
        <v>11</v>
      </c>
      <c r="B19" s="1" t="str">
        <f>tblCountries!B13</f>
        <v>SV</v>
      </c>
      <c r="C19" s="1" t="str">
        <f>tblCountries!C13</f>
        <v>El Salvador</v>
      </c>
      <c r="D19" s="1">
        <f>tblCountries!D13</f>
        <v>1</v>
      </c>
      <c r="E19" s="1" t="str">
        <f t="shared" si="7"/>
        <v>NAC_SV_1_GENERAL01</v>
      </c>
      <c r="F19" s="1">
        <f t="shared" si="8"/>
        <v>20</v>
      </c>
      <c r="G19" s="1">
        <f t="shared" ca="1" si="1"/>
        <v>2012</v>
      </c>
      <c r="H19" s="1">
        <f t="shared" ca="1" si="2"/>
        <v>5.6016158710687201</v>
      </c>
      <c r="I19" s="1" t="str">
        <f t="shared" ca="1" si="3"/>
        <v>Banco Central de El Salvador</v>
      </c>
      <c r="J19" s="1">
        <f t="shared" ca="1" si="4"/>
        <v>0</v>
      </c>
      <c r="K19" s="1" t="str">
        <f t="shared" ca="1" si="5"/>
        <v>Banco Central de El Salvador</v>
      </c>
      <c r="L19" s="1">
        <f t="shared" ca="1" si="6"/>
        <v>0</v>
      </c>
      <c r="M19" s="1">
        <f t="shared" ca="1" si="9"/>
        <v>1</v>
      </c>
      <c r="N19" s="1">
        <f t="shared" ca="1" si="10"/>
        <v>5.6016159999999999</v>
      </c>
      <c r="O19" s="1">
        <f ca="1">RANK(N19,N$9:N$34,$P$2)+COUNTIF(N$9:N19,N19)-1</f>
        <v>15</v>
      </c>
      <c r="P19" s="1">
        <f t="shared" ca="1" si="11"/>
        <v>3</v>
      </c>
      <c r="Q19" s="1">
        <f t="shared" ca="1" si="12"/>
        <v>1</v>
      </c>
      <c r="R19" s="1">
        <f t="shared" ca="1" si="13"/>
        <v>1</v>
      </c>
      <c r="S19" s="22">
        <f t="shared" ca="1" si="14"/>
        <v>11</v>
      </c>
      <c r="T19" s="1" t="str">
        <f t="shared" ca="1" si="15"/>
        <v>BB</v>
      </c>
      <c r="U19" s="1" t="str">
        <f t="shared" ca="1" si="16"/>
        <v>Barbados</v>
      </c>
      <c r="V19" s="1">
        <f t="shared" ca="1" si="17"/>
        <v>2012</v>
      </c>
      <c r="W19" s="1">
        <f t="shared" ca="1" si="18"/>
        <v>6.6200117764503199</v>
      </c>
      <c r="X19" s="11" t="str">
        <f t="shared" ca="1" si="19"/>
        <v>Banco Central de Barbados</v>
      </c>
      <c r="Y19" s="1" t="str">
        <f t="shared" ca="1" si="20"/>
        <v>Banco Central de Barbados</v>
      </c>
      <c r="Z19" s="1" t="str">
        <f ca="1">CHOOSE(uxbWorks!$B$7,X19,Y19)</f>
        <v>Banco Central de Barbados</v>
      </c>
      <c r="AC19" s="1" t="str">
        <f t="shared" ca="1" si="21"/>
        <v>BB</v>
      </c>
      <c r="AD19" s="29">
        <f t="shared" ca="1" si="22"/>
        <v>3</v>
      </c>
      <c r="AF19" s="1" t="str">
        <f t="shared" si="23"/>
        <v>SV</v>
      </c>
      <c r="AG19" s="1">
        <f>IF(A19=uxbWorks!$B$30,4,0)</f>
        <v>0</v>
      </c>
      <c r="AI19" s="1" t="str">
        <f t="shared" ca="1" si="24"/>
        <v>Barbados</v>
      </c>
      <c r="AJ19" s="1">
        <f t="shared" ca="1" si="25"/>
        <v>6.6200117764503199</v>
      </c>
      <c r="AK19" s="1" t="e">
        <f t="shared" ca="1" si="26"/>
        <v>#N/A</v>
      </c>
    </row>
    <row r="20" spans="1:37" ht="12" x14ac:dyDescent="0.25">
      <c r="A20" s="1">
        <v>12</v>
      </c>
      <c r="B20" s="1" t="str">
        <f>tblCountries!B14</f>
        <v>GT</v>
      </c>
      <c r="C20" s="1" t="str">
        <f>tblCountries!C14</f>
        <v>Guatemala</v>
      </c>
      <c r="D20" s="1">
        <f>tblCountries!D14</f>
        <v>1</v>
      </c>
      <c r="E20" s="1" t="str">
        <f t="shared" si="7"/>
        <v>NAC_GT_1_GENERAL01</v>
      </c>
      <c r="F20" s="1">
        <f t="shared" si="8"/>
        <v>21</v>
      </c>
      <c r="G20" s="1">
        <f t="shared" ca="1" si="1"/>
        <v>2012</v>
      </c>
      <c r="H20" s="1">
        <f t="shared" ca="1" si="2"/>
        <v>7.8</v>
      </c>
      <c r="I20" s="1" t="str">
        <f t="shared" ca="1" si="3"/>
        <v>Banco Interamericano de Desarrollo. 2014. Logística de cargas en Mesoamérica (de próxima publicación)</v>
      </c>
      <c r="J20" s="1" t="str">
        <f t="shared" ca="1" si="4"/>
        <v>Based on data extrapolation from years 2008-2011.</v>
      </c>
      <c r="K20" s="1" t="str">
        <f t="shared" ca="1" si="5"/>
        <v>Banco Interamericano de Desarrollo. 2014. Logística de cargas en Mesoamérica (de próxima publicación)</v>
      </c>
      <c r="L20" s="1" t="str">
        <f t="shared" ca="1" si="6"/>
        <v>Basado en extrapolación de los datos usando los años entre el 2008 y el 2011.</v>
      </c>
      <c r="M20" s="1">
        <f t="shared" ca="1" si="9"/>
        <v>1</v>
      </c>
      <c r="N20" s="1">
        <f t="shared" ca="1" si="10"/>
        <v>7.8</v>
      </c>
      <c r="O20" s="1">
        <f ca="1">RANK(N20,N$9:N$34,$P$2)+COUNTIF(N$9:N20,N20)-1</f>
        <v>4</v>
      </c>
      <c r="P20" s="1">
        <f t="shared" ca="1" si="11"/>
        <v>13</v>
      </c>
      <c r="Q20" s="1">
        <f t="shared" ca="1" si="12"/>
        <v>1</v>
      </c>
      <c r="R20" s="1">
        <f t="shared" ca="1" si="13"/>
        <v>1</v>
      </c>
      <c r="S20" s="22">
        <f t="shared" ca="1" si="14"/>
        <v>12</v>
      </c>
      <c r="T20" s="1" t="str">
        <f t="shared" ca="1" si="15"/>
        <v>GY</v>
      </c>
      <c r="U20" s="1" t="str">
        <f t="shared" ca="1" si="16"/>
        <v>Guyana</v>
      </c>
      <c r="V20" s="1">
        <f t="shared" ca="1" si="17"/>
        <v>2012</v>
      </c>
      <c r="W20" s="1">
        <f t="shared" ca="1" si="18"/>
        <v>6.2970213381781504</v>
      </c>
      <c r="X20" s="11" t="str">
        <f t="shared" ca="1" si="19"/>
        <v>Oficina de Estadísticas de Guyana</v>
      </c>
      <c r="Y20" s="1" t="str">
        <f t="shared" ca="1" si="20"/>
        <v>Oficina de Estadísticas de Guyana</v>
      </c>
      <c r="Z20" s="1" t="str">
        <f ca="1">CHOOSE(uxbWorks!$B$7,X20,Y20)</f>
        <v>Oficina de Estadísticas de Guyana</v>
      </c>
      <c r="AC20" s="1" t="str">
        <f t="shared" ca="1" si="21"/>
        <v>GY</v>
      </c>
      <c r="AD20" s="29">
        <f t="shared" ca="1" si="22"/>
        <v>3</v>
      </c>
      <c r="AF20" s="1" t="str">
        <f t="shared" si="23"/>
        <v>GT</v>
      </c>
      <c r="AG20" s="1">
        <f>IF(A20=uxbWorks!$B$30,4,0)</f>
        <v>0</v>
      </c>
      <c r="AI20" s="1" t="str">
        <f t="shared" ca="1" si="24"/>
        <v>Guyana</v>
      </c>
      <c r="AJ20" s="1">
        <f t="shared" ca="1" si="25"/>
        <v>6.2970213381781504</v>
      </c>
      <c r="AK20" s="1" t="e">
        <f t="shared" ca="1" si="26"/>
        <v>#N/A</v>
      </c>
    </row>
    <row r="21" spans="1:37" ht="12" x14ac:dyDescent="0.25">
      <c r="A21" s="1">
        <v>13</v>
      </c>
      <c r="B21" s="1" t="str">
        <f>tblCountries!B15</f>
        <v>GY</v>
      </c>
      <c r="C21" s="1" t="str">
        <f>tblCountries!C15</f>
        <v>Guyana</v>
      </c>
      <c r="D21" s="1">
        <f>tblCountries!D15</f>
        <v>1</v>
      </c>
      <c r="E21" s="1" t="str">
        <f t="shared" si="7"/>
        <v>NAC_GY_1_GENERAL01</v>
      </c>
      <c r="F21" s="1">
        <f t="shared" si="8"/>
        <v>8</v>
      </c>
      <c r="G21" s="1">
        <f t="shared" ca="1" si="1"/>
        <v>2012</v>
      </c>
      <c r="H21" s="1">
        <f t="shared" ca="1" si="2"/>
        <v>6.2970213381781504</v>
      </c>
      <c r="I21" s="1" t="str">
        <f t="shared" ca="1" si="3"/>
        <v>Oficina de Estadísticas de Guyana</v>
      </c>
      <c r="J21" s="1" t="str">
        <f t="shared" ca="1" si="4"/>
        <v>National Accounts methods.  Annual frequency. Includes Transport and Storage.</v>
      </c>
      <c r="K21" s="1" t="str">
        <f t="shared" ca="1" si="5"/>
        <v>Oficina de Estadísticas de Guyana</v>
      </c>
      <c r="L21" s="1" t="str">
        <f t="shared" ca="1" si="6"/>
        <v>Metodología de Cuentas Nacionales. Frecuencia anual. Incluye transporte y almacenamiento.</v>
      </c>
      <c r="M21" s="1">
        <f t="shared" ca="1" si="9"/>
        <v>1</v>
      </c>
      <c r="N21" s="1">
        <f t="shared" ca="1" si="10"/>
        <v>6.297021</v>
      </c>
      <c r="O21" s="1">
        <f ca="1">RANK(N21,N$9:N$34,$P$2)+COUNTIF(N$9:N21,N21)-1</f>
        <v>12</v>
      </c>
      <c r="P21" s="1">
        <f t="shared" ca="1" si="11"/>
        <v>23</v>
      </c>
      <c r="Q21" s="1">
        <f t="shared" ca="1" si="12"/>
        <v>1</v>
      </c>
      <c r="R21" s="1">
        <f t="shared" ca="1" si="13"/>
        <v>1</v>
      </c>
      <c r="S21" s="22">
        <f t="shared" ca="1" si="14"/>
        <v>13</v>
      </c>
      <c r="T21" s="1" t="str">
        <f t="shared" ca="1" si="15"/>
        <v>SR</v>
      </c>
      <c r="U21" s="1" t="str">
        <f t="shared" ca="1" si="16"/>
        <v>Suriname</v>
      </c>
      <c r="V21" s="1">
        <f t="shared" ca="1" si="17"/>
        <v>2012</v>
      </c>
      <c r="W21" s="1">
        <f t="shared" ca="1" si="18"/>
        <v>6.0552171063273095</v>
      </c>
      <c r="X21" s="11" t="str">
        <f t="shared" ca="1" si="19"/>
        <v>Departamento de Estadísticas de Surinam (ABS)</v>
      </c>
      <c r="Y21" s="1" t="str">
        <f t="shared" ca="1" si="20"/>
        <v>Departamento de Estadísticas de Surinam (ABS)</v>
      </c>
      <c r="Z21" s="1" t="str">
        <f ca="1">CHOOSE(uxbWorks!$B$7,X21,Y21)</f>
        <v>Departamento de Estadísticas de Surinam (ABS)</v>
      </c>
      <c r="AC21" s="1" t="str">
        <f t="shared" ca="1" si="21"/>
        <v>SR</v>
      </c>
      <c r="AD21" s="29">
        <f t="shared" ca="1" si="22"/>
        <v>3</v>
      </c>
      <c r="AF21" s="1" t="str">
        <f t="shared" si="23"/>
        <v>GY</v>
      </c>
      <c r="AG21" s="1">
        <f>IF(A21=uxbWorks!$B$30,4,0)</f>
        <v>0</v>
      </c>
      <c r="AI21" s="1" t="str">
        <f t="shared" ca="1" si="24"/>
        <v>Suriname</v>
      </c>
      <c r="AJ21" s="1">
        <f t="shared" ca="1" si="25"/>
        <v>6.0552171063273095</v>
      </c>
      <c r="AK21" s="1" t="e">
        <f t="shared" ca="1" si="26"/>
        <v>#N/A</v>
      </c>
    </row>
    <row r="22" spans="1:37" ht="12" x14ac:dyDescent="0.25">
      <c r="A22" s="1">
        <v>14</v>
      </c>
      <c r="B22" s="1" t="str">
        <f>tblCountries!B16</f>
        <v>HT</v>
      </c>
      <c r="C22" s="1" t="str">
        <f>tblCountries!C16</f>
        <v>Haiti</v>
      </c>
      <c r="D22" s="1">
        <f>tblCountries!D16</f>
        <v>1</v>
      </c>
      <c r="E22" s="1" t="str">
        <f t="shared" si="7"/>
        <v>NAC_HT_1_GENERAL01</v>
      </c>
      <c r="F22" s="1">
        <f t="shared" si="8"/>
        <v>9</v>
      </c>
      <c r="G22" s="1">
        <f t="shared" ca="1" si="1"/>
        <v>2012</v>
      </c>
      <c r="H22" s="1">
        <f t="shared" ca="1" si="2"/>
        <v>7.6910436445216401</v>
      </c>
      <c r="I22" s="1" t="str">
        <f t="shared" ca="1" si="3"/>
        <v>Instituto de Estadística (IHSI)</v>
      </c>
      <c r="J22" s="1" t="str">
        <f t="shared" ca="1" si="4"/>
        <v>Based on data extrapolation from years 2008-2011. National Accounts methods.  Annual frequency. Includes transport and communication.</v>
      </c>
      <c r="K22" s="1" t="str">
        <f t="shared" ca="1" si="5"/>
        <v>Instituto de Estadística (IHSI)</v>
      </c>
      <c r="L22" s="1" t="str">
        <f t="shared" ca="1" si="6"/>
        <v>Basado en extrapolación de los datos usando los años entre el 2008 y el 2011. Metodología de Cuentas Nacionales. Frecuencia anual. Incluye transporte y comunicaciones.</v>
      </c>
      <c r="M22" s="1">
        <f t="shared" ca="1" si="9"/>
        <v>1</v>
      </c>
      <c r="N22" s="1">
        <f t="shared" ca="1" si="10"/>
        <v>7.6910439999999998</v>
      </c>
      <c r="O22" s="1">
        <f ca="1">RANK(N22,N$9:N$34,$P$2)+COUNTIF(N$9:N22,N22)-1</f>
        <v>6</v>
      </c>
      <c r="P22" s="1">
        <f t="shared" ca="1" si="11"/>
        <v>17</v>
      </c>
      <c r="Q22" s="1">
        <f t="shared" ca="1" si="12"/>
        <v>1</v>
      </c>
      <c r="R22" s="1">
        <f t="shared" ca="1" si="13"/>
        <v>1</v>
      </c>
      <c r="S22" s="22">
        <f t="shared" ca="1" si="14"/>
        <v>14</v>
      </c>
      <c r="T22" s="1" t="str">
        <f t="shared" ca="1" si="15"/>
        <v>MX</v>
      </c>
      <c r="U22" s="1" t="str">
        <f t="shared" ca="1" si="16"/>
        <v>México</v>
      </c>
      <c r="V22" s="1">
        <f t="shared" ca="1" si="17"/>
        <v>2012</v>
      </c>
      <c r="W22" s="1">
        <f t="shared" ca="1" si="18"/>
        <v>5.9218808907268796</v>
      </c>
      <c r="X22" s="11" t="str">
        <f t="shared" ca="1" si="19"/>
        <v>Instituto Nacional de Estadística y Geografía (INEGI)</v>
      </c>
      <c r="Y22" s="1" t="str">
        <f t="shared" ca="1" si="20"/>
        <v>Instituto Nacional de Estadística y Geografía (INEGI)</v>
      </c>
      <c r="Z22" s="1" t="str">
        <f ca="1">CHOOSE(uxbWorks!$B$7,X22,Y22)</f>
        <v>Instituto Nacional de Estadística y Geografía (INEGI)</v>
      </c>
      <c r="AC22" s="1" t="str">
        <f t="shared" ca="1" si="21"/>
        <v>MX</v>
      </c>
      <c r="AD22" s="29">
        <f t="shared" ca="1" si="22"/>
        <v>2</v>
      </c>
      <c r="AF22" s="1" t="str">
        <f t="shared" si="23"/>
        <v>HT</v>
      </c>
      <c r="AG22" s="1">
        <f>IF(A22=uxbWorks!$B$30,4,0)</f>
        <v>0</v>
      </c>
      <c r="AI22" s="1" t="str">
        <f t="shared" ca="1" si="24"/>
        <v>México</v>
      </c>
      <c r="AJ22" s="1">
        <f t="shared" ca="1" si="25"/>
        <v>5.9218808907268796</v>
      </c>
      <c r="AK22" s="1" t="e">
        <f t="shared" ca="1" si="26"/>
        <v>#N/A</v>
      </c>
    </row>
    <row r="23" spans="1:37" ht="12" x14ac:dyDescent="0.25">
      <c r="A23" s="1">
        <v>15</v>
      </c>
      <c r="B23" s="1" t="str">
        <f>tblCountries!B17</f>
        <v>HN</v>
      </c>
      <c r="C23" s="1" t="str">
        <f>tblCountries!C17</f>
        <v>Honduras</v>
      </c>
      <c r="D23" s="1">
        <f>tblCountries!D17</f>
        <v>1</v>
      </c>
      <c r="E23" s="1" t="str">
        <f t="shared" si="7"/>
        <v>NAC_HN_1_GENERAL01</v>
      </c>
      <c r="F23" s="1" t="e">
        <f t="shared" si="8"/>
        <v>#N/A</v>
      </c>
      <c r="G23" s="1" t="e">
        <f t="shared" ca="1" si="1"/>
        <v>#N/A</v>
      </c>
      <c r="H23" s="1" t="e">
        <f t="shared" ca="1" si="2"/>
        <v>#N/A</v>
      </c>
      <c r="I23" s="1" t="e">
        <f t="shared" ca="1" si="3"/>
        <v>#N/A</v>
      </c>
      <c r="J23" s="1" t="e">
        <f t="shared" ca="1" si="4"/>
        <v>#N/A</v>
      </c>
      <c r="K23" s="1" t="e">
        <f t="shared" ca="1" si="5"/>
        <v>#N/A</v>
      </c>
      <c r="L23" s="1" t="e">
        <f t="shared" ca="1" si="6"/>
        <v>#N/A</v>
      </c>
      <c r="M23" s="1">
        <f t="shared" ca="1" si="9"/>
        <v>0</v>
      </c>
      <c r="N23" s="1">
        <f t="shared" ca="1" si="10"/>
        <v>-100000000000</v>
      </c>
      <c r="O23" s="1">
        <f ca="1">RANK(N23,N$9:N$34,$P$2)+COUNTIF(N$9:N23,N23)-1</f>
        <v>26</v>
      </c>
      <c r="P23" s="1">
        <f t="shared" ca="1" si="11"/>
        <v>11</v>
      </c>
      <c r="Q23" s="1">
        <f t="shared" ca="1" si="12"/>
        <v>1</v>
      </c>
      <c r="R23" s="1">
        <f t="shared" ca="1" si="13"/>
        <v>1</v>
      </c>
      <c r="S23" s="22">
        <f t="shared" ca="1" si="14"/>
        <v>15</v>
      </c>
      <c r="T23" s="1" t="str">
        <f t="shared" ca="1" si="15"/>
        <v>SV</v>
      </c>
      <c r="U23" s="1" t="str">
        <f t="shared" ca="1" si="16"/>
        <v>El Salvador</v>
      </c>
      <c r="V23" s="1">
        <f t="shared" ca="1" si="17"/>
        <v>2012</v>
      </c>
      <c r="W23" s="1">
        <f t="shared" ca="1" si="18"/>
        <v>5.6016158710687201</v>
      </c>
      <c r="X23" s="11" t="str">
        <f t="shared" ca="1" si="19"/>
        <v>Banco Central de El Salvador</v>
      </c>
      <c r="Y23" s="1" t="str">
        <f t="shared" ca="1" si="20"/>
        <v>Banco Central de El Salvador</v>
      </c>
      <c r="Z23" s="1" t="str">
        <f ca="1">CHOOSE(uxbWorks!$B$7,X23,Y23)</f>
        <v>Banco Central de El Salvador</v>
      </c>
      <c r="AC23" s="1" t="str">
        <f t="shared" ca="1" si="21"/>
        <v>SV</v>
      </c>
      <c r="AD23" s="29">
        <f t="shared" ca="1" si="22"/>
        <v>2</v>
      </c>
      <c r="AF23" s="1" t="str">
        <f t="shared" si="23"/>
        <v>HN</v>
      </c>
      <c r="AG23" s="1">
        <f>IF(A23=uxbWorks!$B$30,4,0)</f>
        <v>0</v>
      </c>
      <c r="AI23" s="1" t="str">
        <f t="shared" ca="1" si="24"/>
        <v>El Salvador</v>
      </c>
      <c r="AJ23" s="1">
        <f t="shared" ca="1" si="25"/>
        <v>5.6016158710687201</v>
      </c>
      <c r="AK23" s="1" t="e">
        <f t="shared" ca="1" si="26"/>
        <v>#N/A</v>
      </c>
    </row>
    <row r="24" spans="1:37" ht="12" x14ac:dyDescent="0.25">
      <c r="A24" s="1">
        <v>16</v>
      </c>
      <c r="B24" s="1" t="str">
        <f>tblCountries!B18</f>
        <v>JM</v>
      </c>
      <c r="C24" s="1" t="str">
        <f>tblCountries!C18</f>
        <v>Jamaica</v>
      </c>
      <c r="D24" s="1">
        <f>tblCountries!D18</f>
        <v>1</v>
      </c>
      <c r="E24" s="1" t="str">
        <f t="shared" si="7"/>
        <v>NAC_JM_1_GENERAL01</v>
      </c>
      <c r="F24" s="1">
        <f t="shared" si="8"/>
        <v>10</v>
      </c>
      <c r="G24" s="1">
        <f t="shared" ca="1" si="1"/>
        <v>2012</v>
      </c>
      <c r="H24" s="1">
        <f t="shared" ca="1" si="2"/>
        <v>8.0450017908396898</v>
      </c>
      <c r="I24" s="1" t="str">
        <f t="shared" ca="1" si="3"/>
        <v>Instituto Estadístico de Jamaica</v>
      </c>
      <c r="J24" s="1" t="str">
        <f t="shared" ca="1" si="4"/>
        <v>Based on data extrapolation from years 2008-2011. National Accounts methods.  Annual frequency. Includes transport, storage and communication.</v>
      </c>
      <c r="K24" s="1" t="str">
        <f t="shared" ca="1" si="5"/>
        <v>Instituto Estadístico de Jamaica</v>
      </c>
      <c r="L24" s="1" t="str">
        <f t="shared" ca="1" si="6"/>
        <v>Basado en extrapolación de los datos usando los años entre el 2008 y el 2011. Metodología de Cuentas Nacionales. Frecuencia anual. Incluye transporte, almacenamiento y comunicaciones.</v>
      </c>
      <c r="M24" s="1">
        <f t="shared" ca="1" si="9"/>
        <v>1</v>
      </c>
      <c r="N24" s="1">
        <f t="shared" ca="1" si="10"/>
        <v>8.0450020000000002</v>
      </c>
      <c r="O24" s="1">
        <f ca="1">RANK(N24,N$9:N$34,$P$2)+COUNTIF(N$9:N24,N24)-1</f>
        <v>3</v>
      </c>
      <c r="P24" s="1">
        <f t="shared" ca="1" si="11"/>
        <v>24</v>
      </c>
      <c r="Q24" s="1">
        <f t="shared" ca="1" si="12"/>
        <v>1</v>
      </c>
      <c r="R24" s="1">
        <f t="shared" ca="1" si="13"/>
        <v>1</v>
      </c>
      <c r="S24" s="22">
        <f t="shared" ca="1" si="14"/>
        <v>16</v>
      </c>
      <c r="T24" s="1" t="str">
        <f t="shared" ca="1" si="15"/>
        <v>TT</v>
      </c>
      <c r="U24" s="1" t="str">
        <f t="shared" ca="1" si="16"/>
        <v>Trinidad and Tobago</v>
      </c>
      <c r="V24" s="1">
        <f t="shared" ca="1" si="17"/>
        <v>2012</v>
      </c>
      <c r="W24" s="1">
        <f t="shared" ca="1" si="18"/>
        <v>5.3618877032470706</v>
      </c>
      <c r="X24" s="11" t="str">
        <f t="shared" ca="1" si="19"/>
        <v>Oficina Central de Estadísticas</v>
      </c>
      <c r="Y24" s="1" t="str">
        <f t="shared" ca="1" si="20"/>
        <v>Oficina Central de Estadísticas</v>
      </c>
      <c r="Z24" s="1" t="str">
        <f ca="1">CHOOSE(uxbWorks!$B$7,X24,Y24)</f>
        <v>Oficina Central de Estadísticas</v>
      </c>
      <c r="AC24" s="1" t="str">
        <f t="shared" ca="1" si="21"/>
        <v>TT</v>
      </c>
      <c r="AD24" s="29">
        <f t="shared" ca="1" si="22"/>
        <v>2</v>
      </c>
      <c r="AF24" s="1" t="str">
        <f t="shared" si="23"/>
        <v>JM</v>
      </c>
      <c r="AG24" s="1">
        <f>IF(A24=uxbWorks!$B$30,4,0)</f>
        <v>0</v>
      </c>
      <c r="AI24" s="1" t="str">
        <f t="shared" ca="1" si="24"/>
        <v>Trinidad and Tobago</v>
      </c>
      <c r="AJ24" s="1">
        <f t="shared" ca="1" si="25"/>
        <v>5.3618877032470706</v>
      </c>
      <c r="AK24" s="1" t="e">
        <f t="shared" ca="1" si="26"/>
        <v>#N/A</v>
      </c>
    </row>
    <row r="25" spans="1:37" ht="12" x14ac:dyDescent="0.25">
      <c r="A25" s="1">
        <v>17</v>
      </c>
      <c r="B25" s="1" t="str">
        <f>tblCountries!B19</f>
        <v>MX</v>
      </c>
      <c r="C25" s="1" t="str">
        <f>tblCountries!C19</f>
        <v>México</v>
      </c>
      <c r="D25" s="1">
        <f>tblCountries!D19</f>
        <v>1</v>
      </c>
      <c r="E25" s="1" t="str">
        <f t="shared" si="7"/>
        <v>NAC_MX_1_GENERAL01</v>
      </c>
      <c r="F25" s="1">
        <f t="shared" si="8"/>
        <v>22</v>
      </c>
      <c r="G25" s="1">
        <f t="shared" ca="1" si="1"/>
        <v>2012</v>
      </c>
      <c r="H25" s="1">
        <f t="shared" ca="1" si="2"/>
        <v>5.9218808907268796</v>
      </c>
      <c r="I25" s="1" t="str">
        <f t="shared" ca="1" si="3"/>
        <v>Instituto Nacional de Estadística y Geografía (INEGI)</v>
      </c>
      <c r="J25" s="1">
        <f t="shared" ca="1" si="4"/>
        <v>0</v>
      </c>
      <c r="K25" s="1" t="str">
        <f t="shared" ca="1" si="5"/>
        <v>Instituto Nacional de Estadística y Geografía (INEGI)</v>
      </c>
      <c r="L25" s="1">
        <f t="shared" ca="1" si="6"/>
        <v>0</v>
      </c>
      <c r="M25" s="1">
        <f t="shared" ca="1" si="9"/>
        <v>1</v>
      </c>
      <c r="N25" s="1">
        <f t="shared" ca="1" si="10"/>
        <v>5.921881</v>
      </c>
      <c r="O25" s="1">
        <f ca="1">RANK(N25,N$9:N$34,$P$2)+COUNTIF(N$9:N25,N25)-1</f>
        <v>14</v>
      </c>
      <c r="P25" s="1">
        <f t="shared" ca="1" si="11"/>
        <v>10</v>
      </c>
      <c r="Q25" s="1">
        <f t="shared" ca="1" si="12"/>
        <v>1</v>
      </c>
      <c r="R25" s="1">
        <f t="shared" ca="1" si="13"/>
        <v>1</v>
      </c>
      <c r="S25" s="22">
        <f t="shared" ca="1" si="14"/>
        <v>17</v>
      </c>
      <c r="T25" s="1" t="str">
        <f t="shared" ca="1" si="15"/>
        <v>EC</v>
      </c>
      <c r="U25" s="1" t="str">
        <f t="shared" ca="1" si="16"/>
        <v>Ecuador</v>
      </c>
      <c r="V25" s="1">
        <f t="shared" ca="1" si="17"/>
        <v>2012</v>
      </c>
      <c r="W25" s="1">
        <f t="shared" ca="1" si="18"/>
        <v>5.26505148816371</v>
      </c>
      <c r="X25" s="11" t="str">
        <f t="shared" ca="1" si="19"/>
        <v>Banco Central de Ecuador</v>
      </c>
      <c r="Y25" s="1" t="str">
        <f t="shared" ca="1" si="20"/>
        <v>Banco Central de Ecuador</v>
      </c>
      <c r="Z25" s="1" t="str">
        <f ca="1">CHOOSE(uxbWorks!$B$7,X25,Y25)</f>
        <v>Banco Central de Ecuador</v>
      </c>
      <c r="AC25" s="1" t="str">
        <f t="shared" ca="1" si="21"/>
        <v>EC</v>
      </c>
      <c r="AD25" s="29">
        <f t="shared" ca="1" si="22"/>
        <v>2</v>
      </c>
      <c r="AF25" s="1" t="str">
        <f t="shared" si="23"/>
        <v>MX</v>
      </c>
      <c r="AG25" s="1">
        <f>IF(A25=uxbWorks!$B$30,4,0)</f>
        <v>0</v>
      </c>
      <c r="AI25" s="1" t="str">
        <f t="shared" ca="1" si="24"/>
        <v>Ecuador</v>
      </c>
      <c r="AJ25" s="1">
        <f t="shared" ca="1" si="25"/>
        <v>5.26505148816371</v>
      </c>
      <c r="AK25" s="1" t="e">
        <f t="shared" ca="1" si="26"/>
        <v>#N/A</v>
      </c>
    </row>
    <row r="26" spans="1:37" ht="12" x14ac:dyDescent="0.25">
      <c r="A26" s="1">
        <v>18</v>
      </c>
      <c r="B26" s="1" t="str">
        <f>tblCountries!B20</f>
        <v>NI</v>
      </c>
      <c r="C26" s="1" t="str">
        <f>tblCountries!C20</f>
        <v>Nicaragua</v>
      </c>
      <c r="D26" s="1">
        <f>tblCountries!D20</f>
        <v>1</v>
      </c>
      <c r="E26" s="1" t="str">
        <f t="shared" si="7"/>
        <v>NAC_NI_1_GENERAL01</v>
      </c>
      <c r="F26" s="1">
        <f t="shared" si="8"/>
        <v>23</v>
      </c>
      <c r="G26" s="1">
        <f t="shared" ca="1" si="1"/>
        <v>2012</v>
      </c>
      <c r="H26" s="1">
        <f t="shared" ca="1" si="2"/>
        <v>5</v>
      </c>
      <c r="I26" s="1" t="str">
        <f t="shared" ca="1" si="3"/>
        <v>Banco Interamericano de Desarrollo. 2014. Logística de cargas en Mesoamérica (de próxima publicación)</v>
      </c>
      <c r="J26" s="1" t="str">
        <f t="shared" ca="1" si="4"/>
        <v>Based on data extrapolation from years 2008-2011.</v>
      </c>
      <c r="K26" s="1" t="str">
        <f t="shared" ca="1" si="5"/>
        <v>Banco Interamericano de Desarrollo. 2014. Logística de cargas en Mesoamérica (de próxima publicación)</v>
      </c>
      <c r="L26" s="1" t="str">
        <f t="shared" ca="1" si="6"/>
        <v>Basado en extrapolación de los datos usando los años entre el 2008 y el 2011.</v>
      </c>
      <c r="M26" s="1">
        <f t="shared" ca="1" si="9"/>
        <v>1</v>
      </c>
      <c r="N26" s="1">
        <f t="shared" ca="1" si="10"/>
        <v>5</v>
      </c>
      <c r="O26" s="1">
        <f ca="1">RANK(N26,N$9:N$34,$P$2)+COUNTIF(N$9:N26,N26)-1</f>
        <v>18</v>
      </c>
      <c r="P26" s="1">
        <f t="shared" ca="1" si="11"/>
        <v>18</v>
      </c>
      <c r="Q26" s="1">
        <f t="shared" ca="1" si="12"/>
        <v>1</v>
      </c>
      <c r="R26" s="1">
        <f t="shared" ca="1" si="13"/>
        <v>1</v>
      </c>
      <c r="S26" s="22">
        <f t="shared" ca="1" si="14"/>
        <v>18</v>
      </c>
      <c r="T26" s="1" t="str">
        <f t="shared" ca="1" si="15"/>
        <v>NI</v>
      </c>
      <c r="U26" s="1" t="str">
        <f t="shared" ca="1" si="16"/>
        <v>Nicaragua</v>
      </c>
      <c r="V26" s="1">
        <f t="shared" ca="1" si="17"/>
        <v>2012</v>
      </c>
      <c r="W26" s="1">
        <f t="shared" ca="1" si="18"/>
        <v>5</v>
      </c>
      <c r="X26" s="11" t="str">
        <f t="shared" ca="1" si="19"/>
        <v>Banco Interamericano de Desarrollo. 2014. Logística de cargas en Mesoamérica (de próxima publicación)</v>
      </c>
      <c r="Y26" s="1" t="str">
        <f t="shared" ca="1" si="20"/>
        <v>Banco Interamericano de Desarrollo. 2014. Logística de cargas en Mesoamérica (de próxima publicación)</v>
      </c>
      <c r="Z26" s="1" t="str">
        <f ca="1">CHOOSE(uxbWorks!$B$7,X26,Y26)</f>
        <v>Banco Interamericano de Desarrollo. 2014. Logística de cargas en Mesoamérica (de próxima publicación)</v>
      </c>
      <c r="AC26" s="1" t="str">
        <f t="shared" ca="1" si="21"/>
        <v>NI</v>
      </c>
      <c r="AD26" s="29">
        <f t="shared" ca="1" si="22"/>
        <v>2</v>
      </c>
      <c r="AF26" s="1" t="str">
        <f t="shared" si="23"/>
        <v>NI</v>
      </c>
      <c r="AG26" s="1">
        <f>IF(A26=uxbWorks!$B$30,4,0)</f>
        <v>0</v>
      </c>
      <c r="AI26" s="1" t="str">
        <f t="shared" ca="1" si="24"/>
        <v>Nicaragua</v>
      </c>
      <c r="AJ26" s="1">
        <f t="shared" ca="1" si="25"/>
        <v>5</v>
      </c>
      <c r="AK26" s="1" t="e">
        <f t="shared" ca="1" si="26"/>
        <v>#N/A</v>
      </c>
    </row>
    <row r="27" spans="1:37" ht="12" x14ac:dyDescent="0.25">
      <c r="A27" s="1">
        <v>19</v>
      </c>
      <c r="B27" s="1" t="str">
        <f>tblCountries!B21</f>
        <v>PA</v>
      </c>
      <c r="C27" s="1" t="str">
        <f>tblCountries!C21</f>
        <v>Panamá</v>
      </c>
      <c r="D27" s="1">
        <f>tblCountries!D21</f>
        <v>1</v>
      </c>
      <c r="E27" s="1" t="str">
        <f t="shared" si="7"/>
        <v>NAC_PA_1_GENERAL01</v>
      </c>
      <c r="F27" s="1">
        <f t="shared" si="8"/>
        <v>24</v>
      </c>
      <c r="G27" s="1">
        <f t="shared" ca="1" si="1"/>
        <v>2012</v>
      </c>
      <c r="H27" s="1">
        <f t="shared" ca="1" si="2"/>
        <v>17.599999999999998</v>
      </c>
      <c r="I27" s="1" t="str">
        <f t="shared" ca="1" si="3"/>
        <v>Banco Interamericano de Desarrollo. 2014. Logística de cargas en Mesoamérica (de próxima publicación)</v>
      </c>
      <c r="J27" s="1" t="str">
        <f t="shared" ca="1" si="4"/>
        <v>Based on data extrapolation from years 2008-2011.</v>
      </c>
      <c r="K27" s="1" t="str">
        <f t="shared" ca="1" si="5"/>
        <v>Banco Interamericano de Desarrollo. 2014. Logística de cargas en Mesoamérica (de próxima publicación)</v>
      </c>
      <c r="L27" s="1" t="str">
        <f t="shared" ca="1" si="6"/>
        <v>Basado en extrapolación de los datos usando los años entre el 2008 y el 2011.</v>
      </c>
      <c r="M27" s="1">
        <f t="shared" ca="1" si="9"/>
        <v>1</v>
      </c>
      <c r="N27" s="1">
        <f t="shared" ca="1" si="10"/>
        <v>17.600000000000001</v>
      </c>
      <c r="O27" s="1">
        <f ca="1">RANK(N27,N$9:N$34,$P$2)+COUNTIF(N$9:N27,N27)-1</f>
        <v>1</v>
      </c>
      <c r="P27" s="1">
        <f t="shared" ca="1" si="11"/>
        <v>6</v>
      </c>
      <c r="Q27" s="1">
        <f t="shared" ca="1" si="12"/>
        <v>1</v>
      </c>
      <c r="R27" s="1">
        <f t="shared" ca="1" si="13"/>
        <v>1</v>
      </c>
      <c r="S27" s="22">
        <f t="shared" ca="1" si="14"/>
        <v>19</v>
      </c>
      <c r="T27" s="1" t="str">
        <f t="shared" ca="1" si="15"/>
        <v>BR</v>
      </c>
      <c r="U27" s="1" t="str">
        <f t="shared" ca="1" si="16"/>
        <v>Brasil</v>
      </c>
      <c r="V27" s="1">
        <f t="shared" ca="1" si="17"/>
        <v>2012</v>
      </c>
      <c r="W27" s="1">
        <f t="shared" ca="1" si="18"/>
        <v>4.5281547327290106</v>
      </c>
      <c r="X27" s="11" t="str">
        <f t="shared" ca="1" si="19"/>
        <v>Instituto Brasilero de Geografía y Estadística (IBGE)</v>
      </c>
      <c r="Y27" s="1" t="str">
        <f t="shared" ca="1" si="20"/>
        <v>Instituto Brasilero de Geografía y Estadística (IBGE)</v>
      </c>
      <c r="Z27" s="1" t="str">
        <f ca="1">CHOOSE(uxbWorks!$B$7,X27,Y27)</f>
        <v>Instituto Brasilero de Geografía y Estadística (IBGE)</v>
      </c>
      <c r="AC27" s="1" t="str">
        <f t="shared" ca="1" si="21"/>
        <v>BR</v>
      </c>
      <c r="AD27" s="29">
        <f t="shared" ca="1" si="22"/>
        <v>2</v>
      </c>
      <c r="AF27" s="1" t="str">
        <f t="shared" si="23"/>
        <v>PA</v>
      </c>
      <c r="AG27" s="1">
        <f>IF(A27=uxbWorks!$B$30,4,0)</f>
        <v>0</v>
      </c>
      <c r="AI27" s="1" t="str">
        <f t="shared" ca="1" si="24"/>
        <v>Brasil</v>
      </c>
      <c r="AJ27" s="1">
        <f t="shared" ca="1" si="25"/>
        <v>4.5281547327290106</v>
      </c>
      <c r="AK27" s="1" t="e">
        <f t="shared" ca="1" si="26"/>
        <v>#N/A</v>
      </c>
    </row>
    <row r="28" spans="1:37" ht="12" x14ac:dyDescent="0.25">
      <c r="A28" s="1">
        <v>20</v>
      </c>
      <c r="B28" s="1" t="str">
        <f>tblCountries!B22</f>
        <v>PY</v>
      </c>
      <c r="C28" s="1" t="str">
        <f>tblCountries!C22</f>
        <v>Paraguay</v>
      </c>
      <c r="D28" s="1">
        <f>tblCountries!D22</f>
        <v>1</v>
      </c>
      <c r="E28" s="1" t="str">
        <f t="shared" si="7"/>
        <v>NAC_PY_1_GENERAL01</v>
      </c>
      <c r="F28" s="1">
        <f t="shared" si="8"/>
        <v>12</v>
      </c>
      <c r="G28" s="1">
        <f t="shared" ca="1" si="1"/>
        <v>2012</v>
      </c>
      <c r="H28" s="1">
        <f t="shared" ca="1" si="2"/>
        <v>2.4994499559909897</v>
      </c>
      <c r="I28" s="1" t="str">
        <f t="shared" ca="1" si="3"/>
        <v>Banco Central de Paraguay</v>
      </c>
      <c r="J28" s="1" t="str">
        <f t="shared" ca="1" si="4"/>
        <v>Based on data extrapolation from years 2008-2011. National Accounts methods.  Annual frequency. Includes transport.</v>
      </c>
      <c r="K28" s="1" t="str">
        <f t="shared" ca="1" si="5"/>
        <v>Banco Central de Paraguay</v>
      </c>
      <c r="L28" s="1" t="str">
        <f t="shared" ca="1" si="6"/>
        <v>Basado en extrapolación de los datos usando los años entre el 2008 y el 2011. Metodología de Cuentas Nacionales. Frecuencia anual. Incluye transporte.</v>
      </c>
      <c r="M28" s="1">
        <f t="shared" ca="1" si="9"/>
        <v>1</v>
      </c>
      <c r="N28" s="1">
        <f t="shared" ca="1" si="10"/>
        <v>2.4994499999999999</v>
      </c>
      <c r="O28" s="1">
        <f ca="1">RANK(N28,N$9:N$34,$P$2)+COUNTIF(N$9:N28,N28)-1</f>
        <v>25</v>
      </c>
      <c r="P28" s="1">
        <f t="shared" ca="1" si="11"/>
        <v>25</v>
      </c>
      <c r="Q28" s="1">
        <f t="shared" ca="1" si="12"/>
        <v>1</v>
      </c>
      <c r="R28" s="1">
        <f t="shared" ca="1" si="13"/>
        <v>1</v>
      </c>
      <c r="S28" s="22">
        <f t="shared" ca="1" si="14"/>
        <v>20</v>
      </c>
      <c r="T28" s="1" t="str">
        <f t="shared" ca="1" si="15"/>
        <v>UY</v>
      </c>
      <c r="U28" s="1" t="str">
        <f t="shared" ca="1" si="16"/>
        <v>Uruguay</v>
      </c>
      <c r="V28" s="1">
        <f t="shared" ca="1" si="17"/>
        <v>2012</v>
      </c>
      <c r="W28" s="1">
        <f t="shared" ca="1" si="18"/>
        <v>4.3444985270182999</v>
      </c>
      <c r="X28" s="11" t="str">
        <f t="shared" ca="1" si="19"/>
        <v>Banco Central de Uruguay</v>
      </c>
      <c r="Y28" s="1" t="str">
        <f t="shared" ca="1" si="20"/>
        <v>Banco Central de Uruguay</v>
      </c>
      <c r="Z28" s="1" t="str">
        <f ca="1">CHOOSE(uxbWorks!$B$7,X28,Y28)</f>
        <v>Banco Central de Uruguay</v>
      </c>
      <c r="AC28" s="1" t="str">
        <f t="shared" ca="1" si="21"/>
        <v>UY</v>
      </c>
      <c r="AD28" s="29">
        <f t="shared" ca="1" si="22"/>
        <v>1</v>
      </c>
      <c r="AF28" s="1" t="str">
        <f t="shared" si="23"/>
        <v>PY</v>
      </c>
      <c r="AG28" s="1">
        <f>IF(A28=uxbWorks!$B$30,4,0)</f>
        <v>0</v>
      </c>
      <c r="AI28" s="1" t="str">
        <f t="shared" ca="1" si="24"/>
        <v>Uruguay</v>
      </c>
      <c r="AJ28" s="1">
        <f t="shared" ca="1" si="25"/>
        <v>4.3444985270182999</v>
      </c>
      <c r="AK28" s="1" t="e">
        <f t="shared" ca="1" si="26"/>
        <v>#N/A</v>
      </c>
    </row>
    <row r="29" spans="1:37" ht="12" x14ac:dyDescent="0.25">
      <c r="A29" s="1">
        <v>21</v>
      </c>
      <c r="B29" s="1" t="str">
        <f>tblCountries!B23</f>
        <v>PE</v>
      </c>
      <c r="C29" s="1" t="str">
        <f>tblCountries!C23</f>
        <v>Peru</v>
      </c>
      <c r="D29" s="1">
        <f>tblCountries!D23</f>
        <v>1</v>
      </c>
      <c r="E29" s="1" t="str">
        <f t="shared" si="7"/>
        <v>NAC_PE_1_GENERAL01</v>
      </c>
      <c r="F29" s="1">
        <f t="shared" si="8"/>
        <v>11</v>
      </c>
      <c r="G29" s="1">
        <f t="shared" ca="1" si="1"/>
        <v>2012</v>
      </c>
      <c r="H29" s="1">
        <f t="shared" ca="1" si="2"/>
        <v>6.9662940495960699</v>
      </c>
      <c r="I29" s="1" t="str">
        <f t="shared" ca="1" si="3"/>
        <v>Instituto Nacional de Estadística e Informática (INEI)</v>
      </c>
      <c r="J29" s="1" t="str">
        <f t="shared" ca="1" si="4"/>
        <v>Based on data extrapolation from years 2008-2011. National Accounts methods.  Annual frequency. Includes transport and storage.</v>
      </c>
      <c r="K29" s="1" t="str">
        <f t="shared" ca="1" si="5"/>
        <v>Instituto Nacional de Estadística e Informática (INEI)</v>
      </c>
      <c r="L29" s="1" t="str">
        <f t="shared" ca="1" si="6"/>
        <v>Basado en extrapolación de los datos usando los años entre el 2008 y el 2011. Metodología de Cuentas Nacionales. Frecuencia anual. Incluye transporte y almacenamiento.</v>
      </c>
      <c r="M29" s="1">
        <f t="shared" ca="1" si="9"/>
        <v>1</v>
      </c>
      <c r="N29" s="1">
        <f t="shared" ca="1" si="10"/>
        <v>6.9662940000000004</v>
      </c>
      <c r="O29" s="1">
        <f ca="1">RANK(N29,N$9:N$34,$P$2)+COUNTIF(N$9:N29,N29)-1</f>
        <v>8</v>
      </c>
      <c r="P29" s="1">
        <f t="shared" ca="1" si="11"/>
        <v>7</v>
      </c>
      <c r="Q29" s="1">
        <f t="shared" ca="1" si="12"/>
        <v>1</v>
      </c>
      <c r="R29" s="1">
        <f t="shared" ca="1" si="13"/>
        <v>1</v>
      </c>
      <c r="S29" s="22">
        <f t="shared" ca="1" si="14"/>
        <v>21</v>
      </c>
      <c r="T29" s="1" t="str">
        <f t="shared" ca="1" si="15"/>
        <v>CL</v>
      </c>
      <c r="U29" s="1" t="str">
        <f t="shared" ca="1" si="16"/>
        <v>Chile</v>
      </c>
      <c r="V29" s="1">
        <f t="shared" ca="1" si="17"/>
        <v>2012</v>
      </c>
      <c r="W29" s="1">
        <f t="shared" ca="1" si="18"/>
        <v>4.01</v>
      </c>
      <c r="X29" s="11" t="str">
        <f t="shared" ca="1" si="19"/>
        <v>Banco Central de Chile</v>
      </c>
      <c r="Y29" s="1" t="str">
        <f t="shared" ca="1" si="20"/>
        <v>Banco Central de Chile</v>
      </c>
      <c r="Z29" s="1" t="str">
        <f ca="1">CHOOSE(uxbWorks!$B$7,X29,Y29)</f>
        <v>Banco Central de Chile</v>
      </c>
      <c r="AC29" s="1" t="str">
        <f t="shared" ca="1" si="21"/>
        <v>CL</v>
      </c>
      <c r="AD29" s="29">
        <f t="shared" ca="1" si="22"/>
        <v>1</v>
      </c>
      <c r="AF29" s="1" t="str">
        <f t="shared" si="23"/>
        <v>PE</v>
      </c>
      <c r="AG29" s="1">
        <f>IF(A29=uxbWorks!$B$30,4,0)</f>
        <v>0</v>
      </c>
      <c r="AI29" s="1" t="str">
        <f t="shared" ca="1" si="24"/>
        <v>Chile</v>
      </c>
      <c r="AJ29" s="1">
        <f t="shared" ca="1" si="25"/>
        <v>4.01</v>
      </c>
      <c r="AK29" s="1" t="e">
        <f t="shared" ca="1" si="26"/>
        <v>#N/A</v>
      </c>
    </row>
    <row r="30" spans="1:37" ht="12" x14ac:dyDescent="0.25">
      <c r="A30" s="1">
        <v>22</v>
      </c>
      <c r="B30" s="1" t="str">
        <f>tblCountries!B24</f>
        <v>DO</v>
      </c>
      <c r="C30" s="1" t="str">
        <f>tblCountries!C24</f>
        <v>Dominican Republic</v>
      </c>
      <c r="D30" s="1">
        <f>tblCountries!D24</f>
        <v>1</v>
      </c>
      <c r="E30" s="1" t="str">
        <f t="shared" si="7"/>
        <v>NAC_DO_1_GENERAL01</v>
      </c>
      <c r="F30" s="1">
        <f t="shared" si="8"/>
        <v>25</v>
      </c>
      <c r="G30" s="1">
        <f t="shared" ca="1" si="1"/>
        <v>2012</v>
      </c>
      <c r="H30" s="1">
        <f t="shared" ca="1" si="2"/>
        <v>8.4378989177878498</v>
      </c>
      <c r="I30" s="1" t="str">
        <f t="shared" ca="1" si="3"/>
        <v>Banco Central de la República Dominicana</v>
      </c>
      <c r="J30" s="1">
        <f t="shared" ca="1" si="4"/>
        <v>0</v>
      </c>
      <c r="K30" s="1" t="str">
        <f t="shared" ca="1" si="5"/>
        <v>Banco Central de la República Dominicana</v>
      </c>
      <c r="L30" s="1">
        <f t="shared" ca="1" si="6"/>
        <v>0</v>
      </c>
      <c r="M30" s="1">
        <f t="shared" ca="1" si="9"/>
        <v>1</v>
      </c>
      <c r="N30" s="1">
        <f t="shared" ca="1" si="10"/>
        <v>8.4378989999999998</v>
      </c>
      <c r="O30" s="1">
        <f ca="1">RANK(N30,N$9:N$34,$P$2)+COUNTIF(N$9:N30,N30)-1</f>
        <v>2</v>
      </c>
      <c r="P30" s="1">
        <f t="shared" ca="1" si="11"/>
        <v>2</v>
      </c>
      <c r="Q30" s="1">
        <f t="shared" ca="1" si="12"/>
        <v>1</v>
      </c>
      <c r="R30" s="1">
        <f t="shared" ca="1" si="13"/>
        <v>1</v>
      </c>
      <c r="S30" s="22">
        <f t="shared" ca="1" si="14"/>
        <v>22</v>
      </c>
      <c r="T30" s="1" t="str">
        <f t="shared" ca="1" si="15"/>
        <v>BS</v>
      </c>
      <c r="U30" s="1" t="str">
        <f t="shared" ca="1" si="16"/>
        <v>Bahamas</v>
      </c>
      <c r="V30" s="1">
        <f t="shared" ca="1" si="17"/>
        <v>2012</v>
      </c>
      <c r="W30" s="1">
        <f t="shared" ca="1" si="18"/>
        <v>3.91327578192378</v>
      </c>
      <c r="X30" s="11" t="str">
        <f t="shared" ca="1" si="19"/>
        <v>Instituto Estadístico de Bahamas</v>
      </c>
      <c r="Y30" s="1" t="str">
        <f t="shared" ca="1" si="20"/>
        <v>Instituto Estadístico de Bahamas</v>
      </c>
      <c r="Z30" s="1" t="str">
        <f ca="1">CHOOSE(uxbWorks!$B$7,X30,Y30)</f>
        <v>Instituto Estadístico de Bahamas</v>
      </c>
      <c r="AC30" s="1" t="str">
        <f t="shared" ca="1" si="21"/>
        <v>BS</v>
      </c>
      <c r="AD30" s="29">
        <f t="shared" ca="1" si="22"/>
        <v>1</v>
      </c>
      <c r="AF30" s="1" t="str">
        <f t="shared" si="23"/>
        <v>DO</v>
      </c>
      <c r="AG30" s="1">
        <f>IF(A30=uxbWorks!$B$30,4,0)</f>
        <v>0</v>
      </c>
      <c r="AI30" s="1" t="str">
        <f t="shared" ca="1" si="24"/>
        <v>Bahamas</v>
      </c>
      <c r="AJ30" s="1">
        <f t="shared" ca="1" si="25"/>
        <v>3.91327578192378</v>
      </c>
      <c r="AK30" s="1" t="e">
        <f t="shared" ca="1" si="26"/>
        <v>#N/A</v>
      </c>
    </row>
    <row r="31" spans="1:37" ht="12" x14ac:dyDescent="0.25">
      <c r="A31" s="1">
        <v>23</v>
      </c>
      <c r="B31" s="1" t="str">
        <f>tblCountries!B25</f>
        <v>SR</v>
      </c>
      <c r="C31" s="1" t="str">
        <f>tblCountries!C25</f>
        <v>Suriname</v>
      </c>
      <c r="D31" s="1">
        <f>tblCountries!D25</f>
        <v>1</v>
      </c>
      <c r="E31" s="1" t="str">
        <f t="shared" si="7"/>
        <v>NAC_SR_1_GENERAL01</v>
      </c>
      <c r="F31" s="1">
        <f t="shared" si="8"/>
        <v>13</v>
      </c>
      <c r="G31" s="1">
        <f t="shared" ca="1" si="1"/>
        <v>2012</v>
      </c>
      <c r="H31" s="1">
        <f t="shared" ca="1" si="2"/>
        <v>6.0552171063273095</v>
      </c>
      <c r="I31" s="1" t="str">
        <f t="shared" ca="1" si="3"/>
        <v>Departamento de Estadísticas de Surinam (ABS)</v>
      </c>
      <c r="J31" s="1" t="str">
        <f t="shared" ca="1" si="4"/>
        <v>Based on data extrapolation from years 2008-2011. National Accounts methods.  Annual frequency. ISIC I.</v>
      </c>
      <c r="K31" s="1" t="str">
        <f t="shared" ca="1" si="5"/>
        <v>Departamento de Estadísticas de Surinam (ABS)</v>
      </c>
      <c r="L31" s="1" t="str">
        <f t="shared" ca="1" si="6"/>
        <v>Basado en extrapolación de los datos usando los años entre el 2008 y el 2011. Metodología de Cuentas Nacionales. Frecuencia anual. ISIC I.</v>
      </c>
      <c r="M31" s="1">
        <f t="shared" ca="1" si="9"/>
        <v>1</v>
      </c>
      <c r="N31" s="1">
        <f t="shared" ca="1" si="10"/>
        <v>6.0552169999999998</v>
      </c>
      <c r="O31" s="1">
        <f ca="1">RANK(N31,N$9:N$34,$P$2)+COUNTIF(N$9:N31,N31)-1</f>
        <v>13</v>
      </c>
      <c r="P31" s="1">
        <f t="shared" ca="1" si="11"/>
        <v>4</v>
      </c>
      <c r="Q31" s="1">
        <f t="shared" ca="1" si="12"/>
        <v>1</v>
      </c>
      <c r="R31" s="1">
        <f t="shared" ca="1" si="13"/>
        <v>1</v>
      </c>
      <c r="S31" s="22">
        <f t="shared" ca="1" si="14"/>
        <v>23</v>
      </c>
      <c r="T31" s="1" t="str">
        <f t="shared" ca="1" si="15"/>
        <v>BZ</v>
      </c>
      <c r="U31" s="1" t="str">
        <f t="shared" ca="1" si="16"/>
        <v>Belize</v>
      </c>
      <c r="V31" s="1">
        <f t="shared" ca="1" si="17"/>
        <v>2012</v>
      </c>
      <c r="W31" s="1">
        <f t="shared" ca="1" si="18"/>
        <v>3.6146611585719599</v>
      </c>
      <c r="X31" s="11" t="str">
        <f t="shared" ca="1" si="19"/>
        <v>Banco Interamericano de Desarrollo. 2014. Logística de cargas en Mesoamérica (de próxima publicación)</v>
      </c>
      <c r="Y31" s="1" t="str">
        <f t="shared" ca="1" si="20"/>
        <v>Banco Interamericano de Desarrollo. 2014. Logística de cargas en Mesoamérica (de próxima publicación)</v>
      </c>
      <c r="Z31" s="1" t="str">
        <f ca="1">CHOOSE(uxbWorks!$B$7,X31,Y31)</f>
        <v>Banco Interamericano de Desarrollo. 2014. Logística de cargas en Mesoamérica (de próxima publicación)</v>
      </c>
      <c r="AC31" s="1" t="str">
        <f t="shared" ca="1" si="21"/>
        <v>BZ</v>
      </c>
      <c r="AD31" s="29">
        <f t="shared" ca="1" si="22"/>
        <v>1</v>
      </c>
      <c r="AF31" s="1" t="str">
        <f t="shared" si="23"/>
        <v>SR</v>
      </c>
      <c r="AG31" s="1">
        <f>IF(A31=uxbWorks!$B$30,4,0)</f>
        <v>0</v>
      </c>
      <c r="AI31" s="1" t="str">
        <f t="shared" ca="1" si="24"/>
        <v>Belize</v>
      </c>
      <c r="AJ31" s="1">
        <f t="shared" ca="1" si="25"/>
        <v>3.6146611585719599</v>
      </c>
      <c r="AK31" s="1" t="e">
        <f t="shared" ca="1" si="26"/>
        <v>#N/A</v>
      </c>
    </row>
    <row r="32" spans="1:37" ht="12" x14ac:dyDescent="0.2">
      <c r="A32" s="1">
        <v>24</v>
      </c>
      <c r="B32" s="1" t="str">
        <f>tblCountries!B26</f>
        <v>TT</v>
      </c>
      <c r="C32" s="1" t="str">
        <f>tblCountries!C26</f>
        <v>Trinidad and Tobago</v>
      </c>
      <c r="D32" s="1">
        <f>tblCountries!D26</f>
        <v>1</v>
      </c>
      <c r="E32" s="1" t="str">
        <f t="shared" si="7"/>
        <v>NAC_TT_1_GENERAL01</v>
      </c>
      <c r="F32" s="1">
        <f t="shared" si="8"/>
        <v>14</v>
      </c>
      <c r="G32" s="1">
        <f t="shared" ca="1" si="1"/>
        <v>2012</v>
      </c>
      <c r="H32" s="1">
        <f t="shared" ca="1" si="2"/>
        <v>5.3618877032470706</v>
      </c>
      <c r="I32" s="1" t="str">
        <f t="shared" ca="1" si="3"/>
        <v>Oficina Central de Estadísticas</v>
      </c>
      <c r="J32" s="1" t="str">
        <f t="shared" ca="1" si="4"/>
        <v>National Accounts methods.  Annual frequency.</v>
      </c>
      <c r="K32" s="1" t="str">
        <f t="shared" ca="1" si="5"/>
        <v>Oficina Central de Estadísticas</v>
      </c>
      <c r="L32" s="1" t="str">
        <f t="shared" ca="1" si="6"/>
        <v>Metodología de Cuentas Nacionales. Frecuencia anual.</v>
      </c>
      <c r="M32" s="1">
        <f t="shared" ca="1" si="9"/>
        <v>1</v>
      </c>
      <c r="N32" s="1">
        <f t="shared" ca="1" si="10"/>
        <v>5.3618880000000004</v>
      </c>
      <c r="O32" s="1">
        <f ca="1">RANK(N32,N$9:N$34,$P$2)+COUNTIF(N$9:N32,N32)-1</f>
        <v>16</v>
      </c>
      <c r="P32" s="1">
        <f t="shared" ca="1" si="11"/>
        <v>26</v>
      </c>
      <c r="Q32" s="1">
        <f t="shared" ca="1" si="12"/>
        <v>1</v>
      </c>
      <c r="R32" s="1">
        <f t="shared" ca="1" si="13"/>
        <v>1</v>
      </c>
      <c r="S32" s="22">
        <f t="shared" ca="1" si="14"/>
        <v>24</v>
      </c>
      <c r="T32" s="1" t="str">
        <f t="shared" ca="1" si="15"/>
        <v>VE</v>
      </c>
      <c r="U32" s="1" t="str">
        <f t="shared" ca="1" si="16"/>
        <v>Venezuela</v>
      </c>
      <c r="V32" s="1">
        <f t="shared" ca="1" si="17"/>
        <v>2012</v>
      </c>
      <c r="W32" s="1">
        <f t="shared" ca="1" si="18"/>
        <v>3.5627437840933798</v>
      </c>
      <c r="X32" s="11" t="str">
        <f t="shared" ca="1" si="19"/>
        <v>Banco Central de Venezuela (BCV)</v>
      </c>
      <c r="Y32" s="1" t="str">
        <f t="shared" ca="1" si="20"/>
        <v>Banco Central de Venezuela (BCV)</v>
      </c>
      <c r="Z32" s="1" t="str">
        <f ca="1">CHOOSE(uxbWorks!$B$7,X32,Y32)</f>
        <v>Banco Central de Venezuela (BCV)</v>
      </c>
      <c r="AC32" s="1" t="str">
        <f t="shared" ca="1" si="21"/>
        <v>VE</v>
      </c>
      <c r="AD32" s="29">
        <f t="shared" ca="1" si="22"/>
        <v>1</v>
      </c>
      <c r="AF32" s="1" t="str">
        <f t="shared" si="23"/>
        <v>TT</v>
      </c>
      <c r="AG32" s="1">
        <f>IF(A32=uxbWorks!$B$30,4,0)</f>
        <v>0</v>
      </c>
      <c r="AI32" s="1" t="str">
        <f t="shared" ca="1" si="24"/>
        <v>Venezuela</v>
      </c>
      <c r="AJ32" s="1">
        <f t="shared" ca="1" si="25"/>
        <v>3.5627437840933798</v>
      </c>
      <c r="AK32" s="1" t="e">
        <f t="shared" ca="1" si="26"/>
        <v>#N/A</v>
      </c>
    </row>
    <row r="33" spans="1:37" ht="12" x14ac:dyDescent="0.2">
      <c r="A33" s="1">
        <v>25</v>
      </c>
      <c r="B33" s="1" t="str">
        <f>tblCountries!B27</f>
        <v>UY</v>
      </c>
      <c r="C33" s="1" t="str">
        <f>tblCountries!C27</f>
        <v>Uruguay</v>
      </c>
      <c r="D33" s="1">
        <f>tblCountries!D27</f>
        <v>1</v>
      </c>
      <c r="E33" s="1" t="str">
        <f t="shared" si="7"/>
        <v>NAC_UY_1_GENERAL01</v>
      </c>
      <c r="F33" s="1">
        <f t="shared" si="8"/>
        <v>15</v>
      </c>
      <c r="G33" s="1">
        <f t="shared" ca="1" si="1"/>
        <v>2012</v>
      </c>
      <c r="H33" s="1">
        <f t="shared" ca="1" si="2"/>
        <v>4.3444985270182999</v>
      </c>
      <c r="I33" s="1" t="str">
        <f t="shared" ca="1" si="3"/>
        <v>Banco Central de Uruguay</v>
      </c>
      <c r="J33" s="1" t="str">
        <f t="shared" ca="1" si="4"/>
        <v>National Accounts methods.  Annual frequency. Includes Transport and Storage.</v>
      </c>
      <c r="K33" s="1" t="str">
        <f t="shared" ca="1" si="5"/>
        <v>Banco Central de Uruguay</v>
      </c>
      <c r="L33" s="1" t="str">
        <f t="shared" ca="1" si="6"/>
        <v>Metodología de Cuentas Nacionales. Frecuencia anual. Incluye transporte y almacenamiento.</v>
      </c>
      <c r="M33" s="1">
        <f t="shared" ca="1" si="9"/>
        <v>1</v>
      </c>
      <c r="N33" s="1">
        <f t="shared" ca="1" si="10"/>
        <v>4.3444989999999999</v>
      </c>
      <c r="O33" s="1">
        <f ca="1">RANK(N33,N$9:N$34,$P$2)+COUNTIF(N$9:N33,N33)-1</f>
        <v>20</v>
      </c>
      <c r="P33" s="1">
        <f t="shared" ca="1" si="11"/>
        <v>20</v>
      </c>
      <c r="Q33" s="1">
        <f t="shared" ca="1" si="12"/>
        <v>1</v>
      </c>
      <c r="R33" s="1">
        <f t="shared" ca="1" si="13"/>
        <v>1</v>
      </c>
      <c r="S33" s="22">
        <f t="shared" ca="1" si="14"/>
        <v>25</v>
      </c>
      <c r="T33" s="1" t="str">
        <f t="shared" ca="1" si="15"/>
        <v>PY</v>
      </c>
      <c r="U33" s="1" t="str">
        <f t="shared" ca="1" si="16"/>
        <v>Paraguay</v>
      </c>
      <c r="V33" s="1">
        <f t="shared" ca="1" si="17"/>
        <v>2012</v>
      </c>
      <c r="W33" s="1">
        <f t="shared" ca="1" si="18"/>
        <v>2.4994499559909897</v>
      </c>
      <c r="X33" s="11" t="str">
        <f t="shared" ca="1" si="19"/>
        <v>Banco Central de Paraguay</v>
      </c>
      <c r="Y33" s="1" t="str">
        <f t="shared" ca="1" si="20"/>
        <v>Banco Central de Paraguay</v>
      </c>
      <c r="Z33" s="1" t="str">
        <f ca="1">CHOOSE(uxbWorks!$B$7,X33,Y33)</f>
        <v>Banco Central de Paraguay</v>
      </c>
      <c r="AC33" s="1" t="str">
        <f t="shared" ca="1" si="21"/>
        <v>PY</v>
      </c>
      <c r="AD33" s="29">
        <f t="shared" ca="1" si="22"/>
        <v>1</v>
      </c>
      <c r="AF33" s="1" t="str">
        <f t="shared" si="23"/>
        <v>UY</v>
      </c>
      <c r="AG33" s="1">
        <f>IF(A33=uxbWorks!$B$30,4,0)</f>
        <v>0</v>
      </c>
      <c r="AI33" s="1" t="str">
        <f t="shared" ca="1" si="24"/>
        <v>Paraguay</v>
      </c>
      <c r="AJ33" s="1">
        <f t="shared" ca="1" si="25"/>
        <v>2.4994499559909897</v>
      </c>
      <c r="AK33" s="1" t="e">
        <f t="shared" ca="1" si="26"/>
        <v>#N/A</v>
      </c>
    </row>
    <row r="34" spans="1:37" ht="12" x14ac:dyDescent="0.2">
      <c r="A34" s="1">
        <v>26</v>
      </c>
      <c r="B34" s="1" t="str">
        <f>tblCountries!B28</f>
        <v>VE</v>
      </c>
      <c r="C34" s="1" t="str">
        <f>tblCountries!C28</f>
        <v>Venezuela</v>
      </c>
      <c r="D34" s="1">
        <f>tblCountries!D28</f>
        <v>1</v>
      </c>
      <c r="E34" s="1" t="str">
        <f t="shared" si="7"/>
        <v>NAC_VE_1_GENERAL01</v>
      </c>
      <c r="F34" s="1">
        <f t="shared" si="8"/>
        <v>16</v>
      </c>
      <c r="G34" s="1">
        <f t="shared" ca="1" si="1"/>
        <v>2012</v>
      </c>
      <c r="H34" s="1">
        <f t="shared" ca="1" si="2"/>
        <v>3.5627437840933798</v>
      </c>
      <c r="I34" s="1" t="str">
        <f t="shared" ca="1" si="3"/>
        <v>Banco Central de Venezuela (BCV)</v>
      </c>
      <c r="J34" s="1" t="str">
        <f t="shared" ca="1" si="4"/>
        <v>National Accounts methods.  Annual frequency. Includes Transport and Storage.</v>
      </c>
      <c r="K34" s="1" t="str">
        <f t="shared" ca="1" si="5"/>
        <v>Banco Central de Venezuela (BCV)</v>
      </c>
      <c r="L34" s="1" t="str">
        <f t="shared" ca="1" si="6"/>
        <v>Metodología de Cuentas Nacionales. Frecuencia anual. Incluye transporte y almacenamiento.</v>
      </c>
      <c r="M34" s="1">
        <f t="shared" ca="1" si="9"/>
        <v>1</v>
      </c>
      <c r="N34" s="1">
        <f t="shared" ca="1" si="10"/>
        <v>3.5627439999999999</v>
      </c>
      <c r="O34" s="1">
        <f ca="1">RANK(N34,N$9:N$34,$P$2)+COUNTIF(N$9:N34,N34)-1</f>
        <v>24</v>
      </c>
      <c r="P34" s="1">
        <f t="shared" ca="1" si="11"/>
        <v>15</v>
      </c>
      <c r="Q34" s="1">
        <f t="shared" ca="1" si="12"/>
        <v>0</v>
      </c>
      <c r="R34" s="1">
        <f t="shared" ca="1" si="13"/>
        <v>1</v>
      </c>
      <c r="S34" s="22" t="str">
        <f t="shared" ca="1" si="14"/>
        <v>-</v>
      </c>
      <c r="T34" s="1" t="str">
        <f t="shared" ca="1" si="15"/>
        <v>HN</v>
      </c>
      <c r="U34" s="1" t="str">
        <f t="shared" ca="1" si="16"/>
        <v>Honduras</v>
      </c>
      <c r="V34" s="1" t="str">
        <f t="shared" ca="1" si="17"/>
        <v/>
      </c>
      <c r="W34" s="1" t="str">
        <f t="shared" ca="1" si="18"/>
        <v/>
      </c>
      <c r="X34" s="11" t="str">
        <f t="shared" ca="1" si="19"/>
        <v/>
      </c>
      <c r="Y34" s="1" t="str">
        <f t="shared" ca="1" si="20"/>
        <v/>
      </c>
      <c r="Z34" s="1" t="str">
        <f ca="1">CHOOSE(uxbWorks!$B$7,X34,Y34)</f>
        <v/>
      </c>
      <c r="AC34" s="1" t="str">
        <f t="shared" ca="1" si="21"/>
        <v>HN</v>
      </c>
      <c r="AD34" s="29">
        <f t="shared" ca="1" si="22"/>
        <v>0</v>
      </c>
      <c r="AF34" s="1" t="str">
        <f t="shared" si="23"/>
        <v>VE</v>
      </c>
      <c r="AG34" s="1">
        <f>IF(A34=uxbWorks!$B$30,4,0)</f>
        <v>0</v>
      </c>
      <c r="AI34" s="1" t="str">
        <f t="shared" ca="1" si="24"/>
        <v>Honduras</v>
      </c>
      <c r="AJ34" s="1" t="str">
        <f t="shared" ca="1" si="25"/>
        <v/>
      </c>
      <c r="AK34" s="1" t="e">
        <f t="shared" ca="1" si="26"/>
        <v>#N/A</v>
      </c>
    </row>
    <row r="38" spans="1:37" x14ac:dyDescent="0.2">
      <c r="W38" s="1">
        <v>1</v>
      </c>
      <c r="X38" s="1">
        <f ca="1">IF(OR(X9="-",TRIM(X9)="",X9=0),1000,COUNTIF(X$9:X9,X9)-1)</f>
        <v>0</v>
      </c>
      <c r="Y38" s="1">
        <f ca="1">IF(X38&gt;0,0,1)</f>
        <v>1</v>
      </c>
      <c r="Z38" s="1" t="str">
        <f t="shared" ref="Z38:Z46" ca="1" si="27">IF(Y38=0,"",CONCATENATE(SUBSTITUTE(X9,";",""),"; "))</f>
        <v xml:space="preserve">Banco Interamericano de Desarrollo. 2014. Logística de cargas en Mesoamérica (de próxima publicación); </v>
      </c>
    </row>
    <row r="39" spans="1:37" x14ac:dyDescent="0.2">
      <c r="W39" s="1">
        <v>2</v>
      </c>
      <c r="X39" s="1">
        <f ca="1">IF(OR(X10="-",TRIM(X10)="",X10=0),1000,COUNTIF(X$9:X10,X10)-1)</f>
        <v>0</v>
      </c>
      <c r="Y39" s="1">
        <f t="shared" ref="Y39:Y47" ca="1" si="28">IF(X39&gt;0,0,1)</f>
        <v>1</v>
      </c>
      <c r="Z39" s="1" t="str">
        <f t="shared" ca="1" si="27"/>
        <v xml:space="preserve">Banco Central de la República Dominicana; </v>
      </c>
    </row>
    <row r="40" spans="1:37" x14ac:dyDescent="0.2">
      <c r="W40" s="1">
        <v>3</v>
      </c>
      <c r="X40" s="1">
        <f ca="1">IF(OR(X11="-",TRIM(X11)="",X11=0),1000,COUNTIF(X$9:X11,X11)-1)</f>
        <v>0</v>
      </c>
      <c r="Y40" s="1">
        <f t="shared" ca="1" si="28"/>
        <v>1</v>
      </c>
      <c r="Z40" s="1" t="str">
        <f t="shared" ca="1" si="27"/>
        <v xml:space="preserve">Instituto Estadístico de Jamaica; </v>
      </c>
    </row>
    <row r="41" spans="1:37" x14ac:dyDescent="0.2">
      <c r="W41" s="1">
        <v>4</v>
      </c>
      <c r="X41" s="1">
        <f ca="1">IF(OR(X12="-",TRIM(X12)="",X12=0),1000,COUNTIF(X$9:X12,X12)-1)</f>
        <v>1</v>
      </c>
      <c r="Y41" s="1">
        <f t="shared" ca="1" si="28"/>
        <v>0</v>
      </c>
      <c r="Z41" s="1" t="str">
        <f t="shared" ca="1" si="27"/>
        <v/>
      </c>
    </row>
    <row r="42" spans="1:37" x14ac:dyDescent="0.2">
      <c r="W42" s="1">
        <v>5</v>
      </c>
      <c r="X42" s="1">
        <f ca="1">IF(OR(X13="-",TRIM(X13)="",X13=0),1000,COUNTIF(X$9:X13,X13)-1)</f>
        <v>0</v>
      </c>
      <c r="Y42" s="1">
        <f t="shared" ca="1" si="28"/>
        <v>1</v>
      </c>
      <c r="Z42" s="1" t="str">
        <f t="shared" ca="1" si="27"/>
        <v xml:space="preserve">Departamento Administrativo Nacional de Estadísticas (DANE); </v>
      </c>
    </row>
    <row r="43" spans="1:37" x14ac:dyDescent="0.2">
      <c r="W43" s="1">
        <v>6</v>
      </c>
      <c r="X43" s="1">
        <f ca="1">IF(OR(X14="-",TRIM(X14)="",X14=0),1000,COUNTIF(X$9:X14,X14)-1)</f>
        <v>0</v>
      </c>
      <c r="Y43" s="1">
        <f t="shared" ca="1" si="28"/>
        <v>1</v>
      </c>
      <c r="Z43" s="1" t="str">
        <f t="shared" ca="1" si="27"/>
        <v xml:space="preserve">Instituto de Estadística (IHSI); </v>
      </c>
    </row>
    <row r="44" spans="1:37" x14ac:dyDescent="0.2">
      <c r="W44" s="1">
        <v>7</v>
      </c>
      <c r="X44" s="1">
        <f ca="1">IF(OR(X15="-",TRIM(X15)="",X15=0),1000,COUNTIF(X$9:X15,X15)-1)</f>
        <v>0</v>
      </c>
      <c r="Y44" s="1">
        <f t="shared" ca="1" si="28"/>
        <v>1</v>
      </c>
      <c r="Z44" s="1" t="str">
        <f t="shared" ca="1" si="27"/>
        <v xml:space="preserve">Instituto Nacional de Estadística y Censos (INDEC); </v>
      </c>
    </row>
    <row r="45" spans="1:37" x14ac:dyDescent="0.2">
      <c r="W45" s="1">
        <v>8</v>
      </c>
      <c r="X45" s="1">
        <f ca="1">IF(OR(X16="-",TRIM(X16)="",X16=0),1000,COUNTIF(X$9:X16,X16)-1)</f>
        <v>0</v>
      </c>
      <c r="Y45" s="1">
        <f t="shared" ca="1" si="28"/>
        <v>1</v>
      </c>
      <c r="Z45" s="1" t="str">
        <f t="shared" ca="1" si="27"/>
        <v xml:space="preserve">Instituto Nacional de Estadística e Informática (INEI); </v>
      </c>
    </row>
    <row r="46" spans="1:37" x14ac:dyDescent="0.2">
      <c r="W46" s="1">
        <v>9</v>
      </c>
      <c r="X46" s="1">
        <f ca="1">IF(OR(X17="-",TRIM(X17)="",X17=0),1000,COUNTIF(X$9:X17,X17)-1)</f>
        <v>0</v>
      </c>
      <c r="Y46" s="1">
        <f t="shared" ca="1" si="28"/>
        <v>1</v>
      </c>
      <c r="Z46" s="1" t="str">
        <f t="shared" ca="1" si="27"/>
        <v xml:space="preserve">Instituto Nacional de Estadística de Bolivia; </v>
      </c>
    </row>
    <row r="47" spans="1:37" x14ac:dyDescent="0.2">
      <c r="W47" s="1">
        <v>10</v>
      </c>
      <c r="X47" s="1">
        <f ca="1">IF(OR(X34="-",TRIM(X34)="",X34=0),1000,COUNTIF(X$9:X34,X34)-1)</f>
        <v>1000</v>
      </c>
      <c r="Y47" s="1">
        <f t="shared" ca="1" si="28"/>
        <v>0</v>
      </c>
      <c r="Z47" s="1" t="str">
        <f t="shared" ref="Z47" ca="1" si="29">IF(Y47=0,"",CONCATENATE(SUBSTITUTE(X34,";",""),"; "))</f>
        <v/>
      </c>
    </row>
    <row r="49" spans="26:26" x14ac:dyDescent="0.2">
      <c r="Z49" s="1" t="str">
        <f ca="1">CONCATENATE(Z38,Z39,Z40,Z41,Z42,Z43,Z44,Z45,Z46,Z47)</f>
        <v xml:space="preserve">Banco Interamericano de Desarrollo. 2014. Logística de cargas en Mesoamérica (de próxima publicación); Banco Central de la República Dominicana; Instituto Estadístico de Jamaica; Departamento Administrativo Nacional de Estadísticas (DANE); Instituto de Estadística (IHSI); Instituto Nacional de Estadística y Censos (INDEC); Instituto Nacional de Estadística e Informática (INEI); Instituto Nacional de Estadística de Bolivia; </v>
      </c>
    </row>
  </sheetData>
  <phoneticPr fontId="12" type="noConversion"/>
  <pageMargins left="0.7" right="0.7" top="0.75" bottom="0.75" header="0.3" footer="0.3"/>
  <pageSetup orientation="portrait" r:id="rId1"/>
  <headerFooter>
    <oddHeader>&amp;LAnuario de Transporte de Carga y Logística 2014, BID</oddHeader>
    <oddFooter>&amp;LObservatorio Regional de Transporte de Carga y Logistica</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A1:M36"/>
  <sheetViews>
    <sheetView showGridLines="0" showRowColHeaders="0" workbookViewId="0"/>
  </sheetViews>
  <sheetFormatPr defaultColWidth="9.140625" defaultRowHeight="15" x14ac:dyDescent="0.25"/>
  <cols>
    <col min="1" max="1" width="5" customWidth="1"/>
    <col min="2" max="3" width="5.28515625" hidden="1" customWidth="1"/>
    <col min="4" max="4" width="3.85546875" customWidth="1"/>
    <col min="5" max="5" width="20.42578125" customWidth="1"/>
    <col min="6" max="6" width="13.85546875" customWidth="1"/>
    <col min="7" max="7" width="35.5703125" customWidth="1"/>
    <col min="8" max="8" width="8.28515625" customWidth="1"/>
    <col min="9" max="9" width="42.42578125" customWidth="1"/>
    <col min="10" max="10" width="36" customWidth="1"/>
    <col min="11" max="11" width="3.28515625" customWidth="1"/>
    <col min="12" max="12" width="15.140625" customWidth="1"/>
  </cols>
  <sheetData>
    <row r="1" spans="1:13" ht="29.1" customHeight="1" x14ac:dyDescent="0.3">
      <c r="A1" s="127" t="str">
        <f>UPPER(tblText!$A$13)</f>
        <v>INDICATOR RANKING</v>
      </c>
      <c r="B1" s="122"/>
      <c r="C1" s="122"/>
      <c r="D1" s="122"/>
      <c r="E1" s="122"/>
      <c r="F1" s="122"/>
      <c r="G1" s="122"/>
      <c r="H1" s="122"/>
      <c r="I1" s="122"/>
      <c r="J1" s="122"/>
      <c r="K1" s="122"/>
    </row>
    <row r="2" spans="1:13" ht="22.5" customHeight="1" x14ac:dyDescent="0.3">
      <c r="A2" s="123"/>
      <c r="B2" s="123"/>
      <c r="C2" s="123"/>
      <c r="D2" s="124" t="str">
        <f>UPPER(tblText!$A$22)</f>
        <v>SELECT AN INDICATOR</v>
      </c>
      <c r="E2" s="123"/>
      <c r="F2" s="123"/>
      <c r="G2" s="123"/>
      <c r="H2" s="124"/>
      <c r="I2" s="124" t="str">
        <f>UPPER(tblText!$A$25)</f>
        <v>HIGHLIGHT COUNTRY</v>
      </c>
      <c r="J2" s="124" t="str">
        <f>UPPER(tblText!$A$26)</f>
        <v>HIGHLIGHT GROUP</v>
      </c>
      <c r="K2" s="123"/>
    </row>
    <row r="3" spans="1:13" ht="13.5" customHeight="1" x14ac:dyDescent="0.3">
      <c r="A3" s="116"/>
      <c r="B3" s="116"/>
      <c r="C3" s="116"/>
      <c r="D3" s="116"/>
      <c r="E3" s="116"/>
      <c r="F3" s="116"/>
      <c r="G3" s="116"/>
      <c r="H3" s="116"/>
      <c r="I3" s="116"/>
      <c r="J3" s="116"/>
      <c r="K3" s="116"/>
    </row>
    <row r="4" spans="1:13" ht="15.6" x14ac:dyDescent="0.3">
      <c r="A4" s="116"/>
      <c r="B4" s="116"/>
      <c r="C4" s="116"/>
      <c r="D4" s="132" t="str">
        <f>IF(iMapRank!$V$2=0,"",UPPER(iMapRank!$V$2))</f>
        <v>GENERAL INDICATORS »</v>
      </c>
      <c r="E4" s="133"/>
      <c r="F4" s="134"/>
      <c r="G4" s="133"/>
      <c r="H4" s="134"/>
      <c r="I4" s="134"/>
      <c r="J4" s="134"/>
      <c r="K4" s="116"/>
    </row>
    <row r="5" spans="1:13" ht="21" x14ac:dyDescent="0.4">
      <c r="A5" s="116"/>
      <c r="B5" s="116"/>
      <c r="C5" s="116"/>
      <c r="D5" s="135" t="str">
        <f>UPPER(iMapRank!$L$2)</f>
        <v>TRANSPORT SECTOR  % GDP</v>
      </c>
      <c r="E5" s="134"/>
      <c r="F5" s="134"/>
      <c r="G5" s="134"/>
      <c r="H5" s="134"/>
      <c r="I5" s="134"/>
      <c r="J5" s="134"/>
      <c r="K5" s="116"/>
      <c r="L5" s="24"/>
    </row>
    <row r="6" spans="1:13" ht="18" x14ac:dyDescent="0.35">
      <c r="A6" s="116"/>
      <c r="B6" s="116"/>
      <c r="C6" s="116"/>
      <c r="D6" s="136" t="str">
        <f>IF(iMapRank!$M$2=0,"",UPPER(iMapRank!$M$2))</f>
        <v>%</v>
      </c>
      <c r="E6" s="134"/>
      <c r="F6" s="134"/>
      <c r="G6" s="134"/>
      <c r="H6" s="134"/>
      <c r="I6" s="134"/>
      <c r="J6" s="134"/>
      <c r="K6" s="116"/>
    </row>
    <row r="7" spans="1:13" ht="29.25" customHeight="1" x14ac:dyDescent="0.3">
      <c r="A7" s="116"/>
      <c r="B7" s="116"/>
      <c r="C7" s="116"/>
      <c r="D7" s="261" t="str">
        <f>iMapRank!$O$2</f>
        <v>Extent of the transport sector in the total GDP. Each country specifies how it is computed using the International Standard Industrial Classification (ISIC).</v>
      </c>
      <c r="E7" s="262"/>
      <c r="F7" s="262"/>
      <c r="G7" s="262"/>
      <c r="H7" s="262"/>
      <c r="I7" s="262"/>
      <c r="J7" s="262"/>
      <c r="K7" s="116"/>
    </row>
    <row r="8" spans="1:13" ht="7.5" customHeight="1" x14ac:dyDescent="0.3">
      <c r="A8" s="116"/>
      <c r="B8" s="116"/>
      <c r="C8" s="116"/>
      <c r="D8" s="116"/>
      <c r="E8" s="116"/>
      <c r="F8" s="125"/>
      <c r="G8" s="116"/>
      <c r="H8" s="126"/>
      <c r="I8" s="126"/>
      <c r="J8" s="126"/>
      <c r="K8" s="116"/>
    </row>
    <row r="9" spans="1:13" ht="15.95" customHeight="1" x14ac:dyDescent="0.3">
      <c r="A9" s="116"/>
      <c r="B9" s="116">
        <f ca="1">iMapRank!Q9</f>
        <v>1</v>
      </c>
      <c r="C9" s="116">
        <f ca="1">iMapRank!R9</f>
        <v>1</v>
      </c>
      <c r="D9" s="154">
        <f ca="1">iMapRank!S9</f>
        <v>1</v>
      </c>
      <c r="E9" s="155" t="str">
        <f ca="1">iMapRank!U9</f>
        <v>Panamá</v>
      </c>
      <c r="F9" s="211">
        <f ca="1">iMapRank!W9</f>
        <v>17.599999999999998</v>
      </c>
      <c r="G9" s="156"/>
      <c r="H9" s="126"/>
      <c r="I9" s="231" t="str">
        <f>UPPER(uxbWorks!$C$24)</f>
        <v/>
      </c>
      <c r="J9" s="232"/>
      <c r="K9" s="116"/>
      <c r="L9" s="10"/>
    </row>
    <row r="10" spans="1:13" ht="15.95" customHeight="1" x14ac:dyDescent="0.3">
      <c r="A10" s="116"/>
      <c r="B10" s="116">
        <f ca="1">iMapRank!Q10</f>
        <v>1</v>
      </c>
      <c r="C10" s="116">
        <f ca="1">iMapRank!R10</f>
        <v>1</v>
      </c>
      <c r="D10" s="157">
        <f ca="1">iMapRank!S10</f>
        <v>2</v>
      </c>
      <c r="E10" s="131" t="str">
        <f ca="1">iMapRank!U10</f>
        <v>Dominican Republic</v>
      </c>
      <c r="F10" s="212">
        <f ca="1">iMapRank!W10</f>
        <v>8.4378989177878498</v>
      </c>
      <c r="G10" s="158"/>
      <c r="H10" s="126"/>
      <c r="I10" s="232"/>
      <c r="J10" s="232"/>
      <c r="K10" s="116"/>
      <c r="L10" s="10"/>
      <c r="M10" s="139"/>
    </row>
    <row r="11" spans="1:13" ht="15.95" customHeight="1" x14ac:dyDescent="0.3">
      <c r="A11" s="116"/>
      <c r="B11" s="116">
        <f ca="1">iMapRank!Q11</f>
        <v>1</v>
      </c>
      <c r="C11" s="116">
        <f ca="1">iMapRank!R11</f>
        <v>1</v>
      </c>
      <c r="D11" s="157">
        <f ca="1">iMapRank!S11</f>
        <v>3</v>
      </c>
      <c r="E11" s="131" t="str">
        <f ca="1">iMapRank!U11</f>
        <v>Jamaica</v>
      </c>
      <c r="F11" s="212">
        <f ca="1">iMapRank!W11</f>
        <v>8.0450017908396898</v>
      </c>
      <c r="G11" s="158"/>
      <c r="H11" s="126"/>
      <c r="I11" s="233" t="str">
        <f>IF(I12="","",UPPER(tblText!$A$42))</f>
        <v/>
      </c>
      <c r="J11" s="232"/>
      <c r="K11" s="116"/>
      <c r="L11" s="10"/>
      <c r="M11" s="139"/>
    </row>
    <row r="12" spans="1:13" ht="15.95" customHeight="1" x14ac:dyDescent="0.25">
      <c r="A12" s="116"/>
      <c r="B12" s="116">
        <f ca="1">iMapRank!Q12</f>
        <v>1</v>
      </c>
      <c r="C12" s="116">
        <f ca="1">iMapRank!R12</f>
        <v>1</v>
      </c>
      <c r="D12" s="157">
        <f ca="1">iMapRank!S12</f>
        <v>4</v>
      </c>
      <c r="E12" s="131" t="str">
        <f ca="1">iMapRank!U12</f>
        <v>Guatemala</v>
      </c>
      <c r="F12" s="212">
        <f ca="1">iMapRank!W12</f>
        <v>7.8</v>
      </c>
      <c r="G12" s="158"/>
      <c r="H12" s="126"/>
      <c r="I12" s="263" t="str">
        <f>iMapRank!$D$5</f>
        <v/>
      </c>
      <c r="J12" s="264"/>
      <c r="K12" s="116"/>
      <c r="L12" s="10"/>
    </row>
    <row r="13" spans="1:13" ht="15.95" customHeight="1" x14ac:dyDescent="0.25">
      <c r="A13" s="116"/>
      <c r="B13" s="116">
        <f ca="1">iMapRank!Q13</f>
        <v>1</v>
      </c>
      <c r="C13" s="116">
        <f ca="1">iMapRank!R13</f>
        <v>1</v>
      </c>
      <c r="D13" s="157">
        <f ca="1">iMapRank!S13</f>
        <v>5</v>
      </c>
      <c r="E13" s="131" t="str">
        <f ca="1">iMapRank!U13</f>
        <v>Colombia</v>
      </c>
      <c r="F13" s="212">
        <f ca="1">iMapRank!W13</f>
        <v>7.7299999999999995</v>
      </c>
      <c r="G13" s="158"/>
      <c r="H13" s="126"/>
      <c r="I13" s="264"/>
      <c r="J13" s="264"/>
      <c r="K13" s="116"/>
      <c r="L13" s="10"/>
    </row>
    <row r="14" spans="1:13" ht="15.95" customHeight="1" x14ac:dyDescent="0.25">
      <c r="A14" s="116"/>
      <c r="B14" s="116">
        <f ca="1">iMapRank!Q14</f>
        <v>1</v>
      </c>
      <c r="C14" s="116">
        <f ca="1">iMapRank!R14</f>
        <v>1</v>
      </c>
      <c r="D14" s="157">
        <f ca="1">iMapRank!S14</f>
        <v>6</v>
      </c>
      <c r="E14" s="131" t="str">
        <f ca="1">iMapRank!U14</f>
        <v>Haiti</v>
      </c>
      <c r="F14" s="212">
        <f ca="1">iMapRank!W14</f>
        <v>7.6910436445216401</v>
      </c>
      <c r="G14" s="158"/>
      <c r="H14" s="126"/>
      <c r="I14" s="264"/>
      <c r="J14" s="264"/>
      <c r="K14" s="116"/>
      <c r="L14" s="10"/>
    </row>
    <row r="15" spans="1:13" ht="15.95" customHeight="1" x14ac:dyDescent="0.3">
      <c r="A15" s="116"/>
      <c r="B15" s="116">
        <f ca="1">iMapRank!Q15</f>
        <v>1</v>
      </c>
      <c r="C15" s="116">
        <f ca="1">iMapRank!R15</f>
        <v>1</v>
      </c>
      <c r="D15" s="157">
        <f ca="1">iMapRank!S15</f>
        <v>7</v>
      </c>
      <c r="E15" s="131" t="str">
        <f ca="1">iMapRank!U15</f>
        <v>Argentina</v>
      </c>
      <c r="F15" s="212">
        <f ca="1">iMapRank!W15</f>
        <v>7.2048221837913999</v>
      </c>
      <c r="G15" s="158"/>
      <c r="H15" s="126"/>
      <c r="I15" s="233" t="str">
        <f>IF(I16="","",UPPER(tblText!$A$44))</f>
        <v/>
      </c>
      <c r="J15" s="234"/>
      <c r="K15" s="116"/>
      <c r="L15" s="10"/>
    </row>
    <row r="16" spans="1:13" ht="15.95" customHeight="1" x14ac:dyDescent="0.25">
      <c r="A16" s="116"/>
      <c r="B16" s="116">
        <f ca="1">iMapRank!Q16</f>
        <v>1</v>
      </c>
      <c r="C16" s="116">
        <f ca="1">iMapRank!R16</f>
        <v>1</v>
      </c>
      <c r="D16" s="157">
        <f ca="1">iMapRank!S16</f>
        <v>8</v>
      </c>
      <c r="E16" s="131" t="str">
        <f ca="1">iMapRank!U16</f>
        <v>Peru</v>
      </c>
      <c r="F16" s="212">
        <f ca="1">iMapRank!W16</f>
        <v>6.9662940495960699</v>
      </c>
      <c r="G16" s="158"/>
      <c r="H16" s="126"/>
      <c r="I16" s="263" t="str">
        <f>iMapRank!$D$6</f>
        <v/>
      </c>
      <c r="J16" s="265"/>
      <c r="K16" s="116"/>
      <c r="L16" s="10"/>
    </row>
    <row r="17" spans="1:12" ht="15.95" customHeight="1" x14ac:dyDescent="0.25">
      <c r="A17" s="116"/>
      <c r="B17" s="116">
        <f ca="1">iMapRank!Q17</f>
        <v>1</v>
      </c>
      <c r="C17" s="116">
        <f ca="1">iMapRank!R17</f>
        <v>1</v>
      </c>
      <c r="D17" s="157">
        <f ca="1">iMapRank!S17</f>
        <v>9</v>
      </c>
      <c r="E17" s="131" t="str">
        <f ca="1">iMapRank!U17</f>
        <v>Bolivia</v>
      </c>
      <c r="F17" s="212">
        <f ca="1">iMapRank!W17</f>
        <v>6.9456878227985897</v>
      </c>
      <c r="G17" s="158"/>
      <c r="H17" s="126"/>
      <c r="I17" s="265"/>
      <c r="J17" s="265"/>
      <c r="K17" s="116"/>
      <c r="L17" s="10"/>
    </row>
    <row r="18" spans="1:12" ht="15.95" customHeight="1" x14ac:dyDescent="0.25">
      <c r="A18" s="116"/>
      <c r="B18" s="116">
        <f ca="1">iMapRank!Q18</f>
        <v>1</v>
      </c>
      <c r="C18" s="116">
        <f ca="1">iMapRank!R18</f>
        <v>1</v>
      </c>
      <c r="D18" s="157">
        <f ca="1">iMapRank!S18</f>
        <v>10</v>
      </c>
      <c r="E18" s="131" t="str">
        <f ca="1">iMapRank!U18</f>
        <v>Costa Rica</v>
      </c>
      <c r="F18" s="212">
        <f ca="1">iMapRank!W18</f>
        <v>6.8641640540997191</v>
      </c>
      <c r="G18" s="158"/>
      <c r="H18" s="126"/>
      <c r="I18" s="265"/>
      <c r="J18" s="265"/>
      <c r="K18" s="116"/>
      <c r="L18" s="10"/>
    </row>
    <row r="19" spans="1:12" ht="15.95" customHeight="1" x14ac:dyDescent="0.25">
      <c r="A19" s="116"/>
      <c r="B19" s="116">
        <f ca="1">iMapRank!Q19</f>
        <v>1</v>
      </c>
      <c r="C19" s="116">
        <f ca="1">iMapRank!R19</f>
        <v>1</v>
      </c>
      <c r="D19" s="157">
        <f ca="1">iMapRank!S19</f>
        <v>11</v>
      </c>
      <c r="E19" s="131" t="str">
        <f ca="1">iMapRank!U19</f>
        <v>Barbados</v>
      </c>
      <c r="F19" s="212">
        <f ca="1">iMapRank!W19</f>
        <v>6.6200117764503199</v>
      </c>
      <c r="G19" s="158"/>
      <c r="H19" s="126"/>
      <c r="I19" s="265"/>
      <c r="J19" s="265"/>
      <c r="K19" s="116"/>
      <c r="L19" s="10"/>
    </row>
    <row r="20" spans="1:12" ht="15.95" customHeight="1" x14ac:dyDescent="0.25">
      <c r="A20" s="116"/>
      <c r="B20" s="116">
        <f ca="1">iMapRank!Q20</f>
        <v>1</v>
      </c>
      <c r="C20" s="116">
        <f ca="1">iMapRank!R20</f>
        <v>1</v>
      </c>
      <c r="D20" s="157">
        <f ca="1">iMapRank!S20</f>
        <v>12</v>
      </c>
      <c r="E20" s="131" t="str">
        <f ca="1">iMapRank!U20</f>
        <v>Guyana</v>
      </c>
      <c r="F20" s="212">
        <f ca="1">iMapRank!W20</f>
        <v>6.2970213381781504</v>
      </c>
      <c r="G20" s="158"/>
      <c r="H20" s="126"/>
      <c r="I20" s="265"/>
      <c r="J20" s="265"/>
      <c r="K20" s="116"/>
      <c r="L20" s="10"/>
    </row>
    <row r="21" spans="1:12" ht="15.95" customHeight="1" x14ac:dyDescent="0.25">
      <c r="A21" s="116"/>
      <c r="B21" s="116">
        <f ca="1">iMapRank!Q21</f>
        <v>1</v>
      </c>
      <c r="C21" s="116">
        <f ca="1">iMapRank!R21</f>
        <v>1</v>
      </c>
      <c r="D21" s="157">
        <f ca="1">iMapRank!S21</f>
        <v>13</v>
      </c>
      <c r="E21" s="131" t="str">
        <f ca="1">iMapRank!U21</f>
        <v>Suriname</v>
      </c>
      <c r="F21" s="212">
        <f ca="1">iMapRank!W21</f>
        <v>6.0552171063273095</v>
      </c>
      <c r="G21" s="158"/>
      <c r="H21" s="126"/>
      <c r="I21" s="265"/>
      <c r="J21" s="265"/>
      <c r="K21" s="116"/>
      <c r="L21" s="10"/>
    </row>
    <row r="22" spans="1:12" ht="15.95" customHeight="1" x14ac:dyDescent="0.25">
      <c r="A22" s="116"/>
      <c r="B22" s="116">
        <f ca="1">iMapRank!Q22</f>
        <v>1</v>
      </c>
      <c r="C22" s="116">
        <f ca="1">iMapRank!R22</f>
        <v>1</v>
      </c>
      <c r="D22" s="157">
        <f ca="1">iMapRank!S22</f>
        <v>14</v>
      </c>
      <c r="E22" s="131" t="str">
        <f ca="1">iMapRank!U22</f>
        <v>México</v>
      </c>
      <c r="F22" s="212">
        <f ca="1">iMapRank!W22</f>
        <v>5.9218808907268796</v>
      </c>
      <c r="G22" s="158"/>
      <c r="H22" s="126"/>
      <c r="I22" s="265"/>
      <c r="J22" s="265"/>
      <c r="K22" s="116"/>
      <c r="L22" s="10"/>
    </row>
    <row r="23" spans="1:12" ht="15.95" customHeight="1" x14ac:dyDescent="0.25">
      <c r="A23" s="116"/>
      <c r="B23" s="116">
        <f ca="1">iMapRank!Q23</f>
        <v>1</v>
      </c>
      <c r="C23" s="116">
        <f ca="1">iMapRank!R23</f>
        <v>1</v>
      </c>
      <c r="D23" s="157">
        <f ca="1">iMapRank!S23</f>
        <v>15</v>
      </c>
      <c r="E23" s="131" t="str">
        <f ca="1">iMapRank!U23</f>
        <v>El Salvador</v>
      </c>
      <c r="F23" s="212">
        <f ca="1">iMapRank!W23</f>
        <v>5.6016158710687201</v>
      </c>
      <c r="G23" s="158"/>
      <c r="H23" s="126"/>
      <c r="I23" s="265"/>
      <c r="J23" s="265"/>
      <c r="K23" s="116"/>
      <c r="L23" s="10"/>
    </row>
    <row r="24" spans="1:12" ht="15.95" customHeight="1" x14ac:dyDescent="0.25">
      <c r="A24" s="116"/>
      <c r="B24" s="116">
        <f ca="1">iMapRank!Q24</f>
        <v>1</v>
      </c>
      <c r="C24" s="116">
        <f ca="1">iMapRank!R24</f>
        <v>1</v>
      </c>
      <c r="D24" s="157">
        <f ca="1">iMapRank!S24</f>
        <v>16</v>
      </c>
      <c r="E24" s="131" t="str">
        <f ca="1">iMapRank!U24</f>
        <v>Trinidad and Tobago</v>
      </c>
      <c r="F24" s="212">
        <f ca="1">iMapRank!W24</f>
        <v>5.3618877032470706</v>
      </c>
      <c r="G24" s="158"/>
      <c r="H24" s="126"/>
      <c r="I24" s="265"/>
      <c r="J24" s="265"/>
      <c r="K24" s="116"/>
      <c r="L24" s="10"/>
    </row>
    <row r="25" spans="1:12" ht="15.95" customHeight="1" x14ac:dyDescent="0.25">
      <c r="A25" s="116"/>
      <c r="B25" s="116">
        <f ca="1">iMapRank!Q25</f>
        <v>1</v>
      </c>
      <c r="C25" s="116">
        <f ca="1">iMapRank!R25</f>
        <v>1</v>
      </c>
      <c r="D25" s="157">
        <f ca="1">iMapRank!S25</f>
        <v>17</v>
      </c>
      <c r="E25" s="131" t="str">
        <f ca="1">iMapRank!U25</f>
        <v>Ecuador</v>
      </c>
      <c r="F25" s="212">
        <f ca="1">iMapRank!W25</f>
        <v>5.26505148816371</v>
      </c>
      <c r="G25" s="158"/>
      <c r="H25" s="126"/>
      <c r="I25" s="265"/>
      <c r="J25" s="265"/>
      <c r="K25" s="116"/>
      <c r="L25" s="10"/>
    </row>
    <row r="26" spans="1:12" ht="15.95" customHeight="1" x14ac:dyDescent="0.25">
      <c r="A26" s="116"/>
      <c r="B26" s="116">
        <f ca="1">iMapRank!Q26</f>
        <v>1</v>
      </c>
      <c r="C26" s="116">
        <f ca="1">iMapRank!R26</f>
        <v>1</v>
      </c>
      <c r="D26" s="157">
        <f ca="1">iMapRank!S26</f>
        <v>18</v>
      </c>
      <c r="E26" s="131" t="str">
        <f ca="1">iMapRank!U26</f>
        <v>Nicaragua</v>
      </c>
      <c r="F26" s="212">
        <f ca="1">iMapRank!W26</f>
        <v>5</v>
      </c>
      <c r="G26" s="158"/>
      <c r="H26" s="126"/>
      <c r="I26" s="265"/>
      <c r="J26" s="265"/>
      <c r="K26" s="116"/>
      <c r="L26" s="10"/>
    </row>
    <row r="27" spans="1:12" ht="15.95" customHeight="1" x14ac:dyDescent="0.25">
      <c r="A27" s="116"/>
      <c r="B27" s="116">
        <f ca="1">iMapRank!Q27</f>
        <v>1</v>
      </c>
      <c r="C27" s="116">
        <f ca="1">iMapRank!R27</f>
        <v>1</v>
      </c>
      <c r="D27" s="157">
        <f ca="1">iMapRank!S27</f>
        <v>19</v>
      </c>
      <c r="E27" s="131" t="str">
        <f ca="1">iMapRank!U27</f>
        <v>Brasil</v>
      </c>
      <c r="F27" s="212">
        <f ca="1">iMapRank!W27</f>
        <v>4.5281547327290106</v>
      </c>
      <c r="G27" s="158"/>
      <c r="H27" s="126"/>
      <c r="I27" s="265"/>
      <c r="J27" s="265"/>
      <c r="K27" s="116"/>
      <c r="L27" s="10"/>
    </row>
    <row r="28" spans="1:12" ht="15.95" customHeight="1" x14ac:dyDescent="0.25">
      <c r="A28" s="116"/>
      <c r="B28" s="116">
        <f ca="1">iMapRank!Q28</f>
        <v>1</v>
      </c>
      <c r="C28" s="116">
        <f ca="1">iMapRank!R28</f>
        <v>1</v>
      </c>
      <c r="D28" s="157">
        <f ca="1">iMapRank!S28</f>
        <v>20</v>
      </c>
      <c r="E28" s="131" t="str">
        <f ca="1">iMapRank!U28</f>
        <v>Uruguay</v>
      </c>
      <c r="F28" s="212">
        <f ca="1">iMapRank!W28</f>
        <v>4.3444985270182999</v>
      </c>
      <c r="G28" s="158"/>
      <c r="H28" s="126"/>
      <c r="I28" s="265"/>
      <c r="J28" s="265"/>
      <c r="K28" s="116"/>
      <c r="L28" s="10"/>
    </row>
    <row r="29" spans="1:12" ht="15.95" customHeight="1" x14ac:dyDescent="0.25">
      <c r="A29" s="116"/>
      <c r="B29" s="116">
        <f ca="1">iMapRank!Q29</f>
        <v>1</v>
      </c>
      <c r="C29" s="116">
        <f ca="1">iMapRank!R29</f>
        <v>1</v>
      </c>
      <c r="D29" s="157">
        <f ca="1">iMapRank!S29</f>
        <v>21</v>
      </c>
      <c r="E29" s="131" t="str">
        <f ca="1">iMapRank!U29</f>
        <v>Chile</v>
      </c>
      <c r="F29" s="212">
        <f ca="1">iMapRank!W29</f>
        <v>4.01</v>
      </c>
      <c r="G29" s="158"/>
      <c r="H29" s="126"/>
      <c r="I29" s="265"/>
      <c r="J29" s="265"/>
      <c r="K29" s="116"/>
      <c r="L29" s="10"/>
    </row>
    <row r="30" spans="1:12" ht="15.95" customHeight="1" x14ac:dyDescent="0.25">
      <c r="A30" s="116"/>
      <c r="B30" s="116">
        <f ca="1">iMapRank!Q30</f>
        <v>1</v>
      </c>
      <c r="C30" s="116">
        <f ca="1">iMapRank!R30</f>
        <v>1</v>
      </c>
      <c r="D30" s="157">
        <f ca="1">iMapRank!S30</f>
        <v>22</v>
      </c>
      <c r="E30" s="131" t="str">
        <f ca="1">iMapRank!U30</f>
        <v>Bahamas</v>
      </c>
      <c r="F30" s="212">
        <f ca="1">iMapRank!W30</f>
        <v>3.91327578192378</v>
      </c>
      <c r="G30" s="158"/>
      <c r="H30" s="126"/>
      <c r="I30" s="265"/>
      <c r="J30" s="265"/>
      <c r="K30" s="116"/>
      <c r="L30" s="10"/>
    </row>
    <row r="31" spans="1:12" ht="15.95" customHeight="1" x14ac:dyDescent="0.25">
      <c r="A31" s="116"/>
      <c r="B31" s="116">
        <f ca="1">iMapRank!Q31</f>
        <v>1</v>
      </c>
      <c r="C31" s="116">
        <f ca="1">iMapRank!R31</f>
        <v>1</v>
      </c>
      <c r="D31" s="157">
        <f ca="1">iMapRank!S31</f>
        <v>23</v>
      </c>
      <c r="E31" s="131" t="str">
        <f ca="1">iMapRank!U31</f>
        <v>Belize</v>
      </c>
      <c r="F31" s="212">
        <f ca="1">iMapRank!W31</f>
        <v>3.6146611585719599</v>
      </c>
      <c r="G31" s="158"/>
      <c r="H31" s="126"/>
      <c r="I31" s="265"/>
      <c r="J31" s="265"/>
      <c r="K31" s="116"/>
      <c r="L31" s="10"/>
    </row>
    <row r="32" spans="1:12" ht="15.95" customHeight="1" x14ac:dyDescent="0.25">
      <c r="A32" s="116"/>
      <c r="B32" s="116">
        <f ca="1">iMapRank!Q32</f>
        <v>1</v>
      </c>
      <c r="C32" s="116">
        <f ca="1">iMapRank!R32</f>
        <v>1</v>
      </c>
      <c r="D32" s="157">
        <f ca="1">iMapRank!S32</f>
        <v>24</v>
      </c>
      <c r="E32" s="131" t="str">
        <f ca="1">iMapRank!U32</f>
        <v>Venezuela</v>
      </c>
      <c r="F32" s="212">
        <f ca="1">iMapRank!W32</f>
        <v>3.5627437840933798</v>
      </c>
      <c r="G32" s="158"/>
      <c r="H32" s="126"/>
      <c r="I32" s="265"/>
      <c r="J32" s="265"/>
      <c r="K32" s="116"/>
      <c r="L32" s="10"/>
    </row>
    <row r="33" spans="1:12" ht="15.95" customHeight="1" x14ac:dyDescent="0.25">
      <c r="A33" s="116"/>
      <c r="B33" s="116">
        <f ca="1">iMapRank!Q33</f>
        <v>1</v>
      </c>
      <c r="C33" s="116">
        <f ca="1">iMapRank!R33</f>
        <v>1</v>
      </c>
      <c r="D33" s="157">
        <f ca="1">iMapRank!S33</f>
        <v>25</v>
      </c>
      <c r="E33" s="131" t="str">
        <f ca="1">iMapRank!U33</f>
        <v>Paraguay</v>
      </c>
      <c r="F33" s="212">
        <f ca="1">iMapRank!W33</f>
        <v>2.4994499559909897</v>
      </c>
      <c r="G33" s="158"/>
      <c r="H33" s="137"/>
      <c r="I33" s="265"/>
      <c r="J33" s="265"/>
      <c r="K33" s="116"/>
      <c r="L33" s="10"/>
    </row>
    <row r="34" spans="1:12" ht="15.95" customHeight="1" x14ac:dyDescent="0.25">
      <c r="A34" s="116"/>
      <c r="B34" s="116">
        <f ca="1">iMapRank!Q34</f>
        <v>0</v>
      </c>
      <c r="C34" s="116">
        <f ca="1">iMapRank!R34</f>
        <v>1</v>
      </c>
      <c r="D34" s="159" t="str">
        <f ca="1">iMapRank!S34</f>
        <v>-</v>
      </c>
      <c r="E34" s="160" t="str">
        <f ca="1">iMapRank!U34</f>
        <v>Honduras</v>
      </c>
      <c r="F34" s="213" t="str">
        <f ca="1">iMapRank!W34</f>
        <v/>
      </c>
      <c r="G34" s="161"/>
      <c r="H34" s="137"/>
      <c r="I34" s="265"/>
      <c r="J34" s="265"/>
      <c r="K34" s="116"/>
      <c r="L34" s="10"/>
    </row>
    <row r="35" spans="1:12" ht="7.5" customHeight="1" x14ac:dyDescent="0.25">
      <c r="A35" s="116"/>
      <c r="B35" s="116"/>
      <c r="C35" s="116"/>
      <c r="D35" s="138"/>
      <c r="E35" s="138"/>
      <c r="F35" s="138"/>
      <c r="G35" s="138"/>
      <c r="H35" s="138"/>
      <c r="I35" s="138"/>
      <c r="J35" s="138"/>
      <c r="K35" s="116"/>
    </row>
    <row r="36" spans="1:12" x14ac:dyDescent="0.25">
      <c r="A36" s="116"/>
      <c r="B36" s="116"/>
      <c r="C36" s="116"/>
      <c r="D36" s="235" t="str">
        <f>tblText!$A$70</f>
        <v>Click on a country to view source and explanatory notes</v>
      </c>
      <c r="E36" s="138"/>
      <c r="F36" s="138"/>
      <c r="G36" s="138"/>
      <c r="H36" s="138"/>
      <c r="I36" s="138"/>
      <c r="J36" s="138"/>
      <c r="K36" s="116"/>
    </row>
  </sheetData>
  <sheetProtection sheet="1" objects="1" scenarios="1"/>
  <mergeCells count="3">
    <mergeCell ref="D7:J7"/>
    <mergeCell ref="I12:J14"/>
    <mergeCell ref="I16:J34"/>
  </mergeCells>
  <phoneticPr fontId="12" type="noConversion"/>
  <conditionalFormatting sqref="D9:G34">
    <cfRule type="expression" dxfId="234" priority="4" stopIfTrue="1">
      <formula>$C9=3</formula>
    </cfRule>
    <cfRule type="expression" dxfId="233" priority="5" stopIfTrue="1">
      <formula>$D9="-"</formula>
    </cfRule>
  </conditionalFormatting>
  <conditionalFormatting sqref="D9:G34">
    <cfRule type="expression" dxfId="232" priority="1">
      <formula>$C9=2</formula>
    </cfRule>
  </conditionalFormatting>
  <pageMargins left="0.7" right="0.7" top="0.75" bottom="0.75" header="0.3" footer="0.3"/>
  <pageSetup scale="76" orientation="landscape" r:id="rId1"/>
  <headerFooter>
    <oddHeader>&amp;LFreight Transport and Logistics Yearbook 2014, IDB</oddHeader>
    <oddFooter>&amp;LFreight Transport and Logistics Regional Observatory</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23937" r:id="rId4" name="Drop Down 1">
              <controlPr defaultSize="0" autoLine="0" autoPict="0">
                <anchor moveWithCells="1">
                  <from>
                    <xdr:col>4</xdr:col>
                    <xdr:colOff>923925</xdr:colOff>
                    <xdr:row>1</xdr:row>
                    <xdr:rowOff>28575</xdr:rowOff>
                  </from>
                  <to>
                    <xdr:col>7</xdr:col>
                    <xdr:colOff>276225</xdr:colOff>
                    <xdr:row>1</xdr:row>
                    <xdr:rowOff>200025</xdr:rowOff>
                  </to>
                </anchor>
              </controlPr>
            </control>
          </mc:Choice>
        </mc:AlternateContent>
        <mc:AlternateContent xmlns:mc="http://schemas.openxmlformats.org/markup-compatibility/2006">
          <mc:Choice Requires="x14">
            <control shapeId="423938" r:id="rId5" name="Drop Down 2">
              <controlPr defaultSize="0" autoLine="0" autoPict="0">
                <anchor moveWithCells="1">
                  <from>
                    <xdr:col>8</xdr:col>
                    <xdr:colOff>962025</xdr:colOff>
                    <xdr:row>1</xdr:row>
                    <xdr:rowOff>38100</xdr:rowOff>
                  </from>
                  <to>
                    <xdr:col>8</xdr:col>
                    <xdr:colOff>2057400</xdr:colOff>
                    <xdr:row>1</xdr:row>
                    <xdr:rowOff>200025</xdr:rowOff>
                  </to>
                </anchor>
              </controlPr>
            </control>
          </mc:Choice>
        </mc:AlternateContent>
        <mc:AlternateContent xmlns:mc="http://schemas.openxmlformats.org/markup-compatibility/2006">
          <mc:Choice Requires="x14">
            <control shapeId="423940" r:id="rId6" name="Drop Down 4">
              <controlPr defaultSize="0" autoLine="0" autoPict="0">
                <anchor moveWithCells="1">
                  <from>
                    <xdr:col>9</xdr:col>
                    <xdr:colOff>876300</xdr:colOff>
                    <xdr:row>1</xdr:row>
                    <xdr:rowOff>28575</xdr:rowOff>
                  </from>
                  <to>
                    <xdr:col>10</xdr:col>
                    <xdr:colOff>0</xdr:colOff>
                    <xdr:row>1</xdr:row>
                    <xdr:rowOff>190500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T101"/>
  <sheetViews>
    <sheetView showGridLines="0" showRowColHeaders="0" workbookViewId="0"/>
  </sheetViews>
  <sheetFormatPr defaultColWidth="9.140625" defaultRowHeight="12.75" x14ac:dyDescent="0.2"/>
  <cols>
    <col min="1" max="1" width="13.140625" style="38" bestFit="1" customWidth="1"/>
    <col min="2" max="6" width="9.140625" style="38"/>
    <col min="7" max="7" width="31.7109375" style="38" bestFit="1" customWidth="1"/>
    <col min="8" max="12" width="9.140625" style="38"/>
    <col min="13" max="19" width="9.140625" style="66"/>
    <col min="20" max="16384" width="9.140625" style="38"/>
  </cols>
  <sheetData>
    <row r="1" spans="1:20" ht="13.9" x14ac:dyDescent="0.3">
      <c r="A1" s="238" t="s">
        <v>189</v>
      </c>
      <c r="B1" s="238">
        <f>uxbWorks!B35</f>
        <v>1</v>
      </c>
      <c r="L1" s="38">
        <f>CEILING(COUNTA(L3:L30)/4,1)</f>
        <v>3</v>
      </c>
      <c r="M1" s="38">
        <f t="shared" ref="M1:R1" si="0">CEILING(COUNTA(M3:M30)/4,1)</f>
        <v>7</v>
      </c>
      <c r="N1" s="38">
        <f t="shared" si="0"/>
        <v>5</v>
      </c>
      <c r="O1" s="38">
        <f t="shared" si="0"/>
        <v>2</v>
      </c>
      <c r="P1" s="38">
        <f t="shared" si="0"/>
        <v>5</v>
      </c>
      <c r="Q1" s="38">
        <f t="shared" si="0"/>
        <v>2</v>
      </c>
      <c r="R1" s="38">
        <f t="shared" si="0"/>
        <v>3</v>
      </c>
    </row>
    <row r="2" spans="1:20" ht="13.9" x14ac:dyDescent="0.3">
      <c r="A2" s="238" t="s">
        <v>3494</v>
      </c>
      <c r="B2" s="238">
        <f>INDEX(L1:R1,B1)</f>
        <v>3</v>
      </c>
      <c r="L2" s="58" t="s">
        <v>39</v>
      </c>
      <c r="M2" s="58" t="s">
        <v>57</v>
      </c>
      <c r="N2" s="58" t="s">
        <v>342</v>
      </c>
      <c r="O2" s="58" t="s">
        <v>368</v>
      </c>
      <c r="P2" s="58" t="s">
        <v>380</v>
      </c>
      <c r="Q2" s="58" t="s">
        <v>407</v>
      </c>
      <c r="R2" s="38"/>
      <c r="S2" s="38"/>
    </row>
    <row r="3" spans="1:20" ht="13.9" x14ac:dyDescent="0.3">
      <c r="A3" s="38" t="str">
        <f t="shared" ref="A3:A22" si="1">INDEX(L3:Z3,$B$1)</f>
        <v>GENERAL01</v>
      </c>
      <c r="B3" s="38">
        <f>IF(A3=0,0,MATCH(A3,tblIndicators!$B$2:$B$184,0))</f>
        <v>2</v>
      </c>
      <c r="F3" s="41" t="str">
        <f>INDEX(G3:H3,uxbWorks!$B$7)</f>
        <v>General indicators</v>
      </c>
      <c r="G3" s="55" t="s">
        <v>40</v>
      </c>
      <c r="H3" s="69" t="s">
        <v>428</v>
      </c>
      <c r="K3" s="1"/>
      <c r="L3" s="49" t="s">
        <v>41</v>
      </c>
      <c r="M3" s="49" t="s">
        <v>59</v>
      </c>
      <c r="N3" s="49" t="s">
        <v>344</v>
      </c>
      <c r="O3" s="49" t="s">
        <v>370</v>
      </c>
      <c r="P3" s="49" t="s">
        <v>382</v>
      </c>
      <c r="Q3" s="49" t="s">
        <v>409</v>
      </c>
      <c r="R3" s="49" t="s">
        <v>284</v>
      </c>
      <c r="S3" s="49"/>
      <c r="T3" s="49"/>
    </row>
    <row r="4" spans="1:20" ht="13.9" x14ac:dyDescent="0.3">
      <c r="A4" s="38" t="str">
        <f t="shared" si="1"/>
        <v>GENERAL02</v>
      </c>
      <c r="B4" s="38">
        <f>IF(A4=0,0,MATCH(A4,tblIndicators!$B$2:$B$184,0))</f>
        <v>3</v>
      </c>
      <c r="F4" s="41" t="str">
        <f>INDEX(G4:H4,uxbWorks!$B$7)</f>
        <v>Road transportation</v>
      </c>
      <c r="G4" s="38" t="s">
        <v>58</v>
      </c>
      <c r="H4" s="69" t="s">
        <v>429</v>
      </c>
      <c r="K4" s="1"/>
      <c r="L4" s="49" t="s">
        <v>42</v>
      </c>
      <c r="M4" s="49" t="s">
        <v>61</v>
      </c>
      <c r="N4" s="49" t="s">
        <v>345</v>
      </c>
      <c r="O4" s="49" t="s">
        <v>371</v>
      </c>
      <c r="P4" s="49" t="s">
        <v>384</v>
      </c>
      <c r="Q4" s="49" t="s">
        <v>411</v>
      </c>
      <c r="R4" s="49" t="s">
        <v>287</v>
      </c>
      <c r="S4" s="49"/>
      <c r="T4" s="49"/>
    </row>
    <row r="5" spans="1:20" ht="13.9" x14ac:dyDescent="0.3">
      <c r="A5" s="38" t="str">
        <f t="shared" si="1"/>
        <v>GENERAL03</v>
      </c>
      <c r="B5" s="38">
        <f>IF(A5=0,0,MATCH(A5,tblIndicators!$B$2:$B$184,0))</f>
        <v>4</v>
      </c>
      <c r="F5" s="41" t="str">
        <f>INDEX(G5:H5,uxbWorks!$B$7)</f>
        <v>Railway transportation</v>
      </c>
      <c r="G5" s="38" t="s">
        <v>343</v>
      </c>
      <c r="H5" s="69" t="s">
        <v>430</v>
      </c>
      <c r="K5" s="1"/>
      <c r="L5" s="49" t="s">
        <v>44</v>
      </c>
      <c r="M5" s="49" t="s">
        <v>63</v>
      </c>
      <c r="N5" s="49" t="s">
        <v>347</v>
      </c>
      <c r="O5" s="49" t="s">
        <v>373</v>
      </c>
      <c r="P5" s="49" t="s">
        <v>386</v>
      </c>
      <c r="Q5" s="49" t="s">
        <v>412</v>
      </c>
      <c r="R5" s="49" t="s">
        <v>288</v>
      </c>
      <c r="S5" s="49"/>
      <c r="T5" s="49"/>
    </row>
    <row r="6" spans="1:20" ht="13.9" x14ac:dyDescent="0.3">
      <c r="A6" s="38" t="str">
        <f t="shared" si="1"/>
        <v>GENERAL04</v>
      </c>
      <c r="B6" s="38">
        <f>IF(A6=0,0,MATCH(A6,tblIndicators!$B$2:$B$184,0))</f>
        <v>5</v>
      </c>
      <c r="F6" s="41" t="str">
        <f>INDEX(G6:H6,uxbWorks!$B$7)</f>
        <v xml:space="preserve">Air transportation </v>
      </c>
      <c r="G6" s="38" t="s">
        <v>369</v>
      </c>
      <c r="H6" s="69" t="s">
        <v>431</v>
      </c>
      <c r="K6" s="1"/>
      <c r="L6" s="49" t="s">
        <v>45</v>
      </c>
      <c r="M6" s="49" t="s">
        <v>65</v>
      </c>
      <c r="N6" s="49" t="s">
        <v>349</v>
      </c>
      <c r="O6" s="49" t="s">
        <v>375</v>
      </c>
      <c r="P6" s="49" t="s">
        <v>388</v>
      </c>
      <c r="Q6" s="49" t="s">
        <v>550</v>
      </c>
      <c r="R6" s="49" t="s">
        <v>289</v>
      </c>
      <c r="S6" s="49"/>
      <c r="T6" s="49"/>
    </row>
    <row r="7" spans="1:20" x14ac:dyDescent="0.2">
      <c r="A7" s="38" t="str">
        <f t="shared" si="1"/>
        <v>GENERAL05</v>
      </c>
      <c r="B7" s="38">
        <f>IF(A7=0,0,MATCH(A7,tblIndicators!$B$2:$B$184,0))</f>
        <v>6</v>
      </c>
      <c r="F7" s="41" t="str">
        <f>INDEX(G7:H7,uxbWorks!$B$7)</f>
        <v xml:space="preserve">Water transportation </v>
      </c>
      <c r="G7" s="38" t="s">
        <v>381</v>
      </c>
      <c r="H7" s="69" t="s">
        <v>88</v>
      </c>
      <c r="K7" s="1"/>
      <c r="L7" s="49" t="s">
        <v>46</v>
      </c>
      <c r="M7" s="49" t="s">
        <v>67</v>
      </c>
      <c r="N7" s="49" t="s">
        <v>351</v>
      </c>
      <c r="O7" s="49" t="s">
        <v>377</v>
      </c>
      <c r="P7" s="49" t="s">
        <v>390</v>
      </c>
      <c r="Q7" s="49" t="s">
        <v>551</v>
      </c>
      <c r="R7" s="49" t="s">
        <v>290</v>
      </c>
      <c r="S7" s="49"/>
      <c r="T7" s="49"/>
    </row>
    <row r="8" spans="1:20" ht="13.9" x14ac:dyDescent="0.3">
      <c r="A8" s="38" t="str">
        <f t="shared" si="1"/>
        <v>GENERAL06</v>
      </c>
      <c r="B8" s="38">
        <f>IF(A8=0,0,MATCH(A8,tblIndicators!$B$2:$B$184,0))</f>
        <v>7</v>
      </c>
      <c r="F8" s="41" t="str">
        <f>INDEX(G8:H8,uxbWorks!$B$7)</f>
        <v>Logistics activities</v>
      </c>
      <c r="G8" s="38" t="s">
        <v>408</v>
      </c>
      <c r="H8" s="69" t="s">
        <v>432</v>
      </c>
      <c r="K8" s="5"/>
      <c r="L8" s="49" t="s">
        <v>48</v>
      </c>
      <c r="M8" s="49" t="s">
        <v>69</v>
      </c>
      <c r="N8" s="49" t="s">
        <v>352</v>
      </c>
      <c r="O8" s="49" t="s">
        <v>378</v>
      </c>
      <c r="P8" s="49" t="s">
        <v>392</v>
      </c>
      <c r="Q8" s="49" t="s">
        <v>552</v>
      </c>
      <c r="R8" s="49" t="s">
        <v>291</v>
      </c>
      <c r="S8" s="49"/>
      <c r="T8" s="49"/>
    </row>
    <row r="9" spans="1:20" ht="13.9" x14ac:dyDescent="0.3">
      <c r="A9" s="38" t="str">
        <f t="shared" si="1"/>
        <v>GENERAL07</v>
      </c>
      <c r="B9" s="38">
        <f>IF(A9=0,0,MATCH(A9,tblIndicators!$B$2:$B$184,0))</f>
        <v>8</v>
      </c>
      <c r="F9" s="41" t="str">
        <f>INDEX(G9:H9,uxbWorks!$B$7)</f>
        <v>Calculated indicators</v>
      </c>
      <c r="G9" s="38" t="s">
        <v>89</v>
      </c>
      <c r="H9" s="69" t="s">
        <v>90</v>
      </c>
      <c r="K9" s="5"/>
      <c r="L9" s="49" t="s">
        <v>49</v>
      </c>
      <c r="M9" s="49" t="s">
        <v>70</v>
      </c>
      <c r="N9" s="49" t="s">
        <v>354</v>
      </c>
      <c r="O9" s="49" t="s">
        <v>379</v>
      </c>
      <c r="P9" s="49" t="s">
        <v>394</v>
      </c>
      <c r="Q9" s="49"/>
      <c r="R9" s="49" t="s">
        <v>292</v>
      </c>
      <c r="S9" s="49"/>
      <c r="T9" s="49"/>
    </row>
    <row r="10" spans="1:20" ht="13.9" x14ac:dyDescent="0.3">
      <c r="A10" s="38" t="str">
        <f t="shared" si="1"/>
        <v>GENERAL08</v>
      </c>
      <c r="B10" s="38">
        <f>IF(A10=0,0,MATCH(A10,tblIndicators!$B$2:$B$184,0))</f>
        <v>9</v>
      </c>
      <c r="F10" s="41"/>
      <c r="H10" s="69"/>
      <c r="K10" s="5"/>
      <c r="L10" s="49" t="s">
        <v>50</v>
      </c>
      <c r="M10" s="49" t="s">
        <v>71</v>
      </c>
      <c r="N10" s="49" t="s">
        <v>356</v>
      </c>
      <c r="O10" s="49"/>
      <c r="P10" s="49" t="s">
        <v>396</v>
      </c>
      <c r="Q10" s="49"/>
      <c r="R10" s="49" t="s">
        <v>293</v>
      </c>
      <c r="S10" s="49"/>
      <c r="T10" s="49"/>
    </row>
    <row r="11" spans="1:20" ht="13.9" x14ac:dyDescent="0.3">
      <c r="A11" s="38" t="str">
        <f t="shared" si="1"/>
        <v>GENERAL09</v>
      </c>
      <c r="B11" s="38">
        <f>IF(A11=0,0,MATCH(A11,tblIndicators!$B$2:$B$184,0))</f>
        <v>10</v>
      </c>
      <c r="F11" s="41"/>
      <c r="H11" s="69"/>
      <c r="K11" s="5"/>
      <c r="L11" s="49" t="s">
        <v>52</v>
      </c>
      <c r="M11" s="49" t="s">
        <v>72</v>
      </c>
      <c r="N11" s="49" t="s">
        <v>358</v>
      </c>
      <c r="O11" s="49"/>
      <c r="P11" s="49" t="s">
        <v>398</v>
      </c>
      <c r="Q11" s="49"/>
      <c r="R11" s="49" t="s">
        <v>294</v>
      </c>
      <c r="S11" s="49"/>
      <c r="T11" s="49"/>
    </row>
    <row r="12" spans="1:20" ht="13.9" x14ac:dyDescent="0.3">
      <c r="A12" s="38" t="str">
        <f t="shared" si="1"/>
        <v>GENERAL10</v>
      </c>
      <c r="B12" s="38">
        <f>IF(A12=0,0,MATCH(A12,tblIndicators!$B$2:$B$184,0))</f>
        <v>11</v>
      </c>
      <c r="F12" s="41"/>
      <c r="H12" s="105"/>
      <c r="K12" s="5"/>
      <c r="L12" s="49" t="s">
        <v>54</v>
      </c>
      <c r="M12" s="49" t="s">
        <v>74</v>
      </c>
      <c r="N12" s="49" t="s">
        <v>359</v>
      </c>
      <c r="O12" s="49"/>
      <c r="P12" s="49" t="s">
        <v>400</v>
      </c>
      <c r="Q12" s="49"/>
      <c r="R12" s="49" t="s">
        <v>295</v>
      </c>
      <c r="S12" s="49"/>
      <c r="T12" s="49"/>
    </row>
    <row r="13" spans="1:20" ht="13.9" x14ac:dyDescent="0.3">
      <c r="A13" s="38" t="str">
        <f t="shared" si="1"/>
        <v>GENERAL11</v>
      </c>
      <c r="B13" s="38">
        <f>IF(A13=0,0,MATCH(A13,tblIndicators!$B$2:$B$184,0))</f>
        <v>12</v>
      </c>
      <c r="F13" s="41"/>
      <c r="H13" s="105"/>
      <c r="K13" s="5"/>
      <c r="L13" s="49" t="s">
        <v>56</v>
      </c>
      <c r="M13" s="49" t="s">
        <v>76</v>
      </c>
      <c r="N13" s="49" t="s">
        <v>360</v>
      </c>
      <c r="O13" s="49"/>
      <c r="P13" s="49" t="s">
        <v>402</v>
      </c>
      <c r="Q13" s="49"/>
      <c r="R13" s="49"/>
      <c r="S13" s="38"/>
    </row>
    <row r="14" spans="1:20" ht="13.9" x14ac:dyDescent="0.3">
      <c r="A14" s="38">
        <f t="shared" si="1"/>
        <v>0</v>
      </c>
      <c r="B14" s="38">
        <f>IF(A14=0,0,MATCH(A14,tblIndicators!$B$2:$B$184,0))</f>
        <v>0</v>
      </c>
      <c r="F14" s="41"/>
      <c r="H14" s="105"/>
      <c r="K14" s="5"/>
      <c r="L14" s="58"/>
      <c r="M14" s="49" t="s">
        <v>78</v>
      </c>
      <c r="N14" s="49" t="s">
        <v>361</v>
      </c>
      <c r="O14" s="49"/>
      <c r="P14" s="49" t="s">
        <v>403</v>
      </c>
      <c r="Q14" s="49"/>
      <c r="R14" s="38"/>
      <c r="S14" s="38"/>
    </row>
    <row r="15" spans="1:20" ht="13.9" x14ac:dyDescent="0.3">
      <c r="A15" s="38">
        <f t="shared" si="1"/>
        <v>0</v>
      </c>
      <c r="B15" s="38">
        <f>IF(A15=0,0,MATCH(A15,tblIndicators!$B$2:$B$184,0))</f>
        <v>0</v>
      </c>
      <c r="F15" s="41"/>
      <c r="H15" s="105"/>
      <c r="K15" s="5"/>
      <c r="L15" s="49"/>
      <c r="M15" s="49" t="s">
        <v>80</v>
      </c>
      <c r="N15" s="49" t="s">
        <v>362</v>
      </c>
      <c r="O15" s="58"/>
      <c r="P15" s="49" t="s">
        <v>405</v>
      </c>
      <c r="Q15" s="49"/>
      <c r="R15" s="38"/>
      <c r="S15" s="38"/>
    </row>
    <row r="16" spans="1:20" ht="13.9" x14ac:dyDescent="0.3">
      <c r="A16" s="38">
        <f t="shared" si="1"/>
        <v>0</v>
      </c>
      <c r="B16" s="38">
        <f>IF(A16=0,0,MATCH(A16,tblIndicators!$B$2:$B$184,0))</f>
        <v>0</v>
      </c>
      <c r="F16" s="41"/>
      <c r="H16" s="105"/>
      <c r="K16" s="5"/>
      <c r="L16" s="49"/>
      <c r="M16" s="49" t="s">
        <v>82</v>
      </c>
      <c r="N16" s="49" t="s">
        <v>363</v>
      </c>
      <c r="O16" s="49"/>
      <c r="P16" s="49" t="s">
        <v>406</v>
      </c>
      <c r="Q16" s="49"/>
      <c r="R16" s="38"/>
      <c r="S16" s="38"/>
    </row>
    <row r="17" spans="1:19" ht="13.9" x14ac:dyDescent="0.3">
      <c r="A17" s="38">
        <f t="shared" si="1"/>
        <v>0</v>
      </c>
      <c r="B17" s="38">
        <f>IF(A17=0,0,MATCH(A17,tblIndicators!$B$2:$B$184,0))</f>
        <v>0</v>
      </c>
      <c r="F17" s="41"/>
      <c r="H17" s="66"/>
      <c r="K17" s="5"/>
      <c r="L17" s="49"/>
      <c r="M17" s="49" t="s">
        <v>324</v>
      </c>
      <c r="N17" s="49" t="s">
        <v>364</v>
      </c>
      <c r="O17" s="49"/>
      <c r="P17" s="100" t="s">
        <v>707</v>
      </c>
      <c r="Q17" s="49"/>
      <c r="R17" s="38"/>
      <c r="S17" s="38"/>
    </row>
    <row r="18" spans="1:19" ht="13.9" x14ac:dyDescent="0.3">
      <c r="A18" s="38">
        <f t="shared" si="1"/>
        <v>0</v>
      </c>
      <c r="B18" s="38">
        <f>IF(A18=0,0,MATCH(A18,tblIndicators!$B$2:$B$184,0))</f>
        <v>0</v>
      </c>
      <c r="K18" s="5"/>
      <c r="L18" s="49"/>
      <c r="M18" s="49" t="s">
        <v>325</v>
      </c>
      <c r="N18" s="49" t="s">
        <v>365</v>
      </c>
      <c r="O18" s="49"/>
      <c r="P18" s="100" t="s">
        <v>709</v>
      </c>
      <c r="Q18" s="49"/>
      <c r="R18" s="38"/>
      <c r="S18" s="38"/>
    </row>
    <row r="19" spans="1:19" ht="13.9" x14ac:dyDescent="0.3">
      <c r="A19" s="38">
        <f t="shared" si="1"/>
        <v>0</v>
      </c>
      <c r="B19" s="38">
        <f>IF(A19=0,0,MATCH(A19,tblIndicators!$B$2:$B$184,0))</f>
        <v>0</v>
      </c>
      <c r="K19" s="5"/>
      <c r="L19" s="49"/>
      <c r="M19" s="49" t="s">
        <v>326</v>
      </c>
      <c r="N19" s="49" t="s">
        <v>366</v>
      </c>
      <c r="O19" s="49"/>
      <c r="P19" s="100" t="s">
        <v>711</v>
      </c>
      <c r="Q19" s="49"/>
      <c r="R19" s="38"/>
      <c r="S19" s="38"/>
    </row>
    <row r="20" spans="1:19" ht="13.9" x14ac:dyDescent="0.3">
      <c r="A20" s="38">
        <f t="shared" si="1"/>
        <v>0</v>
      </c>
      <c r="B20" s="38">
        <f>IF(A20=0,0,MATCH(A20,tblIndicators!$B$2:$B$184,0))</f>
        <v>0</v>
      </c>
      <c r="K20" s="5"/>
      <c r="L20" s="49"/>
      <c r="M20" s="49" t="s">
        <v>327</v>
      </c>
      <c r="N20" s="49" t="s">
        <v>367</v>
      </c>
      <c r="O20" s="58"/>
      <c r="P20" s="100" t="s">
        <v>713</v>
      </c>
      <c r="R20" s="38"/>
      <c r="S20" s="38"/>
    </row>
    <row r="21" spans="1:19" ht="13.9" x14ac:dyDescent="0.3">
      <c r="A21" s="38">
        <f t="shared" si="1"/>
        <v>0</v>
      </c>
      <c r="B21" s="38">
        <f>IF(A21=0,0,MATCH(A21,tblIndicators!$B$2:$B$184,0))</f>
        <v>0</v>
      </c>
      <c r="L21" s="49"/>
      <c r="M21" s="49" t="s">
        <v>328</v>
      </c>
      <c r="N21" s="49"/>
      <c r="O21" s="49"/>
      <c r="P21" s="49"/>
      <c r="R21" s="38"/>
      <c r="S21" s="38"/>
    </row>
    <row r="22" spans="1:19" ht="13.9" x14ac:dyDescent="0.3">
      <c r="A22" s="38">
        <f t="shared" si="1"/>
        <v>0</v>
      </c>
      <c r="B22" s="38">
        <f>IF(A22=0,0,MATCH(A22,tblIndicators!$B$2:$B$184,0))</f>
        <v>0</v>
      </c>
      <c r="L22" s="49"/>
      <c r="M22" s="49" t="s">
        <v>329</v>
      </c>
      <c r="N22" s="58"/>
      <c r="O22" s="49"/>
      <c r="P22" s="49"/>
      <c r="R22" s="38"/>
      <c r="S22" s="38"/>
    </row>
    <row r="23" spans="1:19" ht="13.9" x14ac:dyDescent="0.3">
      <c r="A23" s="38">
        <f t="shared" ref="A23:A30" si="2">INDEX(L23:Z23,$B$1)</f>
        <v>0</v>
      </c>
      <c r="B23" s="38">
        <f>IF(A23=0,0,MATCH(A23,tblIndicators!$B$2:$B$184,0))</f>
        <v>0</v>
      </c>
      <c r="L23" s="49"/>
      <c r="M23" s="49" t="s">
        <v>331</v>
      </c>
      <c r="N23" s="49"/>
      <c r="O23" s="49"/>
      <c r="P23" s="49"/>
      <c r="R23" s="38"/>
      <c r="S23" s="38"/>
    </row>
    <row r="24" spans="1:19" ht="13.9" x14ac:dyDescent="0.3">
      <c r="A24" s="38">
        <f t="shared" si="2"/>
        <v>0</v>
      </c>
      <c r="B24" s="38">
        <f>IF(A24=0,0,MATCH(A24,tblIndicators!$B$2:$B$184,0))</f>
        <v>0</v>
      </c>
      <c r="L24" s="49"/>
      <c r="M24" s="49" t="s">
        <v>333</v>
      </c>
      <c r="N24" s="49"/>
      <c r="O24" s="49"/>
      <c r="P24" s="49"/>
      <c r="R24" s="38"/>
      <c r="S24" s="38"/>
    </row>
    <row r="25" spans="1:19" ht="13.9" x14ac:dyDescent="0.3">
      <c r="A25" s="38">
        <f t="shared" si="2"/>
        <v>0</v>
      </c>
      <c r="B25" s="38">
        <f>IF(A25=0,0,MATCH(A25,tblIndicators!$B$2:$B$184,0))</f>
        <v>0</v>
      </c>
      <c r="L25" s="49"/>
      <c r="M25" s="49" t="s">
        <v>334</v>
      </c>
      <c r="N25" s="49"/>
      <c r="O25" s="49"/>
      <c r="P25" s="49"/>
      <c r="R25" s="38"/>
      <c r="S25" s="38"/>
    </row>
    <row r="26" spans="1:19" ht="13.9" x14ac:dyDescent="0.3">
      <c r="A26" s="38">
        <f t="shared" si="2"/>
        <v>0</v>
      </c>
      <c r="B26" s="38">
        <f>IF(A26=0,0,MATCH(A26,tblIndicators!$B$2:$B$184,0))</f>
        <v>0</v>
      </c>
      <c r="L26" s="49"/>
      <c r="M26" s="49" t="s">
        <v>335</v>
      </c>
      <c r="N26" s="49"/>
      <c r="O26" s="49"/>
      <c r="P26" s="49"/>
      <c r="R26" s="38"/>
      <c r="S26" s="38"/>
    </row>
    <row r="27" spans="1:19" ht="13.9" x14ac:dyDescent="0.3">
      <c r="A27" s="38">
        <f t="shared" si="2"/>
        <v>0</v>
      </c>
      <c r="B27" s="38">
        <f>IF(A27=0,0,MATCH(A27,tblIndicators!$B$2:$B$184,0))</f>
        <v>0</v>
      </c>
      <c r="L27" s="49"/>
      <c r="M27" s="49" t="s">
        <v>337</v>
      </c>
      <c r="N27" s="58"/>
      <c r="O27" s="49"/>
      <c r="P27" s="49"/>
      <c r="R27" s="38"/>
      <c r="S27" s="38"/>
    </row>
    <row r="28" spans="1:19" ht="13.9" x14ac:dyDescent="0.3">
      <c r="A28" s="38">
        <f t="shared" si="2"/>
        <v>0</v>
      </c>
      <c r="B28" s="38">
        <f>IF(A28=0,0,MATCH(A28,tblIndicators!$B$2:$B$184,0))</f>
        <v>0</v>
      </c>
      <c r="H28" s="1"/>
      <c r="L28" s="49"/>
      <c r="M28" s="49" t="s">
        <v>338</v>
      </c>
      <c r="N28" s="49"/>
      <c r="O28" s="49"/>
      <c r="P28" s="49"/>
      <c r="R28" s="38"/>
      <c r="S28" s="38"/>
    </row>
    <row r="29" spans="1:19" ht="13.9" x14ac:dyDescent="0.3">
      <c r="A29" s="38">
        <f t="shared" si="2"/>
        <v>0</v>
      </c>
      <c r="B29" s="38">
        <f>IF(A29=0,0,MATCH(A29,tblIndicators!$B$2:$B$184,0))</f>
        <v>0</v>
      </c>
      <c r="H29" s="1"/>
      <c r="L29" s="49"/>
      <c r="M29" s="49" t="s">
        <v>339</v>
      </c>
      <c r="N29" s="49"/>
      <c r="O29" s="49"/>
      <c r="P29" s="49"/>
      <c r="R29" s="38"/>
      <c r="S29" s="38"/>
    </row>
    <row r="30" spans="1:19" x14ac:dyDescent="0.2">
      <c r="A30" s="38">
        <f t="shared" si="2"/>
        <v>0</v>
      </c>
      <c r="B30" s="38">
        <f>IF(A30=0,0,MATCH(A30,tblIndicators!$B$2:$B$184,0))</f>
        <v>0</v>
      </c>
      <c r="H30" s="1"/>
      <c r="L30" s="49"/>
      <c r="M30" s="49" t="s">
        <v>341</v>
      </c>
      <c r="N30" s="49"/>
      <c r="O30" s="49"/>
      <c r="P30" s="49"/>
      <c r="R30" s="38"/>
      <c r="S30" s="38"/>
    </row>
    <row r="31" spans="1:19" x14ac:dyDescent="0.2">
      <c r="H31" s="1"/>
      <c r="M31" s="49"/>
      <c r="N31" s="49"/>
      <c r="O31" s="49"/>
      <c r="P31" s="49"/>
      <c r="Q31" s="49"/>
      <c r="S31" s="38"/>
    </row>
    <row r="32" spans="1:19" x14ac:dyDescent="0.2">
      <c r="H32" s="1"/>
      <c r="M32" s="49"/>
      <c r="N32" s="49"/>
      <c r="O32" s="49"/>
      <c r="P32" s="49"/>
      <c r="Q32" s="49"/>
    </row>
    <row r="33" spans="8:20" x14ac:dyDescent="0.2">
      <c r="H33" s="1"/>
      <c r="M33" s="49"/>
      <c r="N33" s="49"/>
      <c r="O33" s="49"/>
      <c r="P33" s="49"/>
    </row>
    <row r="34" spans="8:20" x14ac:dyDescent="0.2">
      <c r="H34" s="1"/>
      <c r="L34" s="38">
        <f>MATCH(L3,tblIndicators!$B$2:$B$103,0)</f>
        <v>2</v>
      </c>
      <c r="M34" s="38">
        <f>MATCH(M3,tblIndicators!$B$2:$B$103,0)</f>
        <v>14</v>
      </c>
      <c r="N34" s="38">
        <f>MATCH(N3,tblIndicators!$B$2:$B$103,0)</f>
        <v>43</v>
      </c>
      <c r="O34" s="38">
        <f>MATCH(O3,tblIndicators!$B$2:$B$103,0)</f>
        <v>62</v>
      </c>
      <c r="P34" s="38">
        <f>MATCH(P3,tblIndicators!$B$2:$B$103,0)</f>
        <v>70</v>
      </c>
      <c r="Q34" s="38">
        <f>MATCH(Q3,tblIndicators!$B$2:$B$103,0)</f>
        <v>89</v>
      </c>
      <c r="R34" s="38">
        <f>MATCH(R3,tblIndicators!$B$2:$B$103,0)</f>
        <v>96</v>
      </c>
      <c r="S34" s="38" t="e">
        <f>MATCH(S3,tblIndicators!$B$2:$B$103,0)</f>
        <v>#N/A</v>
      </c>
      <c r="T34" s="38" t="e">
        <f>MATCH(T3,tblIndicators!$B$2:$B$103,0)</f>
        <v>#N/A</v>
      </c>
    </row>
    <row r="35" spans="8:20" x14ac:dyDescent="0.2">
      <c r="H35" s="1"/>
      <c r="L35" s="38">
        <f>MATCH(L4,tblIndicators!$B$2:$B$103,0)</f>
        <v>3</v>
      </c>
      <c r="M35" s="38">
        <f>MATCH(M4,tblIndicators!$B$2:$B$103,0)</f>
        <v>15</v>
      </c>
      <c r="N35" s="38">
        <f>MATCH(N4,tblIndicators!$B$2:$B$103,0)</f>
        <v>44</v>
      </c>
      <c r="O35" s="38">
        <f>MATCH(O4,tblIndicators!$B$2:$B$103,0)</f>
        <v>63</v>
      </c>
      <c r="P35" s="38">
        <f>MATCH(P4,tblIndicators!$B$2:$B$103,0)</f>
        <v>71</v>
      </c>
      <c r="Q35" s="38">
        <f>MATCH(Q4,tblIndicators!$B$2:$B$103,0)</f>
        <v>90</v>
      </c>
      <c r="R35" s="38">
        <f>MATCH(R4,tblIndicators!$B$2:$B$103,0)</f>
        <v>97</v>
      </c>
      <c r="S35" s="38" t="e">
        <f>MATCH(S4,tblIndicators!$B$2:$B$103,0)</f>
        <v>#N/A</v>
      </c>
      <c r="T35" s="38" t="e">
        <f>MATCH(T4,tblIndicators!$B$2:$B$103,0)</f>
        <v>#N/A</v>
      </c>
    </row>
    <row r="36" spans="8:20" x14ac:dyDescent="0.2">
      <c r="L36" s="38">
        <f>MATCH(L5,tblIndicators!$B$2:$B$103,0)</f>
        <v>4</v>
      </c>
      <c r="M36" s="38">
        <f>MATCH(M5,tblIndicators!$B$2:$B$103,0)</f>
        <v>16</v>
      </c>
      <c r="N36" s="38">
        <f>MATCH(N5,tblIndicators!$B$2:$B$103,0)</f>
        <v>45</v>
      </c>
      <c r="O36" s="38">
        <f>MATCH(O5,tblIndicators!$B$2:$B$103,0)</f>
        <v>64</v>
      </c>
      <c r="P36" s="38">
        <f>MATCH(P5,tblIndicators!$B$2:$B$103,0)</f>
        <v>72</v>
      </c>
      <c r="Q36" s="38">
        <f>MATCH(Q5,tblIndicators!$B$2:$B$103,0)</f>
        <v>91</v>
      </c>
      <c r="R36" s="38">
        <f>MATCH(R5,tblIndicators!$B$2:$B$103,0)</f>
        <v>98</v>
      </c>
      <c r="S36" s="38" t="e">
        <f>MATCH(S5,tblIndicators!$B$2:$B$103,0)</f>
        <v>#N/A</v>
      </c>
      <c r="T36" s="38" t="e">
        <f>MATCH(T5,tblIndicators!$B$2:$B$103,0)</f>
        <v>#N/A</v>
      </c>
    </row>
    <row r="37" spans="8:20" x14ac:dyDescent="0.2">
      <c r="L37" s="38">
        <f>MATCH(L6,tblIndicators!$B$2:$B$103,0)</f>
        <v>5</v>
      </c>
      <c r="M37" s="38">
        <f>MATCH(M6,tblIndicators!$B$2:$B$103,0)</f>
        <v>17</v>
      </c>
      <c r="N37" s="38">
        <f>MATCH(N6,tblIndicators!$B$2:$B$103,0)</f>
        <v>46</v>
      </c>
      <c r="O37" s="38">
        <f>MATCH(O6,tblIndicators!$B$2:$B$103,0)</f>
        <v>65</v>
      </c>
      <c r="P37" s="38">
        <f>MATCH(P6,tblIndicators!$B$2:$B$103,0)</f>
        <v>73</v>
      </c>
      <c r="Q37" s="38">
        <f>MATCH(Q6,tblIndicators!$B$2:$B$103,0)</f>
        <v>92</v>
      </c>
      <c r="R37" s="38">
        <f>MATCH(R6,tblIndicators!$B$2:$B$103,0)</f>
        <v>99</v>
      </c>
      <c r="S37" s="38" t="e">
        <f>MATCH(S6,tblIndicators!$B$2:$B$103,0)</f>
        <v>#N/A</v>
      </c>
      <c r="T37" s="38" t="e">
        <f>MATCH(T6,tblIndicators!$B$2:$B$103,0)</f>
        <v>#N/A</v>
      </c>
    </row>
    <row r="38" spans="8:20" x14ac:dyDescent="0.2">
      <c r="L38" s="38">
        <f>MATCH(L7,tblIndicators!$B$2:$B$103,0)</f>
        <v>6</v>
      </c>
      <c r="M38" s="38">
        <f>MATCH(M7,tblIndicators!$B$2:$B$103,0)</f>
        <v>18</v>
      </c>
      <c r="N38" s="38">
        <f>MATCH(N7,tblIndicators!$B$2:$B$103,0)</f>
        <v>47</v>
      </c>
      <c r="O38" s="38">
        <f>MATCH(O7,tblIndicators!$B$2:$B$103,0)</f>
        <v>66</v>
      </c>
      <c r="P38" s="38">
        <f>MATCH(P7,tblIndicators!$B$2:$B$103,0)</f>
        <v>74</v>
      </c>
      <c r="Q38" s="38">
        <f>MATCH(Q7,tblIndicators!$B$2:$B$103,0)</f>
        <v>93</v>
      </c>
      <c r="R38" s="38">
        <f>MATCH(R7,tblIndicators!$B$2:$B$103,0)</f>
        <v>100</v>
      </c>
      <c r="S38" s="38" t="e">
        <f>MATCH(S7,tblIndicators!$B$2:$B$103,0)</f>
        <v>#N/A</v>
      </c>
      <c r="T38" s="38" t="e">
        <f>MATCH(T7,tblIndicators!$B$2:$B$103,0)</f>
        <v>#N/A</v>
      </c>
    </row>
    <row r="39" spans="8:20" x14ac:dyDescent="0.2">
      <c r="L39" s="38">
        <f>MATCH(L8,tblIndicators!$B$2:$B$103,0)</f>
        <v>7</v>
      </c>
      <c r="M39" s="38">
        <f>MATCH(M8,tblIndicators!$B$2:$B$103,0)</f>
        <v>19</v>
      </c>
      <c r="N39" s="38">
        <f>MATCH(N8,tblIndicators!$B$2:$B$103,0)</f>
        <v>48</v>
      </c>
      <c r="O39" s="38">
        <f>MATCH(O8,tblIndicators!$B$2:$B$103,0)</f>
        <v>67</v>
      </c>
      <c r="P39" s="38">
        <f>MATCH(P8,tblIndicators!$B$2:$B$103,0)</f>
        <v>75</v>
      </c>
      <c r="Q39" s="38">
        <f>MATCH(Q8,tblIndicators!$B$2:$B$103,0)</f>
        <v>94</v>
      </c>
      <c r="R39" s="38">
        <f>MATCH(R8,tblIndicators!$B$2:$B$103,0)</f>
        <v>101</v>
      </c>
      <c r="S39" s="38" t="e">
        <f>MATCH(S8,tblIndicators!$B$2:$B$103,0)</f>
        <v>#N/A</v>
      </c>
      <c r="T39" s="38" t="e">
        <f>MATCH(T8,tblIndicators!$B$2:$B$103,0)</f>
        <v>#N/A</v>
      </c>
    </row>
    <row r="40" spans="8:20" x14ac:dyDescent="0.2">
      <c r="L40" s="38">
        <f>MATCH(L9,tblIndicators!$B$2:$B$103,0)</f>
        <v>8</v>
      </c>
      <c r="M40" s="38">
        <f>MATCH(M9,tblIndicators!$B$2:$B$103,0)</f>
        <v>20</v>
      </c>
      <c r="N40" s="38">
        <f>MATCH(N9,tblIndicators!$B$2:$B$103,0)</f>
        <v>49</v>
      </c>
      <c r="O40" s="38">
        <f>MATCH(O9,tblIndicators!$B$2:$B$103,0)</f>
        <v>68</v>
      </c>
      <c r="P40" s="38">
        <f>MATCH(P9,tblIndicators!$B$2:$B$103,0)</f>
        <v>76</v>
      </c>
      <c r="Q40" s="38" t="e">
        <f>MATCH(Q9,tblIndicators!$B$2:$B$103,0)</f>
        <v>#N/A</v>
      </c>
      <c r="R40" s="38">
        <f>MATCH(R9,tblIndicators!$B$2:$B$103,0)</f>
        <v>102</v>
      </c>
      <c r="S40" s="38" t="e">
        <f>MATCH(S9,tblIndicators!$B$2:$B$103,0)</f>
        <v>#N/A</v>
      </c>
      <c r="T40" s="38" t="e">
        <f>MATCH(T9,tblIndicators!$B$2:$B$103,0)</f>
        <v>#N/A</v>
      </c>
    </row>
    <row r="41" spans="8:20" x14ac:dyDescent="0.2">
      <c r="L41" s="38">
        <f>MATCH(L10,tblIndicators!$B$2:$B$103,0)</f>
        <v>9</v>
      </c>
      <c r="M41" s="38">
        <f>MATCH(M10,tblIndicators!$B$2:$B$103,0)</f>
        <v>21</v>
      </c>
      <c r="N41" s="38">
        <f>MATCH(N10,tblIndicators!$B$2:$B$103,0)</f>
        <v>50</v>
      </c>
      <c r="O41" s="38" t="e">
        <f>MATCH(O10,tblIndicators!$B$2:$B$103,0)</f>
        <v>#N/A</v>
      </c>
      <c r="P41" s="38">
        <f>MATCH(P10,tblIndicators!$B$2:$B$103,0)</f>
        <v>77</v>
      </c>
      <c r="Q41" s="38" t="e">
        <f>MATCH(Q10,tblIndicators!$B$2:$B$103,0)</f>
        <v>#N/A</v>
      </c>
      <c r="R41" s="38" t="e">
        <f>MATCH(R10,tblIndicators!$B$2:$B$103,0)</f>
        <v>#N/A</v>
      </c>
      <c r="S41" s="38" t="e">
        <f>MATCH(S10,tblIndicators!$B$2:$B$103,0)</f>
        <v>#N/A</v>
      </c>
      <c r="T41" s="38" t="e">
        <f>MATCH(T10,tblIndicators!$B$2:$B$103,0)</f>
        <v>#N/A</v>
      </c>
    </row>
    <row r="42" spans="8:20" x14ac:dyDescent="0.2">
      <c r="L42" s="38">
        <f>MATCH(L11,tblIndicators!$B$2:$B$103,0)</f>
        <v>10</v>
      </c>
      <c r="M42" s="38">
        <f>MATCH(M11,tblIndicators!$B$2:$B$103,0)</f>
        <v>22</v>
      </c>
      <c r="N42" s="38">
        <f>MATCH(N11,tblIndicators!$B$2:$B$103,0)</f>
        <v>51</v>
      </c>
      <c r="O42" s="38" t="e">
        <f>MATCH(O11,tblIndicators!$B$2:$B$103,0)</f>
        <v>#N/A</v>
      </c>
      <c r="P42" s="38">
        <f>MATCH(P11,tblIndicators!$B$2:$B$103,0)</f>
        <v>78</v>
      </c>
      <c r="Q42" s="38" t="e">
        <f>MATCH(Q11,tblIndicators!$B$2:$B$103,0)</f>
        <v>#N/A</v>
      </c>
      <c r="R42" s="38" t="e">
        <f>MATCH(R11,tblIndicators!$B$2:$B$103,0)</f>
        <v>#N/A</v>
      </c>
      <c r="S42" s="38" t="e">
        <f>MATCH(S11,tblIndicators!$B$2:$B$103,0)</f>
        <v>#N/A</v>
      </c>
      <c r="T42" s="38" t="e">
        <f>MATCH(T11,tblIndicators!$B$2:$B$103,0)</f>
        <v>#N/A</v>
      </c>
    </row>
    <row r="43" spans="8:20" x14ac:dyDescent="0.2">
      <c r="L43" s="38">
        <f>MATCH(L12,tblIndicators!$B$2:$B$103,0)</f>
        <v>11</v>
      </c>
      <c r="M43" s="38">
        <f>MATCH(M12,tblIndicators!$B$2:$B$103,0)</f>
        <v>23</v>
      </c>
      <c r="N43" s="38">
        <f>MATCH(N12,tblIndicators!$B$2:$B$103,0)</f>
        <v>52</v>
      </c>
      <c r="O43" s="38" t="e">
        <f>MATCH(O12,tblIndicators!$B$2:$B$103,0)</f>
        <v>#N/A</v>
      </c>
      <c r="P43" s="38">
        <f>MATCH(P12,tblIndicators!$B$2:$B$103,0)</f>
        <v>79</v>
      </c>
      <c r="Q43" s="38" t="e">
        <f>MATCH(Q12,tblIndicators!$B$2:$B$103,0)</f>
        <v>#N/A</v>
      </c>
      <c r="R43" s="38" t="e">
        <f>MATCH(R12,tblIndicators!$B$2:$B$103,0)</f>
        <v>#N/A</v>
      </c>
      <c r="S43" s="38" t="e">
        <f>MATCH(S12,tblIndicators!$B$2:$B$103,0)</f>
        <v>#N/A</v>
      </c>
      <c r="T43" s="38" t="e">
        <f>MATCH(T12,tblIndicators!$B$2:$B$103,0)</f>
        <v>#N/A</v>
      </c>
    </row>
    <row r="44" spans="8:20" x14ac:dyDescent="0.2">
      <c r="L44" s="38">
        <f>MATCH(L13,tblIndicators!$B$2:$B$103,0)</f>
        <v>12</v>
      </c>
      <c r="M44" s="38">
        <f>MATCH(M13,tblIndicators!$B$2:$B$103,0)</f>
        <v>24</v>
      </c>
      <c r="N44" s="38">
        <f>MATCH(N13,tblIndicators!$B$2:$B$103,0)</f>
        <v>53</v>
      </c>
      <c r="O44" s="38" t="e">
        <f>MATCH(O13,tblIndicators!$B$2:$B$103,0)</f>
        <v>#N/A</v>
      </c>
      <c r="P44" s="38">
        <f>MATCH(P13,tblIndicators!$B$2:$B$103,0)</f>
        <v>80</v>
      </c>
      <c r="Q44" s="38" t="e">
        <f>MATCH(Q13,tblIndicators!$B$2:$B$103,0)</f>
        <v>#N/A</v>
      </c>
      <c r="R44" s="38" t="e">
        <f>MATCH(R13,tblIndicators!$B$2:$B$103,0)</f>
        <v>#N/A</v>
      </c>
      <c r="S44" s="38" t="e">
        <f>MATCH(S13,tblIndicators!$B$2:$B$103,0)</f>
        <v>#N/A</v>
      </c>
      <c r="T44" s="38" t="e">
        <f>MATCH(T13,tblIndicators!$B$2:$B$103,0)</f>
        <v>#N/A</v>
      </c>
    </row>
    <row r="45" spans="8:20" x14ac:dyDescent="0.2">
      <c r="L45" s="38" t="e">
        <f>MATCH(L14,tblIndicators!$B$2:$B$103,0)</f>
        <v>#N/A</v>
      </c>
      <c r="M45" s="38">
        <f>MATCH(M14,tblIndicators!$B$2:$B$103,0)</f>
        <v>25</v>
      </c>
      <c r="N45" s="38">
        <f>MATCH(N14,tblIndicators!$B$2:$B$103,0)</f>
        <v>54</v>
      </c>
      <c r="O45" s="38" t="e">
        <f>MATCH(O14,tblIndicators!$B$2:$B$103,0)</f>
        <v>#N/A</v>
      </c>
      <c r="P45" s="38">
        <f>MATCH(P14,tblIndicators!$B$2:$B$103,0)</f>
        <v>81</v>
      </c>
      <c r="Q45" s="38" t="e">
        <f>MATCH(Q14,tblIndicators!$B$2:$B$103,0)</f>
        <v>#N/A</v>
      </c>
      <c r="R45" s="38" t="e">
        <f>MATCH(R14,tblIndicators!$B$2:$B$103,0)</f>
        <v>#N/A</v>
      </c>
      <c r="S45" s="38" t="e">
        <f>MATCH(S14,tblIndicators!$B$2:$B$103,0)</f>
        <v>#N/A</v>
      </c>
      <c r="T45" s="38" t="e">
        <f>MATCH(T14,tblIndicators!$B$2:$B$103,0)</f>
        <v>#N/A</v>
      </c>
    </row>
    <row r="46" spans="8:20" x14ac:dyDescent="0.2">
      <c r="L46" s="38" t="e">
        <f>MATCH(L15,tblIndicators!$B$2:$B$103,0)</f>
        <v>#N/A</v>
      </c>
      <c r="M46" s="38">
        <f>MATCH(M15,tblIndicators!$B$2:$B$103,0)</f>
        <v>26</v>
      </c>
      <c r="N46" s="38">
        <f>MATCH(N15,tblIndicators!$B$2:$B$103,0)</f>
        <v>55</v>
      </c>
      <c r="O46" s="38" t="e">
        <f>MATCH(O15,tblIndicators!$B$2:$B$103,0)</f>
        <v>#N/A</v>
      </c>
      <c r="P46" s="38">
        <f>MATCH(P15,tblIndicators!$B$2:$B$103,0)</f>
        <v>82</v>
      </c>
      <c r="Q46" s="38" t="e">
        <f>MATCH(Q15,tblIndicators!$B$2:$B$103,0)</f>
        <v>#N/A</v>
      </c>
      <c r="R46" s="38" t="e">
        <f>MATCH(R15,tblIndicators!$B$2:$B$103,0)</f>
        <v>#N/A</v>
      </c>
      <c r="S46" s="38" t="e">
        <f>MATCH(S15,tblIndicators!$B$2:$B$103,0)</f>
        <v>#N/A</v>
      </c>
      <c r="T46" s="38" t="e">
        <f>MATCH(T15,tblIndicators!$B$2:$B$103,0)</f>
        <v>#N/A</v>
      </c>
    </row>
    <row r="47" spans="8:20" x14ac:dyDescent="0.2">
      <c r="L47" s="38" t="e">
        <f>MATCH(L16,tblIndicators!$B$2:$B$103,0)</f>
        <v>#N/A</v>
      </c>
      <c r="M47" s="38">
        <f>MATCH(M16,tblIndicators!$B$2:$B$103,0)</f>
        <v>27</v>
      </c>
      <c r="N47" s="38">
        <f>MATCH(N16,tblIndicators!$B$2:$B$103,0)</f>
        <v>56</v>
      </c>
      <c r="O47" s="38" t="e">
        <f>MATCH(O16,tblIndicators!$B$2:$B$103,0)</f>
        <v>#N/A</v>
      </c>
      <c r="P47" s="38">
        <f>MATCH(P16,tblIndicators!$B$2:$B$103,0)</f>
        <v>83</v>
      </c>
      <c r="Q47" s="38" t="e">
        <f>MATCH(Q16,tblIndicators!$B$2:$B$103,0)</f>
        <v>#N/A</v>
      </c>
      <c r="R47" s="38" t="e">
        <f>MATCH(R16,tblIndicators!$B$2:$B$103,0)</f>
        <v>#N/A</v>
      </c>
      <c r="S47" s="38" t="e">
        <f>MATCH(S16,tblIndicators!$B$2:$B$103,0)</f>
        <v>#N/A</v>
      </c>
      <c r="T47" s="38" t="e">
        <f>MATCH(T16,tblIndicators!$B$2:$B$103,0)</f>
        <v>#N/A</v>
      </c>
    </row>
    <row r="48" spans="8:20" x14ac:dyDescent="0.2">
      <c r="L48" s="38" t="e">
        <f>MATCH(L17,tblIndicators!$B$2:$B$103,0)</f>
        <v>#N/A</v>
      </c>
      <c r="M48" s="38">
        <f>MATCH(M17,tblIndicators!$B$2:$B$103,0)</f>
        <v>28</v>
      </c>
      <c r="N48" s="38">
        <f>MATCH(N17,tblIndicators!$B$2:$B$103,0)</f>
        <v>57</v>
      </c>
      <c r="O48" s="38" t="e">
        <f>MATCH(O17,tblIndicators!$B$2:$B$103,0)</f>
        <v>#N/A</v>
      </c>
      <c r="P48" s="38">
        <f>MATCH(P17,tblIndicators!$B$2:$B$103,0)</f>
        <v>84</v>
      </c>
      <c r="Q48" s="38" t="e">
        <f>MATCH(Q17,tblIndicators!$B$2:$B$103,0)</f>
        <v>#N/A</v>
      </c>
      <c r="R48" s="38" t="e">
        <f>MATCH(R17,tblIndicators!$B$2:$B$103,0)</f>
        <v>#N/A</v>
      </c>
      <c r="S48" s="38" t="e">
        <f>MATCH(S17,tblIndicators!$B$2:$B$103,0)</f>
        <v>#N/A</v>
      </c>
      <c r="T48" s="38" t="e">
        <f>MATCH(T17,tblIndicators!$B$2:$B$103,0)</f>
        <v>#N/A</v>
      </c>
    </row>
    <row r="49" spans="12:20" x14ac:dyDescent="0.2">
      <c r="L49" s="38" t="e">
        <f>MATCH(L18,tblIndicators!$B$2:$B$103,0)</f>
        <v>#N/A</v>
      </c>
      <c r="M49" s="38">
        <f>MATCH(M18,tblIndicators!$B$2:$B$103,0)</f>
        <v>29</v>
      </c>
      <c r="N49" s="38">
        <f>MATCH(N18,tblIndicators!$B$2:$B$103,0)</f>
        <v>58</v>
      </c>
      <c r="O49" s="38" t="e">
        <f>MATCH(O18,tblIndicators!$B$2:$B$103,0)</f>
        <v>#N/A</v>
      </c>
      <c r="P49" s="38">
        <f>MATCH(P18,tblIndicators!$B$2:$B$103,0)</f>
        <v>85</v>
      </c>
      <c r="Q49" s="38" t="e">
        <f>MATCH(Q18,tblIndicators!$B$2:$B$103,0)</f>
        <v>#N/A</v>
      </c>
      <c r="R49" s="38" t="e">
        <f>MATCH(R18,tblIndicators!$B$2:$B$103,0)</f>
        <v>#N/A</v>
      </c>
      <c r="S49" s="38" t="e">
        <f>MATCH(S18,tblIndicators!$B$2:$B$103,0)</f>
        <v>#N/A</v>
      </c>
      <c r="T49" s="38" t="e">
        <f>MATCH(T18,tblIndicators!$B$2:$B$103,0)</f>
        <v>#N/A</v>
      </c>
    </row>
    <row r="50" spans="12:20" x14ac:dyDescent="0.2">
      <c r="L50" s="38" t="e">
        <f>MATCH(L19,tblIndicators!$B$2:$B$103,0)</f>
        <v>#N/A</v>
      </c>
      <c r="M50" s="38">
        <f>MATCH(M19,tblIndicators!$B$2:$B$103,0)</f>
        <v>30</v>
      </c>
      <c r="N50" s="38">
        <f>MATCH(N19,tblIndicators!$B$2:$B$103,0)</f>
        <v>59</v>
      </c>
      <c r="O50" s="38" t="e">
        <f>MATCH(O19,tblIndicators!$B$2:$B$103,0)</f>
        <v>#N/A</v>
      </c>
      <c r="P50" s="38">
        <f>MATCH(P19,tblIndicators!$B$2:$B$103,0)</f>
        <v>86</v>
      </c>
      <c r="Q50" s="38" t="e">
        <f>MATCH(Q19,tblIndicators!$B$2:$B$103,0)</f>
        <v>#N/A</v>
      </c>
      <c r="R50" s="38" t="e">
        <f>MATCH(R19,tblIndicators!$B$2:$B$103,0)</f>
        <v>#N/A</v>
      </c>
      <c r="S50" s="38" t="e">
        <f>MATCH(S19,tblIndicators!$B$2:$B$103,0)</f>
        <v>#N/A</v>
      </c>
      <c r="T50" s="38" t="e">
        <f>MATCH(T19,tblIndicators!$B$2:$B$103,0)</f>
        <v>#N/A</v>
      </c>
    </row>
    <row r="51" spans="12:20" x14ac:dyDescent="0.2">
      <c r="L51" s="38" t="e">
        <f>MATCH(L20,tblIndicators!$B$2:$B$103,0)</f>
        <v>#N/A</v>
      </c>
      <c r="M51" s="38">
        <f>MATCH(M20,tblIndicators!$B$2:$B$103,0)</f>
        <v>31</v>
      </c>
      <c r="N51" s="38">
        <f>MATCH(N20,tblIndicators!$B$2:$B$103,0)</f>
        <v>60</v>
      </c>
      <c r="O51" s="38" t="e">
        <f>MATCH(O20,tblIndicators!$B$2:$B$103,0)</f>
        <v>#N/A</v>
      </c>
      <c r="P51" s="38">
        <f>MATCH(P20,tblIndicators!$B$2:$B$103,0)</f>
        <v>87</v>
      </c>
      <c r="Q51" s="38" t="e">
        <f>MATCH(Q20,tblIndicators!$B$2:$B$103,0)</f>
        <v>#N/A</v>
      </c>
      <c r="R51" s="38" t="e">
        <f>MATCH(R20,tblIndicators!$B$2:$B$103,0)</f>
        <v>#N/A</v>
      </c>
      <c r="S51" s="38" t="e">
        <f>MATCH(S20,tblIndicators!$B$2:$B$103,0)</f>
        <v>#N/A</v>
      </c>
      <c r="T51" s="38" t="e">
        <f>MATCH(T20,tblIndicators!$B$2:$B$103,0)</f>
        <v>#N/A</v>
      </c>
    </row>
    <row r="52" spans="12:20" x14ac:dyDescent="0.2">
      <c r="L52" s="38" t="e">
        <f>MATCH(L21,tblIndicators!$B$2:$B$103,0)</f>
        <v>#N/A</v>
      </c>
      <c r="M52" s="38">
        <f>MATCH(M21,tblIndicators!$B$2:$B$103,0)</f>
        <v>32</v>
      </c>
      <c r="N52" s="38" t="e">
        <f>MATCH(N21,tblIndicators!$B$2:$B$103,0)</f>
        <v>#N/A</v>
      </c>
      <c r="O52" s="38" t="e">
        <f>MATCH(O21,tblIndicators!$B$2:$B$103,0)</f>
        <v>#N/A</v>
      </c>
      <c r="P52" s="38" t="e">
        <f>MATCH(P21,tblIndicators!$B$2:$B$103,0)</f>
        <v>#N/A</v>
      </c>
      <c r="Q52" s="38" t="e">
        <f>MATCH(Q21,tblIndicators!$B$2:$B$103,0)</f>
        <v>#N/A</v>
      </c>
      <c r="R52" s="38" t="e">
        <f>MATCH(R21,tblIndicators!$B$2:$B$103,0)</f>
        <v>#N/A</v>
      </c>
      <c r="S52" s="38" t="e">
        <f>MATCH(S21,tblIndicators!$B$2:$B$103,0)</f>
        <v>#N/A</v>
      </c>
      <c r="T52" s="38" t="e">
        <f>MATCH(T21,tblIndicators!$B$2:$B$103,0)</f>
        <v>#N/A</v>
      </c>
    </row>
    <row r="53" spans="12:20" x14ac:dyDescent="0.2">
      <c r="L53" s="38" t="e">
        <f>MATCH(L22,tblIndicators!$B$2:$B$103,0)</f>
        <v>#N/A</v>
      </c>
      <c r="M53" s="38">
        <f>MATCH(M22,tblIndicators!$B$2:$B$103,0)</f>
        <v>33</v>
      </c>
      <c r="N53" s="38" t="e">
        <f>MATCH(N22,tblIndicators!$B$2:$B$103,0)</f>
        <v>#N/A</v>
      </c>
      <c r="O53" s="38" t="e">
        <f>MATCH(O22,tblIndicators!$B$2:$B$103,0)</f>
        <v>#N/A</v>
      </c>
      <c r="P53" s="38" t="e">
        <f>MATCH(P22,tblIndicators!$B$2:$B$103,0)</f>
        <v>#N/A</v>
      </c>
      <c r="Q53" s="38" t="e">
        <f>MATCH(Q22,tblIndicators!$B$2:$B$103,0)</f>
        <v>#N/A</v>
      </c>
      <c r="R53" s="38" t="e">
        <f>MATCH(R22,tblIndicators!$B$2:$B$103,0)</f>
        <v>#N/A</v>
      </c>
      <c r="S53" s="38" t="e">
        <f>MATCH(S22,tblIndicators!$B$2:$B$103,0)</f>
        <v>#N/A</v>
      </c>
      <c r="T53" s="38" t="e">
        <f>MATCH(T22,tblIndicators!$B$2:$B$103,0)</f>
        <v>#N/A</v>
      </c>
    </row>
    <row r="54" spans="12:20" x14ac:dyDescent="0.2">
      <c r="L54" s="38" t="e">
        <f>MATCH(L23,tblIndicators!$B$2:$B$103,0)</f>
        <v>#N/A</v>
      </c>
      <c r="M54" s="38">
        <f>MATCH(M23,tblIndicators!$B$2:$B$103,0)</f>
        <v>34</v>
      </c>
      <c r="N54" s="38" t="e">
        <f>MATCH(N23,tblIndicators!$B$2:$B$103,0)</f>
        <v>#N/A</v>
      </c>
      <c r="O54" s="38" t="e">
        <f>MATCH(O23,tblIndicators!$B$2:$B$103,0)</f>
        <v>#N/A</v>
      </c>
      <c r="P54" s="38" t="e">
        <f>MATCH(P23,tblIndicators!$B$2:$B$103,0)</f>
        <v>#N/A</v>
      </c>
      <c r="Q54" s="38" t="e">
        <f>MATCH(Q23,tblIndicators!$B$2:$B$103,0)</f>
        <v>#N/A</v>
      </c>
      <c r="R54" s="38" t="e">
        <f>MATCH(R23,tblIndicators!$B$2:$B$103,0)</f>
        <v>#N/A</v>
      </c>
      <c r="S54" s="38" t="e">
        <f>MATCH(S23,tblIndicators!$B$2:$B$103,0)</f>
        <v>#N/A</v>
      </c>
      <c r="T54" s="38" t="e">
        <f>MATCH(T23,tblIndicators!$B$2:$B$103,0)</f>
        <v>#N/A</v>
      </c>
    </row>
    <row r="55" spans="12:20" x14ac:dyDescent="0.2">
      <c r="M55" s="49"/>
      <c r="N55" s="49"/>
      <c r="O55" s="49"/>
    </row>
    <row r="56" spans="12:20" x14ac:dyDescent="0.2">
      <c r="M56" s="49"/>
      <c r="N56" s="49"/>
      <c r="O56" s="49"/>
    </row>
    <row r="57" spans="12:20" x14ac:dyDescent="0.2">
      <c r="M57" s="49"/>
      <c r="N57" s="49"/>
      <c r="O57" s="49"/>
    </row>
    <row r="58" spans="12:20" x14ac:dyDescent="0.2">
      <c r="M58" s="49"/>
      <c r="N58" s="49"/>
    </row>
    <row r="59" spans="12:20" x14ac:dyDescent="0.2">
      <c r="M59" s="49"/>
      <c r="N59" s="58"/>
    </row>
    <row r="60" spans="12:20" x14ac:dyDescent="0.2">
      <c r="M60" s="49"/>
      <c r="N60" s="49"/>
    </row>
    <row r="61" spans="12:20" x14ac:dyDescent="0.2">
      <c r="M61" s="49"/>
      <c r="N61" s="49"/>
    </row>
    <row r="62" spans="12:20" x14ac:dyDescent="0.2">
      <c r="M62" s="49"/>
      <c r="N62" s="49"/>
    </row>
    <row r="63" spans="12:20" x14ac:dyDescent="0.2">
      <c r="M63" s="49"/>
      <c r="N63" s="49"/>
    </row>
    <row r="64" spans="12:20" x14ac:dyDescent="0.2">
      <c r="M64" s="49"/>
      <c r="N64" s="49"/>
    </row>
    <row r="65" spans="13:14" x14ac:dyDescent="0.2">
      <c r="M65" s="49"/>
      <c r="N65" s="49"/>
    </row>
    <row r="66" spans="13:14" x14ac:dyDescent="0.2">
      <c r="M66" s="58"/>
      <c r="N66" s="49"/>
    </row>
    <row r="67" spans="13:14" x14ac:dyDescent="0.2">
      <c r="M67" s="49"/>
      <c r="N67" s="58"/>
    </row>
    <row r="68" spans="13:14" x14ac:dyDescent="0.2">
      <c r="M68" s="49"/>
      <c r="N68" s="49"/>
    </row>
    <row r="69" spans="13:14" x14ac:dyDescent="0.2">
      <c r="M69" s="49"/>
      <c r="N69" s="49"/>
    </row>
    <row r="70" spans="13:14" x14ac:dyDescent="0.2">
      <c r="M70" s="49"/>
      <c r="N70" s="49"/>
    </row>
    <row r="71" spans="13:14" x14ac:dyDescent="0.2">
      <c r="M71" s="58"/>
      <c r="N71" s="49"/>
    </row>
    <row r="72" spans="13:14" x14ac:dyDescent="0.2">
      <c r="M72" s="49"/>
      <c r="N72" s="58"/>
    </row>
    <row r="73" spans="13:14" x14ac:dyDescent="0.2">
      <c r="M73" s="49"/>
      <c r="N73" s="49"/>
    </row>
    <row r="74" spans="13:14" x14ac:dyDescent="0.2">
      <c r="M74" s="49"/>
      <c r="N74" s="49"/>
    </row>
    <row r="75" spans="13:14" x14ac:dyDescent="0.2">
      <c r="M75" s="49"/>
      <c r="N75" s="49"/>
    </row>
    <row r="76" spans="13:14" x14ac:dyDescent="0.2">
      <c r="M76" s="49"/>
      <c r="N76" s="49"/>
    </row>
    <row r="77" spans="13:14" x14ac:dyDescent="0.2">
      <c r="M77" s="49"/>
      <c r="N77" s="49"/>
    </row>
    <row r="78" spans="13:14" x14ac:dyDescent="0.2">
      <c r="M78" s="49"/>
      <c r="N78" s="49"/>
    </row>
    <row r="79" spans="13:14" x14ac:dyDescent="0.2">
      <c r="M79" s="58"/>
      <c r="N79" s="49"/>
    </row>
    <row r="80" spans="13:14" x14ac:dyDescent="0.2">
      <c r="M80" s="49"/>
      <c r="N80" s="49"/>
    </row>
    <row r="81" spans="13:14" x14ac:dyDescent="0.2">
      <c r="M81" s="49"/>
      <c r="N81" s="49"/>
    </row>
    <row r="82" spans="13:14" x14ac:dyDescent="0.2">
      <c r="M82" s="49"/>
      <c r="N82" s="49"/>
    </row>
    <row r="83" spans="13:14" x14ac:dyDescent="0.2">
      <c r="M83" s="49"/>
      <c r="N83" s="49"/>
    </row>
    <row r="84" spans="13:14" x14ac:dyDescent="0.2">
      <c r="M84" s="58"/>
      <c r="N84" s="49"/>
    </row>
    <row r="85" spans="13:14" x14ac:dyDescent="0.2">
      <c r="M85" s="49"/>
      <c r="N85" s="49"/>
    </row>
    <row r="86" spans="13:14" x14ac:dyDescent="0.2">
      <c r="M86" s="49"/>
      <c r="N86" s="49"/>
    </row>
    <row r="87" spans="13:14" x14ac:dyDescent="0.2">
      <c r="M87" s="49"/>
      <c r="N87" s="49"/>
    </row>
    <row r="88" spans="13:14" x14ac:dyDescent="0.2">
      <c r="M88" s="49"/>
      <c r="N88" s="49"/>
    </row>
    <row r="89" spans="13:14" x14ac:dyDescent="0.2">
      <c r="M89" s="49"/>
      <c r="N89" s="49"/>
    </row>
    <row r="90" spans="13:14" x14ac:dyDescent="0.2">
      <c r="M90" s="49"/>
    </row>
    <row r="91" spans="13:14" x14ac:dyDescent="0.2">
      <c r="M91" s="49"/>
    </row>
    <row r="92" spans="13:14" x14ac:dyDescent="0.2">
      <c r="M92" s="49"/>
    </row>
    <row r="93" spans="13:14" x14ac:dyDescent="0.2">
      <c r="M93" s="49"/>
    </row>
    <row r="94" spans="13:14" x14ac:dyDescent="0.2">
      <c r="M94" s="49"/>
    </row>
    <row r="95" spans="13:14" x14ac:dyDescent="0.2">
      <c r="M95" s="49"/>
    </row>
    <row r="96" spans="13:14" x14ac:dyDescent="0.2">
      <c r="M96" s="49"/>
    </row>
    <row r="97" spans="13:13" x14ac:dyDescent="0.2">
      <c r="M97" s="49"/>
    </row>
    <row r="98" spans="13:13" x14ac:dyDescent="0.2">
      <c r="M98" s="49"/>
    </row>
    <row r="99" spans="13:13" x14ac:dyDescent="0.2">
      <c r="M99" s="49"/>
    </row>
    <row r="100" spans="13:13" x14ac:dyDescent="0.2">
      <c r="M100" s="49"/>
    </row>
    <row r="101" spans="13:13" x14ac:dyDescent="0.2">
      <c r="M101" s="49"/>
    </row>
  </sheetData>
  <phoneticPr fontId="12" type="noConversion"/>
  <pageMargins left="0.7" right="0.7" top="0.75" bottom="0.75" header="0.3" footer="0.3"/>
  <pageSetup orientation="portrait" r:id="rId1"/>
  <headerFooter>
    <oddHeader>&amp;LAnuario de Transporte de Carga y Logística 2014, BID</oddHeader>
    <oddFooter>&amp;LObservatorio Regional de Transporte de Carga y Logistica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G133"/>
  <sheetViews>
    <sheetView topLeftCell="FH47" workbookViewId="0">
      <selection activeCell="GD77" sqref="GD77"/>
    </sheetView>
  </sheetViews>
  <sheetFormatPr defaultColWidth="9.140625" defaultRowHeight="11.25" x14ac:dyDescent="0.2"/>
  <cols>
    <col min="1" max="4" width="9.140625" style="1"/>
    <col min="5" max="5" width="10.28515625" style="1" customWidth="1"/>
    <col min="6" max="6" width="7.7109375" style="1" customWidth="1"/>
    <col min="7" max="7" width="5.28515625" style="1" customWidth="1"/>
    <col min="8" max="8" width="3.42578125" style="1" customWidth="1"/>
    <col min="9" max="9" width="5.140625" style="1" customWidth="1"/>
    <col min="10" max="11" width="3.42578125" style="1" customWidth="1"/>
    <col min="12" max="12" width="14.5703125" style="1" customWidth="1"/>
    <col min="13" max="15" width="3.42578125" style="1" customWidth="1"/>
    <col min="16" max="16" width="6.28515625" style="1" customWidth="1"/>
    <col min="17" max="18" width="4.85546875" style="1" customWidth="1"/>
    <col min="19" max="19" width="9.140625" style="1"/>
    <col min="20" max="20" width="7" style="1" customWidth="1"/>
    <col min="21" max="21" width="5.42578125" style="1" customWidth="1"/>
    <col min="22" max="22" width="3.42578125" style="1" customWidth="1"/>
    <col min="23" max="23" width="6.28515625" style="1" customWidth="1"/>
    <col min="24" max="29" width="3" style="1" customWidth="1"/>
    <col min="30" max="30" width="5.140625" style="1" customWidth="1"/>
    <col min="31" max="33" width="3" style="1" customWidth="1"/>
    <col min="34" max="94" width="2.85546875" style="1" customWidth="1"/>
    <col min="95" max="95" width="4.28515625" style="1" customWidth="1"/>
    <col min="96" max="96" width="2.85546875" style="1" customWidth="1"/>
    <col min="97" max="97" width="4.85546875" style="1" customWidth="1"/>
    <col min="98" max="98" width="5.7109375" style="1" customWidth="1"/>
    <col min="99" max="99" width="4.42578125" style="1" customWidth="1"/>
    <col min="100" max="127" width="3.5703125" style="1" customWidth="1"/>
    <col min="128" max="128" width="4.28515625" style="1" customWidth="1"/>
    <col min="129" max="129" width="3.5703125" style="1" customWidth="1"/>
    <col min="130" max="160" width="2.7109375" style="1" customWidth="1"/>
    <col min="161" max="161" width="9.140625" style="1"/>
    <col min="162" max="177" width="2.85546875" style="1" customWidth="1"/>
    <col min="178" max="180" width="3" style="1" customWidth="1"/>
    <col min="181" max="192" width="2.7109375" style="1" customWidth="1"/>
    <col min="193" max="193" width="9.140625" style="1"/>
    <col min="194" max="209" width="2.85546875" style="1" customWidth="1"/>
    <col min="210" max="212" width="3" style="1" customWidth="1"/>
    <col min="213" max="241" width="2.85546875" style="1" customWidth="1"/>
    <col min="242" max="242" width="3.5703125" style="1" customWidth="1"/>
    <col min="243" max="16384" width="9.140625" style="1"/>
  </cols>
  <sheetData>
    <row r="1" spans="1:30" ht="10.15" x14ac:dyDescent="0.2">
      <c r="B1" s="4">
        <f>uxbWorks!B20</f>
        <v>0</v>
      </c>
      <c r="C1" s="4" t="str">
        <f>uxbWorks!C20</f>
        <v>IndiCode</v>
      </c>
      <c r="D1" s="4" t="str">
        <f>uxbWorks!D20</f>
        <v>ParentID</v>
      </c>
      <c r="E1" s="4" t="str">
        <f>uxbWorks!E20</f>
        <v>Level</v>
      </c>
      <c r="F1" s="4" t="str">
        <f>uxbWorks!F20</f>
        <v>HasData</v>
      </c>
      <c r="G1" s="4" t="str">
        <f>uxbWorks!G20</f>
        <v>ID_Indic</v>
      </c>
      <c r="H1" s="4" t="str">
        <f>uxbWorks!H20</f>
        <v>DP</v>
      </c>
      <c r="I1" s="4" t="str">
        <f>uxbWorks!I20</f>
        <v>CALC:A_INDI</v>
      </c>
      <c r="J1" s="4" t="str">
        <f>uxbWorks!J20</f>
        <v>CALC:A_MULT</v>
      </c>
      <c r="K1" s="4" t="str">
        <f>uxbWorks!K20</f>
        <v>CALC:B_INDI</v>
      </c>
      <c r="L1" s="4" t="str">
        <f>uxbWorks!L20</f>
        <v>Description</v>
      </c>
      <c r="M1" s="4" t="str">
        <f>uxbWorks!M20</f>
        <v>Unit</v>
      </c>
      <c r="N1" s="4" t="str">
        <f>uxbWorks!N20</f>
        <v>Category</v>
      </c>
      <c r="O1" s="4" t="str">
        <f>uxbWorks!O20</f>
        <v>Definition</v>
      </c>
      <c r="P1" s="4" t="str">
        <f>uxbWorks!P20</f>
        <v>Sort_Order</v>
      </c>
      <c r="Q1" s="4">
        <f>uxbWorks!Q20</f>
        <v>0</v>
      </c>
      <c r="R1" s="4">
        <f>uxbWorks!R20</f>
        <v>0</v>
      </c>
      <c r="S1" s="4">
        <f>uxbWorks!S20</f>
        <v>0</v>
      </c>
      <c r="T1" s="4">
        <f>uxbWorks!T20</f>
        <v>0</v>
      </c>
      <c r="U1" s="4">
        <f>uxbWorks!U20</f>
        <v>0</v>
      </c>
      <c r="V1" s="4">
        <f>uxbWorks!V20</f>
        <v>0</v>
      </c>
      <c r="W1" s="4">
        <f>uxbWorks!W20</f>
        <v>0</v>
      </c>
      <c r="X1" s="4">
        <f>uxbWorks!X20</f>
        <v>0</v>
      </c>
    </row>
    <row r="2" spans="1:30" ht="12" x14ac:dyDescent="0.25">
      <c r="A2" s="1" t="s">
        <v>173</v>
      </c>
      <c r="B2" s="6">
        <f>uxbWorks!B24</f>
        <v>0</v>
      </c>
      <c r="AB2" s="29"/>
      <c r="AC2" s="29"/>
      <c r="AD2" s="29"/>
    </row>
    <row r="3" spans="1:30" ht="10.15" x14ac:dyDescent="0.2">
      <c r="B3" s="4"/>
      <c r="C3" s="4"/>
      <c r="D3" s="4"/>
      <c r="E3" s="4"/>
      <c r="F3" s="4"/>
      <c r="G3" s="4"/>
      <c r="H3" s="4"/>
      <c r="I3" s="4"/>
      <c r="J3" s="4"/>
      <c r="K3" s="4"/>
      <c r="L3" s="4"/>
      <c r="M3" s="4"/>
      <c r="N3" s="4"/>
      <c r="O3" s="4"/>
      <c r="P3" s="4"/>
      <c r="Q3" s="4"/>
      <c r="R3" s="4"/>
      <c r="S3" s="4"/>
      <c r="T3" s="4"/>
      <c r="U3" s="4"/>
      <c r="V3" s="4"/>
      <c r="W3" s="4"/>
      <c r="X3" s="4"/>
    </row>
    <row r="4" spans="1:30" ht="10.15" x14ac:dyDescent="0.2">
      <c r="A4" s="1" t="s">
        <v>179</v>
      </c>
      <c r="B4" s="6">
        <f>iMultiples!B3</f>
        <v>2</v>
      </c>
      <c r="C4" s="6" t="str">
        <f>IF($B4=0,"",INDEX(tblIndicators!B$2:B$149,$B4))</f>
        <v>GENERAL01</v>
      </c>
      <c r="D4" s="6" t="str">
        <f>IF($B4=0,"",INDEX(tblIndicators!C$2:C$149,$B4))</f>
        <v>GENERAL</v>
      </c>
      <c r="E4" s="6">
        <f>IF($B4=0,"",INDEX(tblIndicators!D$2:D$149,$B4))</f>
        <v>1</v>
      </c>
      <c r="F4" s="6">
        <f>IF($B4=0,"",INDEX(tblIndicators!E$2:E$149,$B4))</f>
        <v>1</v>
      </c>
      <c r="G4" s="6">
        <f>IF($B4=0,"",INDEX(tblIndicators!F$2:F$149,$B4))</f>
        <v>1</v>
      </c>
      <c r="H4" s="6">
        <f>IF($B4=0,"",INDEX(tblIndicators!G$2:G$149,$B4))</f>
        <v>2</v>
      </c>
      <c r="I4" s="6">
        <f>IF($B4=0,"",INDEX(tblIndicators!H$2:H$149,$B4))</f>
        <v>0</v>
      </c>
      <c r="J4" s="6">
        <f>IF($B4=0,"",INDEX(tblIndicators!I$2:I$149,$B4))</f>
        <v>0</v>
      </c>
      <c r="K4" s="6">
        <f>IF($B4=0,"",INDEX(tblIndicators!J$2:J$149,$B4))</f>
        <v>0</v>
      </c>
      <c r="L4" s="6" t="str">
        <f>IF($B4=0,"",INDEX(tblIndicators!O$2:O$149,$B4))</f>
        <v>Transport sector  % GDP</v>
      </c>
      <c r="M4" s="6" t="str">
        <f>IF($B4=0,"",INDEX(tblIndicators!P$2:P$149,$B4))</f>
        <v>%</v>
      </c>
      <c r="N4" s="6" t="str">
        <f>IF($B4=0,"",INDEX(tblIndicators!Q$2:Q$149,$B4))</f>
        <v>General indicators</v>
      </c>
      <c r="O4" s="6" t="str">
        <f>IF($B4=0,"",INDEX(tblIndicators!R$2:R$149,$B4))</f>
        <v>Extent of the transport sector in the total GDP. Each country specifies how it is computed using the International Standard Industrial Classification (ISIC).</v>
      </c>
      <c r="P4" s="6">
        <f>IF($B4=0,"",INDEX(tblIndicators!S$2:S$149,$B4))</f>
        <v>0</v>
      </c>
      <c r="Q4" s="6">
        <f>IF($B4=0,"",INDEX(tblIndicators!T$2:T$149,$B4))</f>
        <v>0</v>
      </c>
      <c r="R4" s="6">
        <f>IF($B4=0,"",INDEX(tblIndicators!U$2:U$149,$B4))</f>
        <v>0</v>
      </c>
      <c r="S4" s="6">
        <f>IF($B4=0,"",INDEX(tblIndicators!V$2:V$149,$B4))</f>
        <v>0</v>
      </c>
      <c r="T4" s="6" t="str">
        <f>IF($B4=0,"",INDEX(tblIndicators!W$2:W$149,$B4))</f>
        <v xml:space="preserve">  Transport sector  % GDP</v>
      </c>
      <c r="U4" s="6" t="str">
        <f>IF($B4=0,"",INDEX(tblIndicators!X$2:X$149,$B4))</f>
        <v>General indicators</v>
      </c>
      <c r="V4" s="6" t="str">
        <f>IF($B4=0,"",INDEX(tblIndicators!Y$2:Y$149,$B4))</f>
        <v>GENERAL INDICATORS »</v>
      </c>
      <c r="W4" s="6">
        <f>IF($B4=0,"",INDEX(tblIndicators!Z$2:Z$149,$B4))</f>
        <v>0</v>
      </c>
      <c r="X4" s="6">
        <f>IF($B4=0,"",INDEX(tblIndicators!AA$2:AA$149,$B4))</f>
        <v>0</v>
      </c>
    </row>
    <row r="5" spans="1:30" ht="10.15" x14ac:dyDescent="0.2">
      <c r="A5" s="1" t="s">
        <v>180</v>
      </c>
      <c r="B5" s="6">
        <f>iMultiples!B4</f>
        <v>3</v>
      </c>
      <c r="C5" s="6" t="str">
        <f>IF($B5=0,"",INDEX(tblIndicators!B$2:B$149,$B5))</f>
        <v>GENERAL02</v>
      </c>
      <c r="D5" s="6" t="str">
        <f>IF($B5=0,"",INDEX(tblIndicators!C$2:C$149,$B5))</f>
        <v>GENERAL</v>
      </c>
      <c r="E5" s="6">
        <f>IF($B5=0,"",INDEX(tblIndicators!D$2:D$149,$B5))</f>
        <v>1</v>
      </c>
      <c r="F5" s="6">
        <f>IF($B5=0,"",INDEX(tblIndicators!E$2:E$149,$B5))</f>
        <v>1</v>
      </c>
      <c r="G5" s="6">
        <f>IF($B5=0,"",INDEX(tblIndicators!F$2:F$149,$B5))</f>
        <v>2</v>
      </c>
      <c r="H5" s="6">
        <f>IF($B5=0,"",INDEX(tblIndicators!G$2:G$149,$B5))</f>
        <v>1</v>
      </c>
      <c r="I5" s="6">
        <f>IF($B5=0,"",INDEX(tblIndicators!H$2:H$149,$B5))</f>
        <v>0</v>
      </c>
      <c r="J5" s="6">
        <f>IF($B5=0,"",INDEX(tblIndicators!I$2:I$149,$B5))</f>
        <v>0</v>
      </c>
      <c r="K5" s="6">
        <f>IF($B5=0,"",INDEX(tblIndicators!J$2:J$149,$B5))</f>
        <v>0</v>
      </c>
      <c r="L5" s="6" t="str">
        <f>IF($B5=0,"",INDEX(tblIndicators!O$2:O$149,$B5))</f>
        <v>Population</v>
      </c>
      <c r="M5" s="6" t="str">
        <f>IF($B5=0,"",INDEX(tblIndicators!P$2:P$149,$B5))</f>
        <v>millions</v>
      </c>
      <c r="N5" s="6" t="str">
        <f>IF($B5=0,"",INDEX(tblIndicators!Q$2:Q$149,$B5))</f>
        <v>General indicators</v>
      </c>
      <c r="O5" s="6" t="str">
        <f>IF($B5=0,"",INDEX(tblIndicators!R$2:R$149,$B5))</f>
        <v>Total number of inhabitants of a country.</v>
      </c>
      <c r="P5" s="6">
        <f>IF($B5=0,"",INDEX(tblIndicators!S$2:S$149,$B5))</f>
        <v>0</v>
      </c>
      <c r="Q5" s="6">
        <f>IF($B5=0,"",INDEX(tblIndicators!T$2:T$149,$B5))</f>
        <v>0</v>
      </c>
      <c r="R5" s="6">
        <f>IF($B5=0,"",INDEX(tblIndicators!U$2:U$149,$B5))</f>
        <v>0</v>
      </c>
      <c r="S5" s="6">
        <f>IF($B5=0,"",INDEX(tblIndicators!V$2:V$149,$B5))</f>
        <v>0</v>
      </c>
      <c r="T5" s="6" t="str">
        <f>IF($B5=0,"",INDEX(tblIndicators!W$2:W$149,$B5))</f>
        <v xml:space="preserve">  Population</v>
      </c>
      <c r="U5" s="6" t="str">
        <f>IF($B5=0,"",INDEX(tblIndicators!X$2:X$149,$B5))</f>
        <v>General indicators</v>
      </c>
      <c r="V5" s="6" t="str">
        <f>IF($B5=0,"",INDEX(tblIndicators!Y$2:Y$149,$B5))</f>
        <v>GENERAL INDICATORS »</v>
      </c>
      <c r="W5" s="6">
        <f>IF($B5=0,"",INDEX(tblIndicators!Z$2:Z$149,$B5))</f>
        <v>0</v>
      </c>
      <c r="X5" s="6">
        <f>IF($B5=0,"",INDEX(tblIndicators!AA$2:AA$149,$B5))</f>
        <v>0</v>
      </c>
    </row>
    <row r="6" spans="1:30" ht="10.15" x14ac:dyDescent="0.2">
      <c r="A6" s="1" t="s">
        <v>181</v>
      </c>
      <c r="B6" s="6">
        <f>iMultiples!B5</f>
        <v>4</v>
      </c>
      <c r="C6" s="6" t="str">
        <f>IF($B6=0,"",INDEX(tblIndicators!B$2:B$149,$B6))</f>
        <v>GENERAL03</v>
      </c>
      <c r="D6" s="6" t="str">
        <f>IF($B6=0,"",INDEX(tblIndicators!C$2:C$149,$B6))</f>
        <v>GENERAL</v>
      </c>
      <c r="E6" s="6">
        <f>IF($B6=0,"",INDEX(tblIndicators!D$2:D$149,$B6))</f>
        <v>1</v>
      </c>
      <c r="F6" s="6">
        <f>IF($B6=0,"",INDEX(tblIndicators!E$2:E$149,$B6))</f>
        <v>1</v>
      </c>
      <c r="G6" s="6">
        <f>IF($B6=0,"",INDEX(tblIndicators!F$2:F$149,$B6))</f>
        <v>3</v>
      </c>
      <c r="H6" s="6">
        <f>IF($B6=0,"",INDEX(tblIndicators!G$2:G$149,$B6))</f>
        <v>0</v>
      </c>
      <c r="I6" s="6">
        <f>IF($B6=0,"",INDEX(tblIndicators!H$2:H$149,$B6))</f>
        <v>0</v>
      </c>
      <c r="J6" s="6">
        <f>IF($B6=0,"",INDEX(tblIndicators!I$2:I$149,$B6))</f>
        <v>0</v>
      </c>
      <c r="K6" s="6">
        <f>IF($B6=0,"",INDEX(tblIndicators!J$2:J$149,$B6))</f>
        <v>0</v>
      </c>
      <c r="L6" s="6" t="str">
        <f>IF($B6=0,"",INDEX(tblIndicators!O$2:O$149,$B6))</f>
        <v>Land area</v>
      </c>
      <c r="M6" s="6" t="str">
        <f>IF($B6=0,"",INDEX(tblIndicators!P$2:P$149,$B6))</f>
        <v>sq km</v>
      </c>
      <c r="N6" s="6" t="str">
        <f>IF($B6=0,"",INDEX(tblIndicators!Q$2:Q$149,$B6))</f>
        <v>General indicators</v>
      </c>
      <c r="O6" s="6" t="str">
        <f>IF($B6=0,"",INDEX(tblIndicators!R$2:R$149,$B6))</f>
        <v>Country area</v>
      </c>
      <c r="P6" s="6">
        <f>IF($B6=0,"",INDEX(tblIndicators!S$2:S$149,$B6))</f>
        <v>0</v>
      </c>
      <c r="Q6" s="6">
        <f>IF($B6=0,"",INDEX(tblIndicators!T$2:T$149,$B6))</f>
        <v>0</v>
      </c>
      <c r="R6" s="6">
        <f>IF($B6=0,"",INDEX(tblIndicators!U$2:U$149,$B6))</f>
        <v>0</v>
      </c>
      <c r="S6" s="6">
        <f>IF($B6=0,"",INDEX(tblIndicators!V$2:V$149,$B6))</f>
        <v>0</v>
      </c>
      <c r="T6" s="6" t="str">
        <f>IF($B6=0,"",INDEX(tblIndicators!W$2:W$149,$B6))</f>
        <v xml:space="preserve">  Land area</v>
      </c>
      <c r="U6" s="6" t="str">
        <f>IF($B6=0,"",INDEX(tblIndicators!X$2:X$149,$B6))</f>
        <v>General indicators</v>
      </c>
      <c r="V6" s="6" t="str">
        <f>IF($B6=0,"",INDEX(tblIndicators!Y$2:Y$149,$B6))</f>
        <v>GENERAL INDICATORS »</v>
      </c>
      <c r="W6" s="6">
        <f>IF($B6=0,"",INDEX(tblIndicators!Z$2:Z$149,$B6))</f>
        <v>0</v>
      </c>
      <c r="X6" s="6">
        <f>IF($B6=0,"",INDEX(tblIndicators!AA$2:AA$149,$B6))</f>
        <v>0</v>
      </c>
    </row>
    <row r="7" spans="1:30" ht="10.15" x14ac:dyDescent="0.2">
      <c r="A7" s="1" t="s">
        <v>182</v>
      </c>
      <c r="B7" s="6">
        <f>iMultiples!B6</f>
        <v>5</v>
      </c>
      <c r="C7" s="6" t="str">
        <f>IF($B7=0,"",INDEX(tblIndicators!B$2:B$149,$B7))</f>
        <v>GENERAL04</v>
      </c>
      <c r="D7" s="6" t="str">
        <f>IF($B7=0,"",INDEX(tblIndicators!C$2:C$149,$B7))</f>
        <v>GENERAL</v>
      </c>
      <c r="E7" s="6">
        <f>IF($B7=0,"",INDEX(tblIndicators!D$2:D$149,$B7))</f>
        <v>1</v>
      </c>
      <c r="F7" s="6">
        <f>IF($B7=0,"",INDEX(tblIndicators!E$2:E$149,$B7))</f>
        <v>1</v>
      </c>
      <c r="G7" s="6">
        <f>IF($B7=0,"",INDEX(tblIndicators!F$2:F$149,$B7))</f>
        <v>4</v>
      </c>
      <c r="H7" s="6">
        <f>IF($B7=0,"",INDEX(tblIndicators!G$2:G$149,$B7))</f>
        <v>1</v>
      </c>
      <c r="I7" s="6">
        <f>IF($B7=0,"",INDEX(tblIndicators!H$2:H$149,$B7))</f>
        <v>0</v>
      </c>
      <c r="J7" s="6">
        <f>IF($B7=0,"",INDEX(tblIndicators!I$2:I$149,$B7))</f>
        <v>0</v>
      </c>
      <c r="K7" s="6">
        <f>IF($B7=0,"",INDEX(tblIndicators!J$2:J$149,$B7))</f>
        <v>0</v>
      </c>
      <c r="L7" s="6" t="str">
        <f>IF($B7=0,"",INDEX(tblIndicators!O$2:O$149,$B7))</f>
        <v>Gross Domestic Product (GDP)</v>
      </c>
      <c r="M7" s="6" t="str">
        <f>IF($B7=0,"",INDEX(tblIndicators!P$2:P$149,$B7))</f>
        <v>US$ (billions)</v>
      </c>
      <c r="N7" s="6" t="str">
        <f>IF($B7=0,"",INDEX(tblIndicators!Q$2:Q$149,$B7))</f>
        <v>General indicators</v>
      </c>
      <c r="O7" s="6" t="str">
        <f>IF($B7=0,"",INDEX(tblIndicators!R$2:R$149,$B7))</f>
        <v>Economic indicator that reflects the total output of goods and services (monetary value) associated with a country over a period of time (year).</v>
      </c>
      <c r="P7" s="6">
        <f>IF($B7=0,"",INDEX(tblIndicators!S$2:S$149,$B7))</f>
        <v>0</v>
      </c>
      <c r="Q7" s="6">
        <f>IF($B7=0,"",INDEX(tblIndicators!T$2:T$149,$B7))</f>
        <v>0</v>
      </c>
      <c r="R7" s="6">
        <f>IF($B7=0,"",INDEX(tblIndicators!U$2:U$149,$B7))</f>
        <v>0</v>
      </c>
      <c r="S7" s="6">
        <f>IF($B7=0,"",INDEX(tblIndicators!V$2:V$149,$B7))</f>
        <v>0</v>
      </c>
      <c r="T7" s="6" t="str">
        <f>IF($B7=0,"",INDEX(tblIndicators!W$2:W$149,$B7))</f>
        <v xml:space="preserve">  Gross Domestic Product (GDP)</v>
      </c>
      <c r="U7" s="6" t="str">
        <f>IF($B7=0,"",INDEX(tblIndicators!X$2:X$149,$B7))</f>
        <v>General indicators</v>
      </c>
      <c r="V7" s="6" t="str">
        <f>IF($B7=0,"",INDEX(tblIndicators!Y$2:Y$149,$B7))</f>
        <v>GENERAL INDICATORS »</v>
      </c>
      <c r="W7" s="6">
        <f>IF($B7=0,"",INDEX(tblIndicators!Z$2:Z$149,$B7))</f>
        <v>0</v>
      </c>
      <c r="X7" s="6">
        <f>IF($B7=0,"",INDEX(tblIndicators!AA$2:AA$149,$B7))</f>
        <v>0</v>
      </c>
    </row>
    <row r="8" spans="1:30" ht="10.15" x14ac:dyDescent="0.2">
      <c r="A8" s="1" t="s">
        <v>183</v>
      </c>
      <c r="B8" s="6">
        <f>iMultiples!B7</f>
        <v>6</v>
      </c>
      <c r="C8" s="6" t="str">
        <f>IF($B8=0,"",INDEX(tblIndicators!B$2:B$149,$B8))</f>
        <v>GENERAL05</v>
      </c>
      <c r="D8" s="6" t="str">
        <f>IF($B8=0,"",INDEX(tblIndicators!C$2:C$149,$B8))</f>
        <v>GENERAL</v>
      </c>
      <c r="E8" s="6">
        <f>IF($B8=0,"",INDEX(tblIndicators!D$2:D$149,$B8))</f>
        <v>1</v>
      </c>
      <c r="F8" s="6">
        <f>IF($B8=0,"",INDEX(tblIndicators!E$2:E$149,$B8))</f>
        <v>1</v>
      </c>
      <c r="G8" s="6">
        <f>IF($B8=0,"",INDEX(tblIndicators!F$2:F$149,$B8))</f>
        <v>5</v>
      </c>
      <c r="H8" s="6">
        <f>IF($B8=0,"",INDEX(tblIndicators!G$2:G$149,$B8))</f>
        <v>1</v>
      </c>
      <c r="I8" s="6">
        <f>IF($B8=0,"",INDEX(tblIndicators!H$2:H$149,$B8))</f>
        <v>0</v>
      </c>
      <c r="J8" s="6">
        <f>IF($B8=0,"",INDEX(tblIndicators!I$2:I$149,$B8))</f>
        <v>0</v>
      </c>
      <c r="K8" s="6">
        <f>IF($B8=0,"",INDEX(tblIndicators!J$2:J$149,$B8))</f>
        <v>0</v>
      </c>
      <c r="L8" s="6" t="str">
        <f>IF($B8=0,"",INDEX(tblIndicators!O$2:O$149,$B8))</f>
        <v>GDP-PPP</v>
      </c>
      <c r="M8" s="6" t="str">
        <f>IF($B8=0,"",INDEX(tblIndicators!P$2:P$149,$B8))</f>
        <v>US$ (billions)</v>
      </c>
      <c r="N8" s="6" t="str">
        <f>IF($B8=0,"",INDEX(tblIndicators!Q$2:Q$149,$B8))</f>
        <v>General indicators</v>
      </c>
      <c r="O8" s="6" t="str">
        <f>IF($B8=0,"",INDEX(tblIndicators!R$2:R$149,$B8))</f>
        <v>Gross Domestic Product (Purchasing Power Parity)</v>
      </c>
      <c r="P8" s="6">
        <f>IF($B8=0,"",INDEX(tblIndicators!S$2:S$149,$B8))</f>
        <v>0</v>
      </c>
      <c r="Q8" s="6">
        <f>IF($B8=0,"",INDEX(tblIndicators!T$2:T$149,$B8))</f>
        <v>0</v>
      </c>
      <c r="R8" s="6">
        <f>IF($B8=0,"",INDEX(tblIndicators!U$2:U$149,$B8))</f>
        <v>0</v>
      </c>
      <c r="S8" s="6">
        <f>IF($B8=0,"",INDEX(tblIndicators!V$2:V$149,$B8))</f>
        <v>0</v>
      </c>
      <c r="T8" s="6" t="str">
        <f>IF($B8=0,"",INDEX(tblIndicators!W$2:W$149,$B8))</f>
        <v xml:space="preserve">  GDP-PPP</v>
      </c>
      <c r="U8" s="6" t="str">
        <f>IF($B8=0,"",INDEX(tblIndicators!X$2:X$149,$B8))</f>
        <v>General indicators</v>
      </c>
      <c r="V8" s="6" t="str">
        <f>IF($B8=0,"",INDEX(tblIndicators!Y$2:Y$149,$B8))</f>
        <v>GENERAL INDICATORS »</v>
      </c>
      <c r="W8" s="6">
        <f>IF($B8=0,"",INDEX(tblIndicators!Z$2:Z$149,$B8))</f>
        <v>0</v>
      </c>
      <c r="X8" s="6">
        <f>IF($B8=0,"",INDEX(tblIndicators!AA$2:AA$149,$B8))</f>
        <v>0</v>
      </c>
    </row>
    <row r="9" spans="1:30" ht="10.15" x14ac:dyDescent="0.2">
      <c r="A9" s="1" t="s">
        <v>184</v>
      </c>
      <c r="B9" s="6">
        <f>iMultiples!B8</f>
        <v>7</v>
      </c>
      <c r="C9" s="6" t="str">
        <f>IF($B9=0,"",INDEX(tblIndicators!B$2:B$149,$B9))</f>
        <v>GENERAL06</v>
      </c>
      <c r="D9" s="6" t="str">
        <f>IF($B9=0,"",INDEX(tblIndicators!C$2:C$149,$B9))</f>
        <v>GENERAL</v>
      </c>
      <c r="E9" s="6">
        <f>IF($B9=0,"",INDEX(tblIndicators!D$2:D$149,$B9))</f>
        <v>1</v>
      </c>
      <c r="F9" s="6">
        <f>IF($B9=0,"",INDEX(tblIndicators!E$2:E$149,$B9))</f>
        <v>1</v>
      </c>
      <c r="G9" s="6">
        <f>IF($B9=0,"",INDEX(tblIndicators!F$2:F$149,$B9))</f>
        <v>6</v>
      </c>
      <c r="H9" s="6">
        <f>IF($B9=0,"",INDEX(tblIndicators!G$2:G$149,$B9))</f>
        <v>1</v>
      </c>
      <c r="I9" s="6">
        <f>IF($B9=0,"",INDEX(tblIndicators!H$2:H$149,$B9))</f>
        <v>0</v>
      </c>
      <c r="J9" s="6">
        <f>IF($B9=0,"",INDEX(tblIndicators!I$2:I$149,$B9))</f>
        <v>0</v>
      </c>
      <c r="K9" s="6">
        <f>IF($B9=0,"",INDEX(tblIndicators!J$2:J$149,$B9))</f>
        <v>0</v>
      </c>
      <c r="L9" s="6" t="str">
        <f>IF($B9=0,"",INDEX(tblIndicators!O$2:O$149,$B9))</f>
        <v>Transport service imports</v>
      </c>
      <c r="M9" s="6" t="str">
        <f>IF($B9=0,"",INDEX(tblIndicators!P$2:P$149,$B9))</f>
        <v>US$ (billions)</v>
      </c>
      <c r="N9" s="6" t="str">
        <f>IF($B9=0,"",INDEX(tblIndicators!Q$2:Q$149,$B9))</f>
        <v>General indicators</v>
      </c>
      <c r="O9" s="6" t="str">
        <f>IF($B9=0,"",INDEX(tblIndicators!R$2:R$149,$B9))</f>
        <v>Monetary value of all services related to the transport sector, imported by a country.</v>
      </c>
      <c r="P9" s="6">
        <f>IF($B9=0,"",INDEX(tblIndicators!S$2:S$149,$B9))</f>
        <v>0</v>
      </c>
      <c r="Q9" s="6">
        <f>IF($B9=0,"",INDEX(tblIndicators!T$2:T$149,$B9))</f>
        <v>0</v>
      </c>
      <c r="R9" s="6">
        <f>IF($B9=0,"",INDEX(tblIndicators!U$2:U$149,$B9))</f>
        <v>0</v>
      </c>
      <c r="S9" s="6">
        <f>IF($B9=0,"",INDEX(tblIndicators!V$2:V$149,$B9))</f>
        <v>0</v>
      </c>
      <c r="T9" s="6" t="str">
        <f>IF($B9=0,"",INDEX(tblIndicators!W$2:W$149,$B9))</f>
        <v xml:space="preserve">  Transport service imports</v>
      </c>
      <c r="U9" s="6" t="str">
        <f>IF($B9=0,"",INDEX(tblIndicators!X$2:X$149,$B9))</f>
        <v>General indicators</v>
      </c>
      <c r="V9" s="6" t="str">
        <f>IF($B9=0,"",INDEX(tblIndicators!Y$2:Y$149,$B9))</f>
        <v>GENERAL INDICATORS »</v>
      </c>
      <c r="W9" s="6">
        <f>IF($B9=0,"",INDEX(tblIndicators!Z$2:Z$149,$B9))</f>
        <v>0</v>
      </c>
      <c r="X9" s="6">
        <f>IF($B9=0,"",INDEX(tblIndicators!AA$2:AA$149,$B9))</f>
        <v>0</v>
      </c>
    </row>
    <row r="10" spans="1:30" ht="10.15" x14ac:dyDescent="0.2">
      <c r="A10" s="1" t="s">
        <v>185</v>
      </c>
      <c r="B10" s="6">
        <f>iMultiples!B9</f>
        <v>8</v>
      </c>
      <c r="C10" s="6" t="str">
        <f>IF($B10=0,"",INDEX(tblIndicators!B$2:B$149,$B10))</f>
        <v>GENERAL07</v>
      </c>
      <c r="D10" s="6" t="str">
        <f>IF($B10=0,"",INDEX(tblIndicators!C$2:C$149,$B10))</f>
        <v>GENERAL</v>
      </c>
      <c r="E10" s="6">
        <f>IF($B10=0,"",INDEX(tblIndicators!D$2:D$149,$B10))</f>
        <v>1</v>
      </c>
      <c r="F10" s="6">
        <f>IF($B10=0,"",INDEX(tblIndicators!E$2:E$149,$B10))</f>
        <v>1</v>
      </c>
      <c r="G10" s="6">
        <f>IF($B10=0,"",INDEX(tblIndicators!F$2:F$149,$B10))</f>
        <v>7</v>
      </c>
      <c r="H10" s="6">
        <f>IF($B10=0,"",INDEX(tblIndicators!G$2:G$149,$B10))</f>
        <v>1</v>
      </c>
      <c r="I10" s="6">
        <f>IF($B10=0,"",INDEX(tblIndicators!H$2:H$149,$B10))</f>
        <v>0</v>
      </c>
      <c r="J10" s="6">
        <f>IF($B10=0,"",INDEX(tblIndicators!I$2:I$149,$B10))</f>
        <v>0</v>
      </c>
      <c r="K10" s="6">
        <f>IF($B10=0,"",INDEX(tblIndicators!J$2:J$149,$B10))</f>
        <v>0</v>
      </c>
      <c r="L10" s="6" t="str">
        <f>IF($B10=0,"",INDEX(tblIndicators!O$2:O$149,$B10))</f>
        <v>Transport service exports</v>
      </c>
      <c r="M10" s="6" t="str">
        <f>IF($B10=0,"",INDEX(tblIndicators!P$2:P$149,$B10))</f>
        <v>US$ (billions)</v>
      </c>
      <c r="N10" s="6" t="str">
        <f>IF($B10=0,"",INDEX(tblIndicators!Q$2:Q$149,$B10))</f>
        <v>General indicators</v>
      </c>
      <c r="O10" s="6" t="str">
        <f>IF($B10=0,"",INDEX(tblIndicators!R$2:R$149,$B10))</f>
        <v>Monetary value of all services related to the transport sector, exported by a country.</v>
      </c>
      <c r="P10" s="6">
        <f>IF($B10=0,"",INDEX(tblIndicators!S$2:S$149,$B10))</f>
        <v>0</v>
      </c>
      <c r="Q10" s="6">
        <f>IF($B10=0,"",INDEX(tblIndicators!T$2:T$149,$B10))</f>
        <v>0</v>
      </c>
      <c r="R10" s="6">
        <f>IF($B10=0,"",INDEX(tblIndicators!U$2:U$149,$B10))</f>
        <v>0</v>
      </c>
      <c r="S10" s="6">
        <f>IF($B10=0,"",INDEX(tblIndicators!V$2:V$149,$B10))</f>
        <v>0</v>
      </c>
      <c r="T10" s="6" t="str">
        <f>IF($B10=0,"",INDEX(tblIndicators!W$2:W$149,$B10))</f>
        <v xml:space="preserve">  Transport service exports</v>
      </c>
      <c r="U10" s="6" t="str">
        <f>IF($B10=0,"",INDEX(tblIndicators!X$2:X$149,$B10))</f>
        <v>General indicators</v>
      </c>
      <c r="V10" s="6" t="str">
        <f>IF($B10=0,"",INDEX(tblIndicators!Y$2:Y$149,$B10))</f>
        <v>GENERAL INDICATORS »</v>
      </c>
      <c r="W10" s="6">
        <f>IF($B10=0,"",INDEX(tblIndicators!Z$2:Z$149,$B10))</f>
        <v>0</v>
      </c>
      <c r="X10" s="6">
        <f>IF($B10=0,"",INDEX(tblIndicators!AA$2:AA$149,$B10))</f>
        <v>0</v>
      </c>
    </row>
    <row r="11" spans="1:30" ht="10.15" x14ac:dyDescent="0.2">
      <c r="A11" s="1" t="s">
        <v>186</v>
      </c>
      <c r="B11" s="6">
        <f>iMultiples!B10</f>
        <v>9</v>
      </c>
      <c r="C11" s="6" t="str">
        <f>IF($B11=0,"",INDEX(tblIndicators!B$2:B$149,$B11))</f>
        <v>GENERAL08</v>
      </c>
      <c r="D11" s="6" t="str">
        <f>IF($B11=0,"",INDEX(tblIndicators!C$2:C$149,$B11))</f>
        <v>GENERAL</v>
      </c>
      <c r="E11" s="6">
        <f>IF($B11=0,"",INDEX(tblIndicators!D$2:D$149,$B11))</f>
        <v>1</v>
      </c>
      <c r="F11" s="6">
        <f>IF($B11=0,"",INDEX(tblIndicators!E$2:E$149,$B11))</f>
        <v>1</v>
      </c>
      <c r="G11" s="6">
        <f>IF($B11=0,"",INDEX(tblIndicators!F$2:F$149,$B11))</f>
        <v>8</v>
      </c>
      <c r="H11" s="6">
        <f>IF($B11=0,"",INDEX(tblIndicators!G$2:G$149,$B11))</f>
        <v>1</v>
      </c>
      <c r="I11" s="6">
        <f>IF($B11=0,"",INDEX(tblIndicators!H$2:H$149,$B11))</f>
        <v>0</v>
      </c>
      <c r="J11" s="6">
        <f>IF($B11=0,"",INDEX(tblIndicators!I$2:I$149,$B11))</f>
        <v>0</v>
      </c>
      <c r="K11" s="6">
        <f>IF($B11=0,"",INDEX(tblIndicators!J$2:J$149,$B11))</f>
        <v>0</v>
      </c>
      <c r="L11" s="6" t="str">
        <f>IF($B11=0,"",INDEX(tblIndicators!O$2:O$149,$B11))</f>
        <v>Value of exports</v>
      </c>
      <c r="M11" s="6" t="str">
        <f>IF($B11=0,"",INDEX(tblIndicators!P$2:P$149,$B11))</f>
        <v>US$ (billions)</v>
      </c>
      <c r="N11" s="6" t="str">
        <f>IF($B11=0,"",INDEX(tblIndicators!Q$2:Q$149,$B11))</f>
        <v>General indicators</v>
      </c>
      <c r="O11" s="6" t="str">
        <f>IF($B11=0,"",INDEX(tblIndicators!R$2:R$149,$B11))</f>
        <v>Value of national exports</v>
      </c>
      <c r="P11" s="6">
        <f>IF($B11=0,"",INDEX(tblIndicators!S$2:S$149,$B11))</f>
        <v>0</v>
      </c>
      <c r="Q11" s="6">
        <f>IF($B11=0,"",INDEX(tblIndicators!T$2:T$149,$B11))</f>
        <v>0</v>
      </c>
      <c r="R11" s="6">
        <f>IF($B11=0,"",INDEX(tblIndicators!U$2:U$149,$B11))</f>
        <v>0</v>
      </c>
      <c r="S11" s="6">
        <f>IF($B11=0,"",INDEX(tblIndicators!V$2:V$149,$B11))</f>
        <v>0</v>
      </c>
      <c r="T11" s="6" t="str">
        <f>IF($B11=0,"",INDEX(tblIndicators!W$2:W$149,$B11))</f>
        <v xml:space="preserve">  Value of exports</v>
      </c>
      <c r="U11" s="6" t="str">
        <f>IF($B11=0,"",INDEX(tblIndicators!X$2:X$149,$B11))</f>
        <v>General indicators</v>
      </c>
      <c r="V11" s="6" t="str">
        <f>IF($B11=0,"",INDEX(tblIndicators!Y$2:Y$149,$B11))</f>
        <v>GENERAL INDICATORS »</v>
      </c>
      <c r="W11" s="6">
        <f>IF($B11=0,"",INDEX(tblIndicators!Z$2:Z$149,$B11))</f>
        <v>0</v>
      </c>
      <c r="X11" s="6">
        <f>IF($B11=0,"",INDEX(tblIndicators!AA$2:AA$149,$B11))</f>
        <v>0</v>
      </c>
    </row>
    <row r="12" spans="1:30" ht="10.15" x14ac:dyDescent="0.2">
      <c r="A12" s="1" t="s">
        <v>187</v>
      </c>
      <c r="B12" s="6">
        <f>iMultiples!B11</f>
        <v>10</v>
      </c>
      <c r="C12" s="6" t="str">
        <f>IF($B12=0,"",INDEX(tblIndicators!B$2:B$149,$B12))</f>
        <v>GENERAL09</v>
      </c>
      <c r="D12" s="6" t="str">
        <f>IF($B12=0,"",INDEX(tblIndicators!C$2:C$149,$B12))</f>
        <v>GENERAL</v>
      </c>
      <c r="E12" s="6">
        <f>IF($B12=0,"",INDEX(tblIndicators!D$2:D$149,$B12))</f>
        <v>1</v>
      </c>
      <c r="F12" s="6">
        <f>IF($B12=0,"",INDEX(tblIndicators!E$2:E$149,$B12))</f>
        <v>1</v>
      </c>
      <c r="G12" s="6">
        <f>IF($B12=0,"",INDEX(tblIndicators!F$2:F$149,$B12))</f>
        <v>9</v>
      </c>
      <c r="H12" s="6">
        <f>IF($B12=0,"",INDEX(tblIndicators!G$2:G$149,$B12))</f>
        <v>0</v>
      </c>
      <c r="I12" s="6">
        <f>IF($B12=0,"",INDEX(tblIndicators!H$2:H$149,$B12))</f>
        <v>0</v>
      </c>
      <c r="J12" s="6">
        <f>IF($B12=0,"",INDEX(tblIndicators!I$2:I$149,$B12))</f>
        <v>0</v>
      </c>
      <c r="K12" s="6">
        <f>IF($B12=0,"",INDEX(tblIndicators!J$2:J$149,$B12))</f>
        <v>0</v>
      </c>
      <c r="L12" s="6" t="str">
        <f>IF($B12=0,"",INDEX(tblIndicators!O$2:O$149,$B12))</f>
        <v>Volume of exports</v>
      </c>
      <c r="M12" s="6" t="str">
        <f>IF($B12=0,"",INDEX(tblIndicators!P$2:P$149,$B12))</f>
        <v>ton</v>
      </c>
      <c r="N12" s="6" t="str">
        <f>IF($B12=0,"",INDEX(tblIndicators!Q$2:Q$149,$B12))</f>
        <v>General indicators</v>
      </c>
      <c r="O12" s="6" t="str">
        <f>IF($B12=0,"",INDEX(tblIndicators!R$2:R$149,$B12))</f>
        <v>Volume of national exports</v>
      </c>
      <c r="P12" s="6">
        <f>IF($B12=0,"",INDEX(tblIndicators!S$2:S$149,$B12))</f>
        <v>0</v>
      </c>
      <c r="Q12" s="6">
        <f>IF($B12=0,"",INDEX(tblIndicators!T$2:T$149,$B12))</f>
        <v>0</v>
      </c>
      <c r="R12" s="6">
        <f>IF($B12=0,"",INDEX(tblIndicators!U$2:U$149,$B12))</f>
        <v>0</v>
      </c>
      <c r="S12" s="6">
        <f>IF($B12=0,"",INDEX(tblIndicators!V$2:V$149,$B12))</f>
        <v>0</v>
      </c>
      <c r="T12" s="6" t="str">
        <f>IF($B12=0,"",INDEX(tblIndicators!W$2:W$149,$B12))</f>
        <v xml:space="preserve">  Volume of exports</v>
      </c>
      <c r="U12" s="6" t="str">
        <f>IF($B12=0,"",INDEX(tblIndicators!X$2:X$149,$B12))</f>
        <v>General indicators</v>
      </c>
      <c r="V12" s="6" t="str">
        <f>IF($B12=0,"",INDEX(tblIndicators!Y$2:Y$149,$B12))</f>
        <v>GENERAL INDICATORS »</v>
      </c>
      <c r="W12" s="6">
        <f>IF($B12=0,"",INDEX(tblIndicators!Z$2:Z$149,$B12))</f>
        <v>0</v>
      </c>
      <c r="X12" s="6">
        <f>IF($B12=0,"",INDEX(tblIndicators!AA$2:AA$149,$B12))</f>
        <v>0</v>
      </c>
    </row>
    <row r="13" spans="1:30" ht="10.15" x14ac:dyDescent="0.2">
      <c r="A13" s="1" t="s">
        <v>188</v>
      </c>
      <c r="B13" s="6">
        <f>iMultiples!B12</f>
        <v>11</v>
      </c>
      <c r="C13" s="6" t="str">
        <f>IF($B13=0,"",INDEX(tblIndicators!B$2:B$149,$B13))</f>
        <v>GENERAL10</v>
      </c>
      <c r="D13" s="6" t="str">
        <f>IF($B13=0,"",INDEX(tblIndicators!C$2:C$149,$B13))</f>
        <v>GENERAL</v>
      </c>
      <c r="E13" s="6">
        <f>IF($B13=0,"",INDEX(tblIndicators!D$2:D$149,$B13))</f>
        <v>1</v>
      </c>
      <c r="F13" s="6">
        <f>IF($B13=0,"",INDEX(tblIndicators!E$2:E$149,$B13))</f>
        <v>1</v>
      </c>
      <c r="G13" s="6">
        <f>IF($B13=0,"",INDEX(tblIndicators!F$2:F$149,$B13))</f>
        <v>10</v>
      </c>
      <c r="H13" s="6">
        <f>IF($B13=0,"",INDEX(tblIndicators!G$2:G$149,$B13))</f>
        <v>1</v>
      </c>
      <c r="I13" s="6">
        <f>IF($B13=0,"",INDEX(tblIndicators!H$2:H$149,$B13))</f>
        <v>0</v>
      </c>
      <c r="J13" s="6">
        <f>IF($B13=0,"",INDEX(tblIndicators!I$2:I$149,$B13))</f>
        <v>0</v>
      </c>
      <c r="K13" s="6">
        <f>IF($B13=0,"",INDEX(tblIndicators!J$2:J$149,$B13))</f>
        <v>0</v>
      </c>
      <c r="L13" s="6" t="str">
        <f>IF($B13=0,"",INDEX(tblIndicators!O$2:O$149,$B13))</f>
        <v>Value of imports</v>
      </c>
      <c r="M13" s="6" t="str">
        <f>IF($B13=0,"",INDEX(tblIndicators!P$2:P$149,$B13))</f>
        <v>US$ (billions)</v>
      </c>
      <c r="N13" s="6" t="str">
        <f>IF($B13=0,"",INDEX(tblIndicators!Q$2:Q$149,$B13))</f>
        <v>General indicators</v>
      </c>
      <c r="O13" s="6" t="str">
        <f>IF($B13=0,"",INDEX(tblIndicators!R$2:R$149,$B13))</f>
        <v>Value of national imports</v>
      </c>
      <c r="P13" s="6">
        <f>IF($B13=0,"",INDEX(tblIndicators!S$2:S$149,$B13))</f>
        <v>0</v>
      </c>
      <c r="Q13" s="6">
        <f>IF($B13=0,"",INDEX(tblIndicators!T$2:T$149,$B13))</f>
        <v>0</v>
      </c>
      <c r="R13" s="6">
        <f>IF($B13=0,"",INDEX(tblIndicators!U$2:U$149,$B13))</f>
        <v>0</v>
      </c>
      <c r="S13" s="6">
        <f>IF($B13=0,"",INDEX(tblIndicators!V$2:V$149,$B13))</f>
        <v>0</v>
      </c>
      <c r="T13" s="6" t="str">
        <f>IF($B13=0,"",INDEX(tblIndicators!W$2:W$149,$B13))</f>
        <v xml:space="preserve">  Value of imports</v>
      </c>
      <c r="U13" s="6" t="str">
        <f>IF($B13=0,"",INDEX(tblIndicators!X$2:X$149,$B13))</f>
        <v>General indicators</v>
      </c>
      <c r="V13" s="6" t="str">
        <f>IF($B13=0,"",INDEX(tblIndicators!Y$2:Y$149,$B13))</f>
        <v>GENERAL INDICATORS »</v>
      </c>
      <c r="W13" s="6">
        <f>IF($B13=0,"",INDEX(tblIndicators!Z$2:Z$149,$B13))</f>
        <v>0</v>
      </c>
      <c r="X13" s="6">
        <f>IF($B13=0,"",INDEX(tblIndicators!AA$2:AA$149,$B13))</f>
        <v>0</v>
      </c>
    </row>
    <row r="14" spans="1:30" ht="10.15" x14ac:dyDescent="0.2">
      <c r="A14" s="1" t="s">
        <v>250</v>
      </c>
      <c r="B14" s="6">
        <f>iMultiples!B13</f>
        <v>12</v>
      </c>
      <c r="C14" s="6" t="str">
        <f>IF($B14=0,"",INDEX(tblIndicators!B$2:B$149,$B14))</f>
        <v>GENERAL11</v>
      </c>
      <c r="D14" s="6" t="str">
        <f>IF($B14=0,"",INDEX(tblIndicators!C$2:C$149,$B14))</f>
        <v>GENERAL</v>
      </c>
      <c r="E14" s="6">
        <f>IF($B14=0,"",INDEX(tblIndicators!D$2:D$149,$B14))</f>
        <v>1</v>
      </c>
      <c r="F14" s="6">
        <f>IF($B14=0,"",INDEX(tblIndicators!E$2:E$149,$B14))</f>
        <v>1</v>
      </c>
      <c r="G14" s="6">
        <f>IF($B14=0,"",INDEX(tblIndicators!F$2:F$149,$B14))</f>
        <v>11</v>
      </c>
      <c r="H14" s="6">
        <f>IF($B14=0,"",INDEX(tblIndicators!G$2:G$149,$B14))</f>
        <v>0</v>
      </c>
      <c r="I14" s="6">
        <f>IF($B14=0,"",INDEX(tblIndicators!H$2:H$149,$B14))</f>
        <v>0</v>
      </c>
      <c r="J14" s="6">
        <f>IF($B14=0,"",INDEX(tblIndicators!I$2:I$149,$B14))</f>
        <v>0</v>
      </c>
      <c r="K14" s="6">
        <f>IF($B14=0,"",INDEX(tblIndicators!J$2:J$149,$B14))</f>
        <v>0</v>
      </c>
      <c r="L14" s="6" t="str">
        <f>IF($B14=0,"",INDEX(tblIndicators!O$2:O$149,$B14))</f>
        <v>Volume of imports</v>
      </c>
      <c r="M14" s="6" t="str">
        <f>IF($B14=0,"",INDEX(tblIndicators!P$2:P$149,$B14))</f>
        <v>tons</v>
      </c>
      <c r="N14" s="6" t="str">
        <f>IF($B14=0,"",INDEX(tblIndicators!Q$2:Q$149,$B14))</f>
        <v>General indicators</v>
      </c>
      <c r="O14" s="6" t="str">
        <f>IF($B14=0,"",INDEX(tblIndicators!R$2:R$149,$B14))</f>
        <v>Volume of national imports</v>
      </c>
      <c r="P14" s="6">
        <f>IF($B14=0,"",INDEX(tblIndicators!S$2:S$149,$B14))</f>
        <v>0</v>
      </c>
      <c r="Q14" s="6">
        <f>IF($B14=0,"",INDEX(tblIndicators!T$2:T$149,$B14))</f>
        <v>0</v>
      </c>
      <c r="R14" s="6">
        <f>IF($B14=0,"",INDEX(tblIndicators!U$2:U$149,$B14))</f>
        <v>0</v>
      </c>
      <c r="S14" s="6">
        <f>IF($B14=0,"",INDEX(tblIndicators!V$2:V$149,$B14))</f>
        <v>0</v>
      </c>
      <c r="T14" s="6" t="str">
        <f>IF($B14=0,"",INDEX(tblIndicators!W$2:W$149,$B14))</f>
        <v xml:space="preserve">  Volume of imports</v>
      </c>
      <c r="U14" s="6" t="str">
        <f>IF($B14=0,"",INDEX(tblIndicators!X$2:X$149,$B14))</f>
        <v>General indicators</v>
      </c>
      <c r="V14" s="6" t="str">
        <f>IF($B14=0,"",INDEX(tblIndicators!Y$2:Y$149,$B14))</f>
        <v>GENERAL INDICATORS »</v>
      </c>
      <c r="W14" s="6">
        <f>IF($B14=0,"",INDEX(tblIndicators!Z$2:Z$149,$B14))</f>
        <v>0</v>
      </c>
      <c r="X14" s="6">
        <f>IF($B14=0,"",INDEX(tblIndicators!AA$2:AA$149,$B14))</f>
        <v>0</v>
      </c>
    </row>
    <row r="15" spans="1:30" ht="10.15" x14ac:dyDescent="0.2">
      <c r="A15" s="1" t="s">
        <v>251</v>
      </c>
      <c r="B15" s="6">
        <f>iMultiples!B14</f>
        <v>0</v>
      </c>
      <c r="C15" s="6" t="str">
        <f>IF($B15=0,"",INDEX(tblIndicators!B$2:B$149,$B15))</f>
        <v/>
      </c>
      <c r="D15" s="6" t="str">
        <f>IF($B15=0,"",INDEX(tblIndicators!C$2:C$149,$B15))</f>
        <v/>
      </c>
      <c r="E15" s="6" t="str">
        <f>IF($B15=0,"",INDEX(tblIndicators!D$2:D$149,$B15))</f>
        <v/>
      </c>
      <c r="F15" s="6" t="str">
        <f>IF($B15=0,"",INDEX(tblIndicators!E$2:E$149,$B15))</f>
        <v/>
      </c>
      <c r="G15" s="6" t="str">
        <f>IF($B15=0,"",INDEX(tblIndicators!F$2:F$149,$B15))</f>
        <v/>
      </c>
      <c r="H15" s="6" t="str">
        <f>IF($B15=0,"",INDEX(tblIndicators!G$2:G$149,$B15))</f>
        <v/>
      </c>
      <c r="I15" s="6" t="str">
        <f>IF($B15=0,"",INDEX(tblIndicators!H$2:H$149,$B15))</f>
        <v/>
      </c>
      <c r="J15" s="6" t="str">
        <f>IF($B15=0,"",INDEX(tblIndicators!I$2:I$149,$B15))</f>
        <v/>
      </c>
      <c r="K15" s="6" t="str">
        <f>IF($B15=0,"",INDEX(tblIndicators!J$2:J$149,$B15))</f>
        <v/>
      </c>
      <c r="L15" s="6" t="str">
        <f>IF($B15=0,"",INDEX(tblIndicators!O$2:O$149,$B15))</f>
        <v/>
      </c>
      <c r="M15" s="6" t="str">
        <f>IF($B15=0,"",INDEX(tblIndicators!P$2:P$149,$B15))</f>
        <v/>
      </c>
      <c r="N15" s="6" t="str">
        <f>IF($B15=0,"",INDEX(tblIndicators!Q$2:Q$149,$B15))</f>
        <v/>
      </c>
      <c r="O15" s="6" t="str">
        <f>IF($B15=0,"",INDEX(tblIndicators!R$2:R$149,$B15))</f>
        <v/>
      </c>
      <c r="P15" s="6" t="str">
        <f>IF($B15=0,"",INDEX(tblIndicators!S$2:S$149,$B15))</f>
        <v/>
      </c>
      <c r="Q15" s="6" t="str">
        <f>IF($B15=0,"",INDEX(tblIndicators!T$2:T$149,$B15))</f>
        <v/>
      </c>
      <c r="R15" s="6" t="str">
        <f>IF($B15=0,"",INDEX(tblIndicators!U$2:U$149,$B15))</f>
        <v/>
      </c>
      <c r="S15" s="6" t="str">
        <f>IF($B15=0,"",INDEX(tblIndicators!V$2:V$149,$B15))</f>
        <v/>
      </c>
      <c r="T15" s="6" t="str">
        <f>IF($B15=0,"",INDEX(tblIndicators!W$2:W$149,$B15))</f>
        <v/>
      </c>
      <c r="U15" s="6" t="str">
        <f>IF($B15=0,"",INDEX(tblIndicators!X$2:X$149,$B15))</f>
        <v/>
      </c>
      <c r="V15" s="6" t="str">
        <f>IF($B15=0,"",INDEX(tblIndicators!Y$2:Y$149,$B15))</f>
        <v/>
      </c>
      <c r="W15" s="6" t="str">
        <f>IF($B15=0,"",INDEX(tblIndicators!Z$2:Z$149,$B15))</f>
        <v/>
      </c>
      <c r="X15" s="6" t="str">
        <f>IF($B15=0,"",INDEX(tblIndicators!AA$2:AA$149,$B15))</f>
        <v/>
      </c>
    </row>
    <row r="16" spans="1:30" ht="10.15" x14ac:dyDescent="0.2">
      <c r="A16" s="1" t="s">
        <v>252</v>
      </c>
      <c r="B16" s="6">
        <f>iMultiples!B15</f>
        <v>0</v>
      </c>
      <c r="C16" s="6" t="str">
        <f>IF($B16=0,"",INDEX(tblIndicators!B$2:B$149,$B16))</f>
        <v/>
      </c>
      <c r="D16" s="6" t="str">
        <f>IF($B16=0,"",INDEX(tblIndicators!C$2:C$149,$B16))</f>
        <v/>
      </c>
      <c r="E16" s="6" t="str">
        <f>IF($B16=0,"",INDEX(tblIndicators!D$2:D$149,$B16))</f>
        <v/>
      </c>
      <c r="F16" s="6" t="str">
        <f>IF($B16=0,"",INDEX(tblIndicators!E$2:E$149,$B16))</f>
        <v/>
      </c>
      <c r="G16" s="6" t="str">
        <f>IF($B16=0,"",INDEX(tblIndicators!F$2:F$149,$B16))</f>
        <v/>
      </c>
      <c r="H16" s="6" t="str">
        <f>IF($B16=0,"",INDEX(tblIndicators!G$2:G$149,$B16))</f>
        <v/>
      </c>
      <c r="I16" s="6" t="str">
        <f>IF($B16=0,"",INDEX(tblIndicators!H$2:H$149,$B16))</f>
        <v/>
      </c>
      <c r="J16" s="6" t="str">
        <f>IF($B16=0,"",INDEX(tblIndicators!I$2:I$149,$B16))</f>
        <v/>
      </c>
      <c r="K16" s="6" t="str">
        <f>IF($B16=0,"",INDEX(tblIndicators!J$2:J$149,$B16))</f>
        <v/>
      </c>
      <c r="L16" s="6" t="str">
        <f>IF($B16=0,"",INDEX(tblIndicators!O$2:O$149,$B16))</f>
        <v/>
      </c>
      <c r="M16" s="6" t="str">
        <f>IF($B16=0,"",INDEX(tblIndicators!P$2:P$149,$B16))</f>
        <v/>
      </c>
      <c r="N16" s="6" t="str">
        <f>IF($B16=0,"",INDEX(tblIndicators!Q$2:Q$149,$B16))</f>
        <v/>
      </c>
      <c r="O16" s="6" t="str">
        <f>IF($B16=0,"",INDEX(tblIndicators!R$2:R$149,$B16))</f>
        <v/>
      </c>
      <c r="P16" s="6" t="str">
        <f>IF($B16=0,"",INDEX(tblIndicators!S$2:S$149,$B16))</f>
        <v/>
      </c>
      <c r="Q16" s="6" t="str">
        <f>IF($B16=0,"",INDEX(tblIndicators!T$2:T$149,$B16))</f>
        <v/>
      </c>
      <c r="R16" s="6" t="str">
        <f>IF($B16=0,"",INDEX(tblIndicators!U$2:U$149,$B16))</f>
        <v/>
      </c>
      <c r="S16" s="6" t="str">
        <f>IF($B16=0,"",INDEX(tblIndicators!V$2:V$149,$B16))</f>
        <v/>
      </c>
      <c r="T16" s="6" t="str">
        <f>IF($B16=0,"",INDEX(tblIndicators!W$2:W$149,$B16))</f>
        <v/>
      </c>
      <c r="U16" s="6" t="str">
        <f>IF($B16=0,"",INDEX(tblIndicators!X$2:X$149,$B16))</f>
        <v/>
      </c>
      <c r="V16" s="6" t="str">
        <f>IF($B16=0,"",INDEX(tblIndicators!Y$2:Y$149,$B16))</f>
        <v/>
      </c>
      <c r="W16" s="6" t="str">
        <f>IF($B16=0,"",INDEX(tblIndicators!Z$2:Z$149,$B16))</f>
        <v/>
      </c>
      <c r="X16" s="6" t="str">
        <f>IF($B16=0,"",INDEX(tblIndicators!AA$2:AA$149,$B16))</f>
        <v/>
      </c>
    </row>
    <row r="17" spans="1:33" ht="10.15" x14ac:dyDescent="0.2">
      <c r="A17" s="1" t="s">
        <v>253</v>
      </c>
      <c r="B17" s="6">
        <f>iMultiples!B16</f>
        <v>0</v>
      </c>
      <c r="C17" s="6" t="str">
        <f>IF($B17=0,"",INDEX(tblIndicators!B$2:B$149,$B17))</f>
        <v/>
      </c>
      <c r="D17" s="6" t="str">
        <f>IF($B17=0,"",INDEX(tblIndicators!C$2:C$149,$B17))</f>
        <v/>
      </c>
      <c r="E17" s="6" t="str">
        <f>IF($B17=0,"",INDEX(tblIndicators!D$2:D$149,$B17))</f>
        <v/>
      </c>
      <c r="F17" s="6" t="str">
        <f>IF($B17=0,"",INDEX(tblIndicators!E$2:E$149,$B17))</f>
        <v/>
      </c>
      <c r="G17" s="6" t="str">
        <f>IF($B17=0,"",INDEX(tblIndicators!F$2:F$149,$B17))</f>
        <v/>
      </c>
      <c r="H17" s="6" t="str">
        <f>IF($B17=0,"",INDEX(tblIndicators!G$2:G$149,$B17))</f>
        <v/>
      </c>
      <c r="I17" s="6" t="str">
        <f>IF($B17=0,"",INDEX(tblIndicators!H$2:H$149,$B17))</f>
        <v/>
      </c>
      <c r="J17" s="6" t="str">
        <f>IF($B17=0,"",INDEX(tblIndicators!I$2:I$149,$B17))</f>
        <v/>
      </c>
      <c r="K17" s="6" t="str">
        <f>IF($B17=0,"",INDEX(tblIndicators!J$2:J$149,$B17))</f>
        <v/>
      </c>
      <c r="L17" s="6" t="str">
        <f>IF($B17=0,"",INDEX(tblIndicators!O$2:O$149,$B17))</f>
        <v/>
      </c>
      <c r="M17" s="6" t="str">
        <f>IF($B17=0,"",INDEX(tblIndicators!P$2:P$149,$B17))</f>
        <v/>
      </c>
      <c r="N17" s="6" t="str">
        <f>IF($B17=0,"",INDEX(tblIndicators!Q$2:Q$149,$B17))</f>
        <v/>
      </c>
      <c r="O17" s="6" t="str">
        <f>IF($B17=0,"",INDEX(tblIndicators!R$2:R$149,$B17))</f>
        <v/>
      </c>
      <c r="P17" s="6" t="str">
        <f>IF($B17=0,"",INDEX(tblIndicators!S$2:S$149,$B17))</f>
        <v/>
      </c>
      <c r="Q17" s="6" t="str">
        <f>IF($B17=0,"",INDEX(tblIndicators!T$2:T$149,$B17))</f>
        <v/>
      </c>
      <c r="R17" s="6" t="str">
        <f>IF($B17=0,"",INDEX(tblIndicators!U$2:U$149,$B17))</f>
        <v/>
      </c>
      <c r="S17" s="6" t="str">
        <f>IF($B17=0,"",INDEX(tblIndicators!V$2:V$149,$B17))</f>
        <v/>
      </c>
      <c r="T17" s="6" t="str">
        <f>IF($B17=0,"",INDEX(tblIndicators!W$2:W$149,$B17))</f>
        <v/>
      </c>
      <c r="U17" s="6" t="str">
        <f>IF($B17=0,"",INDEX(tblIndicators!X$2:X$149,$B17))</f>
        <v/>
      </c>
      <c r="V17" s="6" t="str">
        <f>IF($B17=0,"",INDEX(tblIndicators!Y$2:Y$149,$B17))</f>
        <v/>
      </c>
      <c r="W17" s="6" t="str">
        <f>IF($B17=0,"",INDEX(tblIndicators!Z$2:Z$149,$B17))</f>
        <v/>
      </c>
      <c r="X17" s="6" t="str">
        <f>IF($B17=0,"",INDEX(tblIndicators!AA$2:AA$149,$B17))</f>
        <v/>
      </c>
    </row>
    <row r="18" spans="1:33" ht="10.15" x14ac:dyDescent="0.2">
      <c r="A18" s="1" t="s">
        <v>254</v>
      </c>
      <c r="B18" s="6">
        <f>iMultiples!B17</f>
        <v>0</v>
      </c>
      <c r="C18" s="6" t="str">
        <f>IF($B18=0,"",INDEX(tblIndicators!B$2:B$149,$B18))</f>
        <v/>
      </c>
      <c r="D18" s="6" t="str">
        <f>IF($B18=0,"",INDEX(tblIndicators!C$2:C$149,$B18))</f>
        <v/>
      </c>
      <c r="E18" s="6" t="str">
        <f>IF($B18=0,"",INDEX(tblIndicators!D$2:D$149,$B18))</f>
        <v/>
      </c>
      <c r="F18" s="6" t="str">
        <f>IF($B18=0,"",INDEX(tblIndicators!E$2:E$149,$B18))</f>
        <v/>
      </c>
      <c r="G18" s="6" t="str">
        <f>IF($B18=0,"",INDEX(tblIndicators!F$2:F$149,$B18))</f>
        <v/>
      </c>
      <c r="H18" s="6" t="str">
        <f>IF($B18=0,"",INDEX(tblIndicators!G$2:G$149,$B18))</f>
        <v/>
      </c>
      <c r="I18" s="6" t="str">
        <f>IF($B18=0,"",INDEX(tblIndicators!H$2:H$149,$B18))</f>
        <v/>
      </c>
      <c r="J18" s="6" t="str">
        <f>IF($B18=0,"",INDEX(tblIndicators!I$2:I$149,$B18))</f>
        <v/>
      </c>
      <c r="K18" s="6" t="str">
        <f>IF($B18=0,"",INDEX(tblIndicators!J$2:J$149,$B18))</f>
        <v/>
      </c>
      <c r="L18" s="6" t="str">
        <f>IF($B18=0,"",INDEX(tblIndicators!O$2:O$149,$B18))</f>
        <v/>
      </c>
      <c r="M18" s="6" t="str">
        <f>IF($B18=0,"",INDEX(tblIndicators!P$2:P$149,$B18))</f>
        <v/>
      </c>
      <c r="N18" s="6" t="str">
        <f>IF($B18=0,"",INDEX(tblIndicators!Q$2:Q$149,$B18))</f>
        <v/>
      </c>
      <c r="O18" s="6" t="str">
        <f>IF($B18=0,"",INDEX(tblIndicators!R$2:R$149,$B18))</f>
        <v/>
      </c>
      <c r="P18" s="6" t="str">
        <f>IF($B18=0,"",INDEX(tblIndicators!S$2:S$149,$B18))</f>
        <v/>
      </c>
      <c r="Q18" s="6" t="str">
        <f>IF($B18=0,"",INDEX(tblIndicators!T$2:T$149,$B18))</f>
        <v/>
      </c>
      <c r="R18" s="6" t="str">
        <f>IF($B18=0,"",INDEX(tblIndicators!U$2:U$149,$B18))</f>
        <v/>
      </c>
      <c r="S18" s="6" t="str">
        <f>IF($B18=0,"",INDEX(tblIndicators!V$2:V$149,$B18))</f>
        <v/>
      </c>
      <c r="T18" s="6" t="str">
        <f>IF($B18=0,"",INDEX(tblIndicators!W$2:W$149,$B18))</f>
        <v/>
      </c>
      <c r="U18" s="6" t="str">
        <f>IF($B18=0,"",INDEX(tblIndicators!X$2:X$149,$B18))</f>
        <v/>
      </c>
      <c r="V18" s="6" t="str">
        <f>IF($B18=0,"",INDEX(tblIndicators!Y$2:Y$149,$B18))</f>
        <v/>
      </c>
      <c r="W18" s="6" t="str">
        <f>IF($B18=0,"",INDEX(tblIndicators!Z$2:Z$149,$B18))</f>
        <v/>
      </c>
      <c r="X18" s="6" t="str">
        <f>IF($B18=0,"",INDEX(tblIndicators!AA$2:AA$149,$B18))</f>
        <v/>
      </c>
    </row>
    <row r="19" spans="1:33" ht="10.15" x14ac:dyDescent="0.2">
      <c r="A19" s="1" t="s">
        <v>255</v>
      </c>
      <c r="B19" s="6">
        <f>iMultiples!B18</f>
        <v>0</v>
      </c>
      <c r="C19" s="6" t="str">
        <f>IF($B19=0,"",INDEX(tblIndicators!B$2:B$149,$B19))</f>
        <v/>
      </c>
      <c r="D19" s="6" t="str">
        <f>IF($B19=0,"",INDEX(tblIndicators!C$2:C$149,$B19))</f>
        <v/>
      </c>
      <c r="E19" s="6" t="str">
        <f>IF($B19=0,"",INDEX(tblIndicators!D$2:D$149,$B19))</f>
        <v/>
      </c>
      <c r="F19" s="6" t="str">
        <f>IF($B19=0,"",INDEX(tblIndicators!E$2:E$149,$B19))</f>
        <v/>
      </c>
      <c r="G19" s="6" t="str">
        <f>IF($B19=0,"",INDEX(tblIndicators!F$2:F$149,$B19))</f>
        <v/>
      </c>
      <c r="H19" s="6" t="str">
        <f>IF($B19=0,"",INDEX(tblIndicators!G$2:G$149,$B19))</f>
        <v/>
      </c>
      <c r="I19" s="6" t="str">
        <f>IF($B19=0,"",INDEX(tblIndicators!H$2:H$149,$B19))</f>
        <v/>
      </c>
      <c r="J19" s="6" t="str">
        <f>IF($B19=0,"",INDEX(tblIndicators!I$2:I$149,$B19))</f>
        <v/>
      </c>
      <c r="K19" s="6" t="str">
        <f>IF($B19=0,"",INDEX(tblIndicators!J$2:J$149,$B19))</f>
        <v/>
      </c>
      <c r="L19" s="6" t="str">
        <f>IF($B19=0,"",INDEX(tblIndicators!O$2:O$149,$B19))</f>
        <v/>
      </c>
      <c r="M19" s="6" t="str">
        <f>IF($B19=0,"",INDEX(tblIndicators!P$2:P$149,$B19))</f>
        <v/>
      </c>
      <c r="N19" s="6" t="str">
        <f>IF($B19=0,"",INDEX(tblIndicators!Q$2:Q$149,$B19))</f>
        <v/>
      </c>
      <c r="O19" s="6" t="str">
        <f>IF($B19=0,"",INDEX(tblIndicators!R$2:R$149,$B19))</f>
        <v/>
      </c>
      <c r="P19" s="6" t="str">
        <f>IF($B19=0,"",INDEX(tblIndicators!S$2:S$149,$B19))</f>
        <v/>
      </c>
      <c r="Q19" s="6" t="str">
        <f>IF($B19=0,"",INDEX(tblIndicators!T$2:T$149,$B19))</f>
        <v/>
      </c>
      <c r="R19" s="6" t="str">
        <f>IF($B19=0,"",INDEX(tblIndicators!U$2:U$149,$B19))</f>
        <v/>
      </c>
      <c r="S19" s="6" t="str">
        <f>IF($B19=0,"",INDEX(tblIndicators!V$2:V$149,$B19))</f>
        <v/>
      </c>
      <c r="T19" s="6" t="str">
        <f>IF($B19=0,"",INDEX(tblIndicators!W$2:W$149,$B19))</f>
        <v/>
      </c>
      <c r="U19" s="6" t="str">
        <f>IF($B19=0,"",INDEX(tblIndicators!X$2:X$149,$B19))</f>
        <v/>
      </c>
      <c r="V19" s="6" t="str">
        <f>IF($B19=0,"",INDEX(tblIndicators!Y$2:Y$149,$B19))</f>
        <v/>
      </c>
      <c r="W19" s="6" t="str">
        <f>IF($B19=0,"",INDEX(tblIndicators!Z$2:Z$149,$B19))</f>
        <v/>
      </c>
      <c r="X19" s="6" t="str">
        <f>IF($B19=0,"",INDEX(tblIndicators!AA$2:AA$149,$B19))</f>
        <v/>
      </c>
    </row>
    <row r="20" spans="1:33" ht="10.15" x14ac:dyDescent="0.2">
      <c r="A20" s="1" t="s">
        <v>256</v>
      </c>
      <c r="B20" s="6">
        <f>iMultiples!B19</f>
        <v>0</v>
      </c>
      <c r="C20" s="6" t="str">
        <f>IF($B20=0,"",INDEX(tblIndicators!B$2:B$149,$B20))</f>
        <v/>
      </c>
      <c r="D20" s="6" t="str">
        <f>IF($B20=0,"",INDEX(tblIndicators!C$2:C$149,$B20))</f>
        <v/>
      </c>
      <c r="E20" s="6" t="str">
        <f>IF($B20=0,"",INDEX(tblIndicators!D$2:D$149,$B20))</f>
        <v/>
      </c>
      <c r="F20" s="6" t="str">
        <f>IF($B20=0,"",INDEX(tblIndicators!E$2:E$149,$B20))</f>
        <v/>
      </c>
      <c r="G20" s="6" t="str">
        <f>IF($B20=0,"",INDEX(tblIndicators!F$2:F$149,$B20))</f>
        <v/>
      </c>
      <c r="H20" s="6" t="str">
        <f>IF($B20=0,"",INDEX(tblIndicators!G$2:G$149,$B20))</f>
        <v/>
      </c>
      <c r="I20" s="6" t="str">
        <f>IF($B20=0,"",INDEX(tblIndicators!H$2:H$149,$B20))</f>
        <v/>
      </c>
      <c r="J20" s="6" t="str">
        <f>IF($B20=0,"",INDEX(tblIndicators!I$2:I$149,$B20))</f>
        <v/>
      </c>
      <c r="K20" s="6" t="str">
        <f>IF($B20=0,"",INDEX(tblIndicators!J$2:J$149,$B20))</f>
        <v/>
      </c>
      <c r="L20" s="6" t="str">
        <f>IF($B20=0,"",INDEX(tblIndicators!O$2:O$149,$B20))</f>
        <v/>
      </c>
      <c r="M20" s="6" t="str">
        <f>IF($B20=0,"",INDEX(tblIndicators!P$2:P$149,$B20))</f>
        <v/>
      </c>
      <c r="N20" s="6" t="str">
        <f>IF($B20=0,"",INDEX(tblIndicators!Q$2:Q$149,$B20))</f>
        <v/>
      </c>
      <c r="O20" s="6" t="str">
        <f>IF($B20=0,"",INDEX(tblIndicators!R$2:R$149,$B20))</f>
        <v/>
      </c>
      <c r="P20" s="6" t="str">
        <f>IF($B20=0,"",INDEX(tblIndicators!S$2:S$149,$B20))</f>
        <v/>
      </c>
      <c r="Q20" s="6" t="str">
        <f>IF($B20=0,"",INDEX(tblIndicators!T$2:T$149,$B20))</f>
        <v/>
      </c>
      <c r="R20" s="6" t="str">
        <f>IF($B20=0,"",INDEX(tblIndicators!U$2:U$149,$B20))</f>
        <v/>
      </c>
      <c r="S20" s="6" t="str">
        <f>IF($B20=0,"",INDEX(tblIndicators!V$2:V$149,$B20))</f>
        <v/>
      </c>
      <c r="T20" s="6" t="str">
        <f>IF($B20=0,"",INDEX(tblIndicators!W$2:W$149,$B20))</f>
        <v/>
      </c>
      <c r="U20" s="6" t="str">
        <f>IF($B20=0,"",INDEX(tblIndicators!X$2:X$149,$B20))</f>
        <v/>
      </c>
      <c r="V20" s="6" t="str">
        <f>IF($B20=0,"",INDEX(tblIndicators!Y$2:Y$149,$B20))</f>
        <v/>
      </c>
      <c r="W20" s="6" t="str">
        <f>IF($B20=0,"",INDEX(tblIndicators!Z$2:Z$149,$B20))</f>
        <v/>
      </c>
      <c r="X20" s="6" t="str">
        <f>IF($B20=0,"",INDEX(tblIndicators!AA$2:AA$149,$B20))</f>
        <v/>
      </c>
    </row>
    <row r="21" spans="1:33" ht="10.15" x14ac:dyDescent="0.2">
      <c r="A21" s="1" t="s">
        <v>257</v>
      </c>
      <c r="B21" s="6">
        <f>iMultiples!B20</f>
        <v>0</v>
      </c>
      <c r="C21" s="6" t="str">
        <f>IF($B21=0,"",INDEX(tblIndicators!B$2:B$149,$B21))</f>
        <v/>
      </c>
      <c r="D21" s="6" t="str">
        <f>IF($B21=0,"",INDEX(tblIndicators!C$2:C$149,$B21))</f>
        <v/>
      </c>
      <c r="E21" s="6" t="str">
        <f>IF($B21=0,"",INDEX(tblIndicators!D$2:D$149,$B21))</f>
        <v/>
      </c>
      <c r="F21" s="6" t="str">
        <f>IF($B21=0,"",INDEX(tblIndicators!E$2:E$149,$B21))</f>
        <v/>
      </c>
      <c r="G21" s="6" t="str">
        <f>IF($B21=0,"",INDEX(tblIndicators!F$2:F$149,$B21))</f>
        <v/>
      </c>
      <c r="H21" s="6" t="str">
        <f>IF($B21=0,"",INDEX(tblIndicators!G$2:G$149,$B21))</f>
        <v/>
      </c>
      <c r="I21" s="6" t="str">
        <f>IF($B21=0,"",INDEX(tblIndicators!H$2:H$149,$B21))</f>
        <v/>
      </c>
      <c r="J21" s="6" t="str">
        <f>IF($B21=0,"",INDEX(tblIndicators!I$2:I$149,$B21))</f>
        <v/>
      </c>
      <c r="K21" s="6" t="str">
        <f>IF($B21=0,"",INDEX(tblIndicators!J$2:J$149,$B21))</f>
        <v/>
      </c>
      <c r="L21" s="6" t="str">
        <f>IF($B21=0,"",INDEX(tblIndicators!O$2:O$149,$B21))</f>
        <v/>
      </c>
      <c r="M21" s="6" t="str">
        <f>IF($B21=0,"",INDEX(tblIndicators!P$2:P$149,$B21))</f>
        <v/>
      </c>
      <c r="N21" s="6" t="str">
        <f>IF($B21=0,"",INDEX(tblIndicators!Q$2:Q$149,$B21))</f>
        <v/>
      </c>
      <c r="O21" s="6" t="str">
        <f>IF($B21=0,"",INDEX(tblIndicators!R$2:R$149,$B21))</f>
        <v/>
      </c>
      <c r="P21" s="6" t="str">
        <f>IF($B21=0,"",INDEX(tblIndicators!S$2:S$149,$B21))</f>
        <v/>
      </c>
      <c r="Q21" s="6" t="str">
        <f>IF($B21=0,"",INDEX(tblIndicators!T$2:T$149,$B21))</f>
        <v/>
      </c>
      <c r="R21" s="6" t="str">
        <f>IF($B21=0,"",INDEX(tblIndicators!U$2:U$149,$B21))</f>
        <v/>
      </c>
      <c r="S21" s="6" t="str">
        <f>IF($B21=0,"",INDEX(tblIndicators!V$2:V$149,$B21))</f>
        <v/>
      </c>
      <c r="T21" s="6" t="str">
        <f>IF($B21=0,"",INDEX(tblIndicators!W$2:W$149,$B21))</f>
        <v/>
      </c>
      <c r="U21" s="6" t="str">
        <f>IF($B21=0,"",INDEX(tblIndicators!X$2:X$149,$B21))</f>
        <v/>
      </c>
      <c r="V21" s="6" t="str">
        <f>IF($B21=0,"",INDEX(tblIndicators!Y$2:Y$149,$B21))</f>
        <v/>
      </c>
      <c r="W21" s="6" t="str">
        <f>IF($B21=0,"",INDEX(tblIndicators!Z$2:Z$149,$B21))</f>
        <v/>
      </c>
      <c r="X21" s="6" t="str">
        <f>IF($B21=0,"",INDEX(tblIndicators!AA$2:AA$149,$B21))</f>
        <v/>
      </c>
    </row>
    <row r="22" spans="1:33" ht="10.15" x14ac:dyDescent="0.2">
      <c r="A22" s="1" t="s">
        <v>258</v>
      </c>
      <c r="B22" s="6">
        <f>iMultiples!B21</f>
        <v>0</v>
      </c>
      <c r="C22" s="6" t="str">
        <f>IF($B22=0,"",INDEX(tblIndicators!B$2:B$149,$B22))</f>
        <v/>
      </c>
      <c r="D22" s="6" t="str">
        <f>IF($B22=0,"",INDEX(tblIndicators!C$2:C$149,$B22))</f>
        <v/>
      </c>
      <c r="E22" s="6" t="str">
        <f>IF($B22=0,"",INDEX(tblIndicators!D$2:D$149,$B22))</f>
        <v/>
      </c>
      <c r="F22" s="6" t="str">
        <f>IF($B22=0,"",INDEX(tblIndicators!E$2:E$149,$B22))</f>
        <v/>
      </c>
      <c r="G22" s="6" t="str">
        <f>IF($B22=0,"",INDEX(tblIndicators!F$2:F$149,$B22))</f>
        <v/>
      </c>
      <c r="H22" s="6" t="str">
        <f>IF($B22=0,"",INDEX(tblIndicators!G$2:G$149,$B22))</f>
        <v/>
      </c>
      <c r="I22" s="6" t="str">
        <f>IF($B22=0,"",INDEX(tblIndicators!H$2:H$149,$B22))</f>
        <v/>
      </c>
      <c r="J22" s="6" t="str">
        <f>IF($B22=0,"",INDEX(tblIndicators!I$2:I$149,$B22))</f>
        <v/>
      </c>
      <c r="K22" s="6" t="str">
        <f>IF($B22=0,"",INDEX(tblIndicators!J$2:J$149,$B22))</f>
        <v/>
      </c>
      <c r="L22" s="6" t="str">
        <f>IF($B22=0,"",INDEX(tblIndicators!O$2:O$149,$B22))</f>
        <v/>
      </c>
      <c r="M22" s="6" t="str">
        <f>IF($B22=0,"",INDEX(tblIndicators!P$2:P$149,$B22))</f>
        <v/>
      </c>
      <c r="N22" s="6" t="str">
        <f>IF($B22=0,"",INDEX(tblIndicators!Q$2:Q$149,$B22))</f>
        <v/>
      </c>
      <c r="O22" s="6" t="str">
        <f>IF($B22=0,"",INDEX(tblIndicators!R$2:R$149,$B22))</f>
        <v/>
      </c>
      <c r="P22" s="6" t="str">
        <f>IF($B22=0,"",INDEX(tblIndicators!S$2:S$149,$B22))</f>
        <v/>
      </c>
      <c r="Q22" s="6" t="str">
        <f>IF($B22=0,"",INDEX(tblIndicators!T$2:T$149,$B22))</f>
        <v/>
      </c>
      <c r="R22" s="6" t="str">
        <f>IF($B22=0,"",INDEX(tblIndicators!U$2:U$149,$B22))</f>
        <v/>
      </c>
      <c r="S22" s="6" t="str">
        <f>IF($B22=0,"",INDEX(tblIndicators!V$2:V$149,$B22))</f>
        <v/>
      </c>
      <c r="T22" s="6" t="str">
        <f>IF($B22=0,"",INDEX(tblIndicators!W$2:W$149,$B22))</f>
        <v/>
      </c>
      <c r="U22" s="6" t="str">
        <f>IF($B22=0,"",INDEX(tblIndicators!X$2:X$149,$B22))</f>
        <v/>
      </c>
      <c r="V22" s="6" t="str">
        <f>IF($B22=0,"",INDEX(tblIndicators!Y$2:Y$149,$B22))</f>
        <v/>
      </c>
      <c r="W22" s="6" t="str">
        <f>IF($B22=0,"",INDEX(tblIndicators!Z$2:Z$149,$B22))</f>
        <v/>
      </c>
      <c r="X22" s="6" t="str">
        <f>IF($B22=0,"",INDEX(tblIndicators!AA$2:AA$149,$B22))</f>
        <v/>
      </c>
    </row>
    <row r="23" spans="1:33" ht="10.15" x14ac:dyDescent="0.2">
      <c r="A23" s="1" t="s">
        <v>259</v>
      </c>
      <c r="B23" s="6">
        <f>iMultiples!B22</f>
        <v>0</v>
      </c>
      <c r="C23" s="6" t="str">
        <f>IF($B23=0,"",INDEX(tblIndicators!B$2:B$149,$B23))</f>
        <v/>
      </c>
      <c r="D23" s="6" t="str">
        <f>IF($B23=0,"",INDEX(tblIndicators!C$2:C$149,$B23))</f>
        <v/>
      </c>
      <c r="E23" s="6" t="str">
        <f>IF($B23=0,"",INDEX(tblIndicators!D$2:D$149,$B23))</f>
        <v/>
      </c>
      <c r="F23" s="6" t="str">
        <f>IF($B23=0,"",INDEX(tblIndicators!E$2:E$149,$B23))</f>
        <v/>
      </c>
      <c r="G23" s="6" t="str">
        <f>IF($B23=0,"",INDEX(tblIndicators!F$2:F$149,$B23))</f>
        <v/>
      </c>
      <c r="H23" s="6" t="str">
        <f>IF($B23=0,"",INDEX(tblIndicators!G$2:G$149,$B23))</f>
        <v/>
      </c>
      <c r="I23" s="6" t="str">
        <f>IF($B23=0,"",INDEX(tblIndicators!H$2:H$149,$B23))</f>
        <v/>
      </c>
      <c r="J23" s="6" t="str">
        <f>IF($B23=0,"",INDEX(tblIndicators!I$2:I$149,$B23))</f>
        <v/>
      </c>
      <c r="K23" s="6" t="str">
        <f>IF($B23=0,"",INDEX(tblIndicators!J$2:J$149,$B23))</f>
        <v/>
      </c>
      <c r="L23" s="6" t="str">
        <f>IF($B23=0,"",INDEX(tblIndicators!O$2:O$149,$B23))</f>
        <v/>
      </c>
      <c r="M23" s="6" t="str">
        <f>IF($B23=0,"",INDEX(tblIndicators!P$2:P$149,$B23))</f>
        <v/>
      </c>
      <c r="N23" s="6" t="str">
        <f>IF($B23=0,"",INDEX(tblIndicators!Q$2:Q$149,$B23))</f>
        <v/>
      </c>
      <c r="O23" s="6" t="str">
        <f>IF($B23=0,"",INDEX(tblIndicators!R$2:R$149,$B23))</f>
        <v/>
      </c>
      <c r="P23" s="6" t="str">
        <f>IF($B23=0,"",INDEX(tblIndicators!S$2:S$149,$B23))</f>
        <v/>
      </c>
      <c r="Q23" s="6" t="str">
        <f>IF($B23=0,"",INDEX(tblIndicators!T$2:T$149,$B23))</f>
        <v/>
      </c>
      <c r="R23" s="6" t="str">
        <f>IF($B23=0,"",INDEX(tblIndicators!U$2:U$149,$B23))</f>
        <v/>
      </c>
      <c r="S23" s="6" t="str">
        <f>IF($B23=0,"",INDEX(tblIndicators!V$2:V$149,$B23))</f>
        <v/>
      </c>
      <c r="T23" s="6" t="str">
        <f>IF($B23=0,"",INDEX(tblIndicators!W$2:W$149,$B23))</f>
        <v/>
      </c>
      <c r="U23" s="6" t="str">
        <f>IF($B23=0,"",INDEX(tblIndicators!X$2:X$149,$B23))</f>
        <v/>
      </c>
      <c r="V23" s="6" t="str">
        <f>IF($B23=0,"",INDEX(tblIndicators!Y$2:Y$149,$B23))</f>
        <v/>
      </c>
      <c r="W23" s="6" t="str">
        <f>IF($B23=0,"",INDEX(tblIndicators!Z$2:Z$149,$B23))</f>
        <v/>
      </c>
      <c r="X23" s="6" t="str">
        <f>IF($B23=0,"",INDEX(tblIndicators!AA$2:AA$149,$B23))</f>
        <v/>
      </c>
    </row>
    <row r="24" spans="1:33" ht="10.15" x14ac:dyDescent="0.2">
      <c r="A24" s="1" t="s">
        <v>3124</v>
      </c>
      <c r="B24" s="6">
        <f>iMultiples!B23</f>
        <v>0</v>
      </c>
      <c r="C24" s="6" t="str">
        <f>IF($B24=0,"",INDEX(tblIndicators!B$2:B$149,$B24))</f>
        <v/>
      </c>
      <c r="D24" s="6" t="str">
        <f>IF($B24=0,"",INDEX(tblIndicators!C$2:C$149,$B24))</f>
        <v/>
      </c>
      <c r="E24" s="6" t="str">
        <f>IF($B24=0,"",INDEX(tblIndicators!D$2:D$149,$B24))</f>
        <v/>
      </c>
      <c r="F24" s="6" t="str">
        <f>IF($B24=0,"",INDEX(tblIndicators!E$2:E$149,$B24))</f>
        <v/>
      </c>
      <c r="G24" s="6" t="str">
        <f>IF($B24=0,"",INDEX(tblIndicators!F$2:F$149,$B24))</f>
        <v/>
      </c>
      <c r="H24" s="6" t="str">
        <f>IF($B24=0,"",INDEX(tblIndicators!G$2:G$149,$B24))</f>
        <v/>
      </c>
      <c r="I24" s="6" t="str">
        <f>IF($B24=0,"",INDEX(tblIndicators!H$2:H$149,$B24))</f>
        <v/>
      </c>
      <c r="J24" s="6" t="str">
        <f>IF($B24=0,"",INDEX(tblIndicators!I$2:I$149,$B24))</f>
        <v/>
      </c>
      <c r="K24" s="6" t="str">
        <f>IF($B24=0,"",INDEX(tblIndicators!J$2:J$149,$B24))</f>
        <v/>
      </c>
      <c r="L24" s="6" t="str">
        <f>IF($B24=0,"",INDEX(tblIndicators!O$2:O$149,$B24))</f>
        <v/>
      </c>
      <c r="M24" s="6" t="str">
        <f>IF($B24=0,"",INDEX(tblIndicators!P$2:P$149,$B24))</f>
        <v/>
      </c>
      <c r="N24" s="6" t="str">
        <f>IF($B24=0,"",INDEX(tblIndicators!Q$2:Q$149,$B24))</f>
        <v/>
      </c>
      <c r="O24" s="6" t="str">
        <f>IF($B24=0,"",INDEX(tblIndicators!R$2:R$149,$B24))</f>
        <v/>
      </c>
      <c r="P24" s="6" t="str">
        <f>IF($B24=0,"",INDEX(tblIndicators!S$2:S$149,$B24))</f>
        <v/>
      </c>
      <c r="Q24" s="6" t="str">
        <f>IF($B24=0,"",INDEX(tblIndicators!T$2:T$149,$B24))</f>
        <v/>
      </c>
      <c r="R24" s="6" t="str">
        <f>IF($B24=0,"",INDEX(tblIndicators!U$2:U$149,$B24))</f>
        <v/>
      </c>
      <c r="S24" s="6" t="str">
        <f>IF($B24=0,"",INDEX(tblIndicators!V$2:V$149,$B24))</f>
        <v/>
      </c>
      <c r="T24" s="6" t="str">
        <f>IF($B24=0,"",INDEX(tblIndicators!W$2:W$149,$B24))</f>
        <v/>
      </c>
      <c r="U24" s="6" t="str">
        <f>IF($B24=0,"",INDEX(tblIndicators!X$2:X$149,$B24))</f>
        <v/>
      </c>
      <c r="V24" s="6" t="str">
        <f>IF($B24=0,"",INDEX(tblIndicators!Y$2:Y$149,$B24))</f>
        <v/>
      </c>
      <c r="W24" s="6" t="str">
        <f>IF($B24=0,"",INDEX(tblIndicators!Z$2:Z$149,$B24))</f>
        <v/>
      </c>
      <c r="X24" s="6" t="str">
        <f>IF($B24=0,"",INDEX(tblIndicators!AA$2:AA$149,$B24))</f>
        <v/>
      </c>
    </row>
    <row r="25" spans="1:33" ht="10.15" x14ac:dyDescent="0.2">
      <c r="A25" s="1" t="s">
        <v>3125</v>
      </c>
      <c r="B25" s="6">
        <f>iMultiples!B24</f>
        <v>0</v>
      </c>
      <c r="C25" s="6" t="str">
        <f>IF($B25=0,"",INDEX(tblIndicators!B$2:B$149,$B25))</f>
        <v/>
      </c>
      <c r="D25" s="6" t="str">
        <f>IF($B25=0,"",INDEX(tblIndicators!C$2:C$149,$B25))</f>
        <v/>
      </c>
      <c r="E25" s="6" t="str">
        <f>IF($B25=0,"",INDEX(tblIndicators!D$2:D$149,$B25))</f>
        <v/>
      </c>
      <c r="F25" s="6" t="str">
        <f>IF($B25=0,"",INDEX(tblIndicators!E$2:E$149,$B25))</f>
        <v/>
      </c>
      <c r="G25" s="6" t="str">
        <f>IF($B25=0,"",INDEX(tblIndicators!F$2:F$149,$B25))</f>
        <v/>
      </c>
      <c r="H25" s="6" t="str">
        <f>IF($B25=0,"",INDEX(tblIndicators!G$2:G$149,$B25))</f>
        <v/>
      </c>
      <c r="I25" s="6" t="str">
        <f>IF($B25=0,"",INDEX(tblIndicators!H$2:H$149,$B25))</f>
        <v/>
      </c>
      <c r="J25" s="6" t="str">
        <f>IF($B25=0,"",INDEX(tblIndicators!I$2:I$149,$B25))</f>
        <v/>
      </c>
      <c r="K25" s="6" t="str">
        <f>IF($B25=0,"",INDEX(tblIndicators!J$2:J$149,$B25))</f>
        <v/>
      </c>
      <c r="L25" s="6" t="str">
        <f>IF($B25=0,"",INDEX(tblIndicators!O$2:O$149,$B25))</f>
        <v/>
      </c>
      <c r="M25" s="6" t="str">
        <f>IF($B25=0,"",INDEX(tblIndicators!P$2:P$149,$B25))</f>
        <v/>
      </c>
      <c r="N25" s="6" t="str">
        <f>IF($B25=0,"",INDEX(tblIndicators!Q$2:Q$149,$B25))</f>
        <v/>
      </c>
      <c r="O25" s="6" t="str">
        <f>IF($B25=0,"",INDEX(tblIndicators!R$2:R$149,$B25))</f>
        <v/>
      </c>
      <c r="P25" s="6" t="str">
        <f>IF($B25=0,"",INDEX(tblIndicators!S$2:S$149,$B25))</f>
        <v/>
      </c>
      <c r="Q25" s="6" t="str">
        <f>IF($B25=0,"",INDEX(tblIndicators!T$2:T$149,$B25))</f>
        <v/>
      </c>
      <c r="R25" s="6" t="str">
        <f>IF($B25=0,"",INDEX(tblIndicators!U$2:U$149,$B25))</f>
        <v/>
      </c>
      <c r="S25" s="6" t="str">
        <f>IF($B25=0,"",INDEX(tblIndicators!V$2:V$149,$B25))</f>
        <v/>
      </c>
      <c r="T25" s="6" t="str">
        <f>IF($B25=0,"",INDEX(tblIndicators!W$2:W$149,$B25))</f>
        <v/>
      </c>
      <c r="U25" s="6" t="str">
        <f>IF($B25=0,"",INDEX(tblIndicators!X$2:X$149,$B25))</f>
        <v/>
      </c>
      <c r="V25" s="6" t="str">
        <f>IF($B25=0,"",INDEX(tblIndicators!Y$2:Y$149,$B25))</f>
        <v/>
      </c>
      <c r="W25" s="6" t="str">
        <f>IF($B25=0,"",INDEX(tblIndicators!Z$2:Z$149,$B25))</f>
        <v/>
      </c>
      <c r="X25" s="6" t="str">
        <f>IF($B25=0,"",INDEX(tblIndicators!AA$2:AA$149,$B25))</f>
        <v/>
      </c>
    </row>
    <row r="26" spans="1:33" ht="10.15" x14ac:dyDescent="0.2">
      <c r="A26" s="1" t="s">
        <v>3126</v>
      </c>
      <c r="B26" s="6">
        <f>iMultiples!B25</f>
        <v>0</v>
      </c>
      <c r="C26" s="6" t="str">
        <f>IF($B26=0,"",INDEX(tblIndicators!B$2:B$149,$B26))</f>
        <v/>
      </c>
      <c r="D26" s="6" t="str">
        <f>IF($B26=0,"",INDEX(tblIndicators!C$2:C$149,$B26))</f>
        <v/>
      </c>
      <c r="E26" s="6" t="str">
        <f>IF($B26=0,"",INDEX(tblIndicators!D$2:D$149,$B26))</f>
        <v/>
      </c>
      <c r="F26" s="6" t="str">
        <f>IF($B26=0,"",INDEX(tblIndicators!E$2:E$149,$B26))</f>
        <v/>
      </c>
      <c r="G26" s="6" t="str">
        <f>IF($B26=0,"",INDEX(tblIndicators!F$2:F$149,$B26))</f>
        <v/>
      </c>
      <c r="H26" s="6" t="str">
        <f>IF($B26=0,"",INDEX(tblIndicators!G$2:G$149,$B26))</f>
        <v/>
      </c>
      <c r="I26" s="6" t="str">
        <f>IF($B26=0,"",INDEX(tblIndicators!H$2:H$149,$B26))</f>
        <v/>
      </c>
      <c r="J26" s="6" t="str">
        <f>IF($B26=0,"",INDEX(tblIndicators!I$2:I$149,$B26))</f>
        <v/>
      </c>
      <c r="K26" s="6" t="str">
        <f>IF($B26=0,"",INDEX(tblIndicators!J$2:J$149,$B26))</f>
        <v/>
      </c>
      <c r="L26" s="6" t="str">
        <f>IF($B26=0,"",INDEX(tblIndicators!O$2:O$149,$B26))</f>
        <v/>
      </c>
      <c r="M26" s="6" t="str">
        <f>IF($B26=0,"",INDEX(tblIndicators!P$2:P$149,$B26))</f>
        <v/>
      </c>
      <c r="N26" s="6" t="str">
        <f>IF($B26=0,"",INDEX(tblIndicators!Q$2:Q$149,$B26))</f>
        <v/>
      </c>
      <c r="O26" s="6" t="str">
        <f>IF($B26=0,"",INDEX(tblIndicators!R$2:R$149,$B26))</f>
        <v/>
      </c>
      <c r="P26" s="6" t="str">
        <f>IF($B26=0,"",INDEX(tblIndicators!S$2:S$149,$B26))</f>
        <v/>
      </c>
      <c r="Q26" s="6" t="str">
        <f>IF($B26=0,"",INDEX(tblIndicators!T$2:T$149,$B26))</f>
        <v/>
      </c>
      <c r="R26" s="6" t="str">
        <f>IF($B26=0,"",INDEX(tblIndicators!U$2:U$149,$B26))</f>
        <v/>
      </c>
      <c r="S26" s="6" t="str">
        <f>IF($B26=0,"",INDEX(tblIndicators!V$2:V$149,$B26))</f>
        <v/>
      </c>
      <c r="T26" s="6" t="str">
        <f>IF($B26=0,"",INDEX(tblIndicators!W$2:W$149,$B26))</f>
        <v/>
      </c>
      <c r="U26" s="6" t="str">
        <f>IF($B26=0,"",INDEX(tblIndicators!X$2:X$149,$B26))</f>
        <v/>
      </c>
      <c r="V26" s="6" t="str">
        <f>IF($B26=0,"",INDEX(tblIndicators!Y$2:Y$149,$B26))</f>
        <v/>
      </c>
      <c r="W26" s="6" t="str">
        <f>IF($B26=0,"",INDEX(tblIndicators!Z$2:Z$149,$B26))</f>
        <v/>
      </c>
      <c r="X26" s="6" t="str">
        <f>IF($B26=0,"",INDEX(tblIndicators!AA$2:AA$149,$B26))</f>
        <v/>
      </c>
    </row>
    <row r="27" spans="1:33" ht="10.15" x14ac:dyDescent="0.2">
      <c r="A27" s="1" t="s">
        <v>3127</v>
      </c>
      <c r="B27" s="6">
        <f>iMultiples!B26</f>
        <v>0</v>
      </c>
      <c r="C27" s="6" t="str">
        <f>IF($B27=0,"",INDEX(tblIndicators!B$2:B$149,$B27))</f>
        <v/>
      </c>
      <c r="D27" s="6" t="str">
        <f>IF($B27=0,"",INDEX(tblIndicators!C$2:C$149,$B27))</f>
        <v/>
      </c>
      <c r="E27" s="6" t="str">
        <f>IF($B27=0,"",INDEX(tblIndicators!D$2:D$149,$B27))</f>
        <v/>
      </c>
      <c r="F27" s="6" t="str">
        <f>IF($B27=0,"",INDEX(tblIndicators!E$2:E$149,$B27))</f>
        <v/>
      </c>
      <c r="G27" s="6" t="str">
        <f>IF($B27=0,"",INDEX(tblIndicators!F$2:F$149,$B27))</f>
        <v/>
      </c>
      <c r="H27" s="6" t="str">
        <f>IF($B27=0,"",INDEX(tblIndicators!G$2:G$149,$B27))</f>
        <v/>
      </c>
      <c r="I27" s="6" t="str">
        <f>IF($B27=0,"",INDEX(tblIndicators!H$2:H$149,$B27))</f>
        <v/>
      </c>
      <c r="J27" s="6" t="str">
        <f>IF($B27=0,"",INDEX(tblIndicators!I$2:I$149,$B27))</f>
        <v/>
      </c>
      <c r="K27" s="6" t="str">
        <f>IF($B27=0,"",INDEX(tblIndicators!J$2:J$149,$B27))</f>
        <v/>
      </c>
      <c r="L27" s="6" t="str">
        <f>IF($B27=0,"",INDEX(tblIndicators!O$2:O$149,$B27))</f>
        <v/>
      </c>
      <c r="M27" s="6" t="str">
        <f>IF($B27=0,"",INDEX(tblIndicators!P$2:P$149,$B27))</f>
        <v/>
      </c>
      <c r="N27" s="6" t="str">
        <f>IF($B27=0,"",INDEX(tblIndicators!Q$2:Q$149,$B27))</f>
        <v/>
      </c>
      <c r="O27" s="6" t="str">
        <f>IF($B27=0,"",INDEX(tblIndicators!R$2:R$149,$B27))</f>
        <v/>
      </c>
      <c r="P27" s="6" t="str">
        <f>IF($B27=0,"",INDEX(tblIndicators!S$2:S$149,$B27))</f>
        <v/>
      </c>
      <c r="Q27" s="6" t="str">
        <f>IF($B27=0,"",INDEX(tblIndicators!T$2:T$149,$B27))</f>
        <v/>
      </c>
      <c r="R27" s="6" t="str">
        <f>IF($B27=0,"",INDEX(tblIndicators!U$2:U$149,$B27))</f>
        <v/>
      </c>
      <c r="S27" s="6" t="str">
        <f>IF($B27=0,"",INDEX(tblIndicators!V$2:V$149,$B27))</f>
        <v/>
      </c>
      <c r="T27" s="6" t="str">
        <f>IF($B27=0,"",INDEX(tblIndicators!W$2:W$149,$B27))</f>
        <v/>
      </c>
      <c r="U27" s="6" t="str">
        <f>IF($B27=0,"",INDEX(tblIndicators!X$2:X$149,$B27))</f>
        <v/>
      </c>
      <c r="V27" s="6" t="str">
        <f>IF($B27=0,"",INDEX(tblIndicators!Y$2:Y$149,$B27))</f>
        <v/>
      </c>
      <c r="W27" s="6" t="str">
        <f>IF($B27=0,"",INDEX(tblIndicators!Z$2:Z$149,$B27))</f>
        <v/>
      </c>
      <c r="X27" s="6" t="str">
        <f>IF($B27=0,"",INDEX(tblIndicators!AA$2:AA$149,$B27))</f>
        <v/>
      </c>
    </row>
    <row r="28" spans="1:33" ht="10.15" x14ac:dyDescent="0.2">
      <c r="A28" s="1" t="s">
        <v>3128</v>
      </c>
      <c r="B28" s="6">
        <f>iMultiples!B27</f>
        <v>0</v>
      </c>
      <c r="C28" s="6" t="str">
        <f>IF($B28=0,"",INDEX(tblIndicators!B$2:B$149,$B28))</f>
        <v/>
      </c>
      <c r="D28" s="6" t="str">
        <f>IF($B28=0,"",INDEX(tblIndicators!C$2:C$149,$B28))</f>
        <v/>
      </c>
      <c r="E28" s="6" t="str">
        <f>IF($B28=0,"",INDEX(tblIndicators!D$2:D$149,$B28))</f>
        <v/>
      </c>
      <c r="F28" s="6" t="str">
        <f>IF($B28=0,"",INDEX(tblIndicators!E$2:E$149,$B28))</f>
        <v/>
      </c>
      <c r="G28" s="6" t="str">
        <f>IF($B28=0,"",INDEX(tblIndicators!F$2:F$149,$B28))</f>
        <v/>
      </c>
      <c r="H28" s="6" t="str">
        <f>IF($B28=0,"",INDEX(tblIndicators!G$2:G$149,$B28))</f>
        <v/>
      </c>
      <c r="I28" s="6" t="str">
        <f>IF($B28=0,"",INDEX(tblIndicators!H$2:H$149,$B28))</f>
        <v/>
      </c>
      <c r="J28" s="6" t="str">
        <f>IF($B28=0,"",INDEX(tblIndicators!I$2:I$149,$B28))</f>
        <v/>
      </c>
      <c r="K28" s="6" t="str">
        <f>IF($B28=0,"",INDEX(tblIndicators!J$2:J$149,$B28))</f>
        <v/>
      </c>
      <c r="L28" s="6" t="str">
        <f>IF($B28=0,"",INDEX(tblIndicators!O$2:O$149,$B28))</f>
        <v/>
      </c>
      <c r="M28" s="6" t="str">
        <f>IF($B28=0,"",INDEX(tblIndicators!P$2:P$149,$B28))</f>
        <v/>
      </c>
      <c r="N28" s="6" t="str">
        <f>IF($B28=0,"",INDEX(tblIndicators!Q$2:Q$149,$B28))</f>
        <v/>
      </c>
      <c r="O28" s="6" t="str">
        <f>IF($B28=0,"",INDEX(tblIndicators!R$2:R$149,$B28))</f>
        <v/>
      </c>
      <c r="P28" s="6" t="str">
        <f>IF($B28=0,"",INDEX(tblIndicators!S$2:S$149,$B28))</f>
        <v/>
      </c>
      <c r="Q28" s="6" t="str">
        <f>IF($B28=0,"",INDEX(tblIndicators!T$2:T$149,$B28))</f>
        <v/>
      </c>
      <c r="R28" s="6" t="str">
        <f>IF($B28=0,"",INDEX(tblIndicators!U$2:U$149,$B28))</f>
        <v/>
      </c>
      <c r="S28" s="6" t="str">
        <f>IF($B28=0,"",INDEX(tblIndicators!V$2:V$149,$B28))</f>
        <v/>
      </c>
      <c r="T28" s="6" t="str">
        <f>IF($B28=0,"",INDEX(tblIndicators!W$2:W$149,$B28))</f>
        <v/>
      </c>
      <c r="U28" s="6" t="str">
        <f>IF($B28=0,"",INDEX(tblIndicators!X$2:X$149,$B28))</f>
        <v/>
      </c>
      <c r="V28" s="6" t="str">
        <f>IF($B28=0,"",INDEX(tblIndicators!Y$2:Y$149,$B28))</f>
        <v/>
      </c>
      <c r="W28" s="6" t="str">
        <f>IF($B28=0,"",INDEX(tblIndicators!Z$2:Z$149,$B28))</f>
        <v/>
      </c>
      <c r="X28" s="6" t="str">
        <f>IF($B28=0,"",INDEX(tblIndicators!AA$2:AA$149,$B28))</f>
        <v/>
      </c>
    </row>
    <row r="29" spans="1:33" ht="10.15" x14ac:dyDescent="0.2">
      <c r="A29" s="1" t="s">
        <v>3129</v>
      </c>
      <c r="B29" s="6">
        <f>iMultiples!B28</f>
        <v>0</v>
      </c>
      <c r="C29" s="6" t="str">
        <f>IF($B29=0,"",INDEX(tblIndicators!B$2:B$149,$B29))</f>
        <v/>
      </c>
      <c r="D29" s="6" t="str">
        <f>IF($B29=0,"",INDEX(tblIndicators!C$2:C$149,$B29))</f>
        <v/>
      </c>
      <c r="E29" s="6" t="str">
        <f>IF($B29=0,"",INDEX(tblIndicators!D$2:D$149,$B29))</f>
        <v/>
      </c>
      <c r="F29" s="6" t="str">
        <f>IF($B29=0,"",INDEX(tblIndicators!E$2:E$149,$B29))</f>
        <v/>
      </c>
      <c r="G29" s="6" t="str">
        <f>IF($B29=0,"",INDEX(tblIndicators!F$2:F$149,$B29))</f>
        <v/>
      </c>
      <c r="H29" s="6" t="str">
        <f>IF($B29=0,"",INDEX(tblIndicators!G$2:G$149,$B29))</f>
        <v/>
      </c>
      <c r="I29" s="6" t="str">
        <f>IF($B29=0,"",INDEX(tblIndicators!H$2:H$149,$B29))</f>
        <v/>
      </c>
      <c r="J29" s="6" t="str">
        <f>IF($B29=0,"",INDEX(tblIndicators!I$2:I$149,$B29))</f>
        <v/>
      </c>
      <c r="K29" s="6" t="str">
        <f>IF($B29=0,"",INDEX(tblIndicators!J$2:J$149,$B29))</f>
        <v/>
      </c>
      <c r="L29" s="6" t="str">
        <f>IF($B29=0,"",INDEX(tblIndicators!O$2:O$149,$B29))</f>
        <v/>
      </c>
      <c r="M29" s="6" t="str">
        <f>IF($B29=0,"",INDEX(tblIndicators!P$2:P$149,$B29))</f>
        <v/>
      </c>
      <c r="N29" s="6" t="str">
        <f>IF($B29=0,"",INDEX(tblIndicators!Q$2:Q$149,$B29))</f>
        <v/>
      </c>
      <c r="O29" s="6" t="str">
        <f>IF($B29=0,"",INDEX(tblIndicators!R$2:R$149,$B29))</f>
        <v/>
      </c>
      <c r="P29" s="6" t="str">
        <f>IF($B29=0,"",INDEX(tblIndicators!S$2:S$149,$B29))</f>
        <v/>
      </c>
      <c r="Q29" s="6" t="str">
        <f>IF($B29=0,"",INDEX(tblIndicators!T$2:T$149,$B29))</f>
        <v/>
      </c>
      <c r="R29" s="6" t="str">
        <f>IF($B29=0,"",INDEX(tblIndicators!U$2:U$149,$B29))</f>
        <v/>
      </c>
      <c r="S29" s="6" t="str">
        <f>IF($B29=0,"",INDEX(tblIndicators!V$2:V$149,$B29))</f>
        <v/>
      </c>
      <c r="T29" s="6" t="str">
        <f>IF($B29=0,"",INDEX(tblIndicators!W$2:W$149,$B29))</f>
        <v/>
      </c>
      <c r="U29" s="6" t="str">
        <f>IF($B29=0,"",INDEX(tblIndicators!X$2:X$149,$B29))</f>
        <v/>
      </c>
      <c r="V29" s="6" t="str">
        <f>IF($B29=0,"",INDEX(tblIndicators!Y$2:Y$149,$B29))</f>
        <v/>
      </c>
      <c r="W29" s="6" t="str">
        <f>IF($B29=0,"",INDEX(tblIndicators!Z$2:Z$149,$B29))</f>
        <v/>
      </c>
      <c r="X29" s="6" t="str">
        <f>IF($B29=0,"",INDEX(tblIndicators!AA$2:AA$149,$B29))</f>
        <v/>
      </c>
    </row>
    <row r="30" spans="1:33" ht="10.15" x14ac:dyDescent="0.2">
      <c r="A30" s="1" t="s">
        <v>3130</v>
      </c>
      <c r="B30" s="6">
        <f>iMultiples!B29</f>
        <v>0</v>
      </c>
      <c r="C30" s="6" t="str">
        <f>IF($B30=0,"",INDEX(tblIndicators!B$2:B$149,$B30))</f>
        <v/>
      </c>
      <c r="D30" s="6" t="str">
        <f>IF($B30=0,"",INDEX(tblIndicators!C$2:C$149,$B30))</f>
        <v/>
      </c>
      <c r="E30" s="6" t="str">
        <f>IF($B30=0,"",INDEX(tblIndicators!D$2:D$149,$B30))</f>
        <v/>
      </c>
      <c r="F30" s="6" t="str">
        <f>IF($B30=0,"",INDEX(tblIndicators!E$2:E$149,$B30))</f>
        <v/>
      </c>
      <c r="G30" s="6" t="str">
        <f>IF($B30=0,"",INDEX(tblIndicators!F$2:F$149,$B30))</f>
        <v/>
      </c>
      <c r="H30" s="6" t="str">
        <f>IF($B30=0,"",INDEX(tblIndicators!G$2:G$149,$B30))</f>
        <v/>
      </c>
      <c r="I30" s="6" t="str">
        <f>IF($B30=0,"",INDEX(tblIndicators!H$2:H$149,$B30))</f>
        <v/>
      </c>
      <c r="J30" s="6" t="str">
        <f>IF($B30=0,"",INDEX(tblIndicators!I$2:I$149,$B30))</f>
        <v/>
      </c>
      <c r="K30" s="6" t="str">
        <f>IF($B30=0,"",INDEX(tblIndicators!J$2:J$149,$B30))</f>
        <v/>
      </c>
      <c r="L30" s="6" t="str">
        <f>IF($B30=0,"",INDEX(tblIndicators!O$2:O$149,$B30))</f>
        <v/>
      </c>
      <c r="M30" s="6" t="str">
        <f>IF($B30=0,"",INDEX(tblIndicators!P$2:P$149,$B30))</f>
        <v/>
      </c>
      <c r="N30" s="6" t="str">
        <f>IF($B30=0,"",INDEX(tblIndicators!Q$2:Q$149,$B30))</f>
        <v/>
      </c>
      <c r="O30" s="6" t="str">
        <f>IF($B30=0,"",INDEX(tblIndicators!R$2:R$149,$B30))</f>
        <v/>
      </c>
      <c r="P30" s="6" t="str">
        <f>IF($B30=0,"",INDEX(tblIndicators!S$2:S$149,$B30))</f>
        <v/>
      </c>
      <c r="Q30" s="6" t="str">
        <f>IF($B30=0,"",INDEX(tblIndicators!T$2:T$149,$B30))</f>
        <v/>
      </c>
      <c r="R30" s="6" t="str">
        <f>IF($B30=0,"",INDEX(tblIndicators!U$2:U$149,$B30))</f>
        <v/>
      </c>
      <c r="S30" s="6" t="str">
        <f>IF($B30=0,"",INDEX(tblIndicators!V$2:V$149,$B30))</f>
        <v/>
      </c>
      <c r="T30" s="6" t="str">
        <f>IF($B30=0,"",INDEX(tblIndicators!W$2:W$149,$B30))</f>
        <v/>
      </c>
      <c r="U30" s="6" t="str">
        <f>IF($B30=0,"",INDEX(tblIndicators!X$2:X$149,$B30))</f>
        <v/>
      </c>
      <c r="V30" s="6" t="str">
        <f>IF($B30=0,"",INDEX(tblIndicators!Y$2:Y$149,$B30))</f>
        <v/>
      </c>
      <c r="W30" s="6" t="str">
        <f>IF($B30=0,"",INDEX(tblIndicators!Z$2:Z$149,$B30))</f>
        <v/>
      </c>
      <c r="X30" s="6" t="str">
        <f>IF($B30=0,"",INDEX(tblIndicators!AA$2:AA$149,$B30))</f>
        <v/>
      </c>
    </row>
    <row r="31" spans="1:33" ht="10.15" x14ac:dyDescent="0.2">
      <c r="A31" s="1" t="s">
        <v>3131</v>
      </c>
      <c r="B31" s="6">
        <f>iMultiples!B30</f>
        <v>0</v>
      </c>
      <c r="C31" s="6" t="str">
        <f>IF($B31=0,"",INDEX(tblIndicators!B$2:B$149,$B31))</f>
        <v/>
      </c>
      <c r="D31" s="6" t="str">
        <f>IF($B31=0,"",INDEX(tblIndicators!C$2:C$149,$B31))</f>
        <v/>
      </c>
      <c r="E31" s="6" t="str">
        <f>IF($B31=0,"",INDEX(tblIndicators!D$2:D$149,$B31))</f>
        <v/>
      </c>
      <c r="F31" s="6" t="str">
        <f>IF($B31=0,"",INDEX(tblIndicators!E$2:E$149,$B31))</f>
        <v/>
      </c>
      <c r="G31" s="6" t="str">
        <f>IF($B31=0,"",INDEX(tblIndicators!F$2:F$149,$B31))</f>
        <v/>
      </c>
      <c r="H31" s="6" t="str">
        <f>IF($B31=0,"",INDEX(tblIndicators!G$2:G$149,$B31))</f>
        <v/>
      </c>
      <c r="I31" s="6" t="str">
        <f>IF($B31=0,"",INDEX(tblIndicators!H$2:H$149,$B31))</f>
        <v/>
      </c>
      <c r="J31" s="6" t="str">
        <f>IF($B31=0,"",INDEX(tblIndicators!I$2:I$149,$B31))</f>
        <v/>
      </c>
      <c r="K31" s="6" t="str">
        <f>IF($B31=0,"",INDEX(tblIndicators!J$2:J$149,$B31))</f>
        <v/>
      </c>
      <c r="L31" s="6" t="str">
        <f>IF($B31=0,"",INDEX(tblIndicators!O$2:O$149,$B31))</f>
        <v/>
      </c>
      <c r="M31" s="6" t="str">
        <f>IF($B31=0,"",INDEX(tblIndicators!P$2:P$149,$B31))</f>
        <v/>
      </c>
      <c r="N31" s="6" t="str">
        <f>IF($B31=0,"",INDEX(tblIndicators!Q$2:Q$149,$B31))</f>
        <v/>
      </c>
      <c r="O31" s="6" t="str">
        <f>IF($B31=0,"",INDEX(tblIndicators!R$2:R$149,$B31))</f>
        <v/>
      </c>
      <c r="P31" s="6" t="str">
        <f>IF($B31=0,"",INDEX(tblIndicators!S$2:S$149,$B31))</f>
        <v/>
      </c>
      <c r="Q31" s="6" t="str">
        <f>IF($B31=0,"",INDEX(tblIndicators!T$2:T$149,$B31))</f>
        <v/>
      </c>
      <c r="R31" s="6" t="str">
        <f>IF($B31=0,"",INDEX(tblIndicators!U$2:U$149,$B31))</f>
        <v/>
      </c>
      <c r="S31" s="6" t="str">
        <f>IF($B31=0,"",INDEX(tblIndicators!V$2:V$149,$B31))</f>
        <v/>
      </c>
      <c r="T31" s="6" t="str">
        <f>IF($B31=0,"",INDEX(tblIndicators!W$2:W$149,$B31))</f>
        <v/>
      </c>
      <c r="U31" s="6" t="str">
        <f>IF($B31=0,"",INDEX(tblIndicators!X$2:X$149,$B31))</f>
        <v/>
      </c>
      <c r="V31" s="6" t="str">
        <f>IF($B31=0,"",INDEX(tblIndicators!Y$2:Y$149,$B31))</f>
        <v/>
      </c>
      <c r="W31" s="6" t="str">
        <f>IF($B31=0,"",INDEX(tblIndicators!Z$2:Z$149,$B31))</f>
        <v/>
      </c>
      <c r="X31" s="6" t="str">
        <f>IF($B31=0,"",INDEX(tblIndicators!AA$2:AA$149,$B31))</f>
        <v/>
      </c>
      <c r="Y31" s="6"/>
      <c r="Z31" s="6"/>
      <c r="AA31" s="6"/>
      <c r="AB31" s="6"/>
      <c r="AC31" s="6"/>
      <c r="AD31" s="6"/>
      <c r="AE31" s="6"/>
      <c r="AF31" s="6"/>
      <c r="AG31" s="6"/>
    </row>
    <row r="32" spans="1:33" ht="10.15" x14ac:dyDescent="0.2">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row>
    <row r="33" spans="1:241" ht="10.15" x14ac:dyDescent="0.2">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row>
    <row r="34" spans="1:241" ht="10.15" x14ac:dyDescent="0.2">
      <c r="B34" s="6"/>
      <c r="C34" s="6"/>
      <c r="D34" s="6"/>
      <c r="E34" s="6">
        <v>1</v>
      </c>
      <c r="F34" s="6"/>
      <c r="G34" s="6"/>
      <c r="H34" s="6"/>
      <c r="I34" s="6">
        <f>IF(INDEX($P$4:$P$48,E34)="",0,INDEX($P$4:$P$48,E34))</f>
        <v>0</v>
      </c>
      <c r="J34" s="6"/>
      <c r="K34" s="6"/>
      <c r="L34" s="6"/>
      <c r="M34" s="6"/>
      <c r="N34" s="6"/>
      <c r="O34" s="6"/>
      <c r="P34" s="6"/>
      <c r="Q34" s="6"/>
      <c r="R34" s="6"/>
      <c r="S34" s="6"/>
      <c r="T34" s="6"/>
      <c r="U34" s="6">
        <f>E34+1</f>
        <v>2</v>
      </c>
      <c r="V34" s="6"/>
      <c r="W34" s="6"/>
      <c r="X34" s="6"/>
      <c r="Y34" s="6">
        <f>IF(INDEX($P$4:$P$48,U34)="",0,INDEX($P$4:$P$48,U34))</f>
        <v>0</v>
      </c>
      <c r="Z34" s="6"/>
      <c r="AA34" s="6"/>
      <c r="AB34" s="6"/>
      <c r="AC34" s="6"/>
      <c r="AD34" s="6"/>
      <c r="AE34" s="6"/>
      <c r="AF34" s="6"/>
      <c r="AG34" s="6"/>
      <c r="AK34" s="6">
        <f>U34+1</f>
        <v>3</v>
      </c>
      <c r="AL34" s="6"/>
      <c r="AM34" s="6"/>
      <c r="AN34" s="6"/>
      <c r="AO34" s="6">
        <f>IF(INDEX($P$4:$P$48,AK34)="",0,INDEX($P$4:$P$48,AK34))</f>
        <v>0</v>
      </c>
      <c r="AP34" s="6"/>
      <c r="AQ34" s="6"/>
      <c r="AR34" s="6"/>
      <c r="AS34" s="6"/>
      <c r="AT34" s="6"/>
      <c r="AU34" s="6"/>
      <c r="AV34" s="6"/>
      <c r="AW34" s="6"/>
      <c r="BA34" s="6">
        <f>AK34+1</f>
        <v>4</v>
      </c>
      <c r="BB34" s="6"/>
      <c r="BC34" s="6"/>
      <c r="BD34" s="6"/>
      <c r="BE34" s="6">
        <f>IF(INDEX($P$4:$P$48,BA34)="",0,INDEX($P$4:$P$48,BA34))</f>
        <v>0</v>
      </c>
      <c r="BF34" s="6"/>
      <c r="BG34" s="6"/>
      <c r="BH34" s="6"/>
      <c r="BI34" s="6"/>
      <c r="BJ34" s="6"/>
      <c r="BK34" s="6"/>
      <c r="BL34" s="6"/>
      <c r="BM34" s="6"/>
      <c r="BQ34" s="6">
        <f>BA34+1</f>
        <v>5</v>
      </c>
      <c r="BR34" s="6"/>
      <c r="BS34" s="6"/>
      <c r="BT34" s="6"/>
      <c r="BU34" s="6">
        <f>IF(INDEX($P$4:$P$48,BQ34)="",0,INDEX($P$4:$P$48,BQ34))</f>
        <v>0</v>
      </c>
      <c r="BV34" s="6"/>
      <c r="BW34" s="6"/>
      <c r="BX34" s="6"/>
      <c r="BY34" s="6"/>
      <c r="BZ34" s="6"/>
      <c r="CA34" s="6"/>
      <c r="CB34" s="6"/>
      <c r="CC34" s="6"/>
      <c r="CG34" s="6">
        <f>BQ34+1</f>
        <v>6</v>
      </c>
      <c r="CH34" s="6"/>
      <c r="CI34" s="6"/>
      <c r="CJ34" s="6"/>
      <c r="CK34" s="6">
        <f>IF(INDEX($P$4:$P$48,CG34)="",0,INDEX($P$4:$P$48,CG34))</f>
        <v>0</v>
      </c>
      <c r="CL34" s="6"/>
      <c r="CM34" s="6"/>
      <c r="CN34" s="6"/>
      <c r="CO34" s="6"/>
      <c r="CP34" s="6"/>
      <c r="CQ34" s="6"/>
      <c r="CR34" s="6"/>
      <c r="CS34" s="6"/>
      <c r="CW34" s="6">
        <f>CG34+1</f>
        <v>7</v>
      </c>
      <c r="CX34" s="6"/>
      <c r="CY34" s="6"/>
      <c r="CZ34" s="6"/>
      <c r="DA34" s="6">
        <f>IF(INDEX($P$4:$P$48,CW34)="",0,INDEX($P$4:$P$48,CW34))</f>
        <v>0</v>
      </c>
      <c r="DB34" s="6"/>
      <c r="DC34" s="6"/>
      <c r="DD34" s="6"/>
      <c r="DE34" s="6"/>
      <c r="DF34" s="6"/>
      <c r="DG34" s="6"/>
      <c r="DH34" s="6"/>
      <c r="DI34" s="6"/>
      <c r="DM34" s="6">
        <f>CW34+1</f>
        <v>8</v>
      </c>
      <c r="DN34" s="6"/>
      <c r="DO34" s="6"/>
      <c r="DP34" s="6"/>
      <c r="DQ34" s="6">
        <f>IF(INDEX($P$4:$P$48,DM34)="",0,INDEX($P$4:$P$48,DM34))</f>
        <v>0</v>
      </c>
      <c r="DR34" s="6"/>
      <c r="DS34" s="6"/>
      <c r="DT34" s="6"/>
      <c r="DU34" s="6"/>
      <c r="DV34" s="6"/>
      <c r="DW34" s="6"/>
      <c r="DX34" s="6"/>
      <c r="DY34" s="6"/>
      <c r="EC34" s="6">
        <f>DM34+1</f>
        <v>9</v>
      </c>
      <c r="ED34" s="6"/>
      <c r="EE34" s="6"/>
      <c r="EF34" s="6"/>
      <c r="EG34" s="6">
        <f>IF(INDEX($P$4:$P$48,EC34)="",0,INDEX($P$4:$P$48,EC34))</f>
        <v>0</v>
      </c>
      <c r="EH34" s="6"/>
      <c r="EI34" s="6"/>
      <c r="EJ34" s="6"/>
      <c r="EK34" s="6"/>
      <c r="EL34" s="6"/>
      <c r="EM34" s="6"/>
      <c r="EN34" s="6"/>
      <c r="EO34" s="6"/>
      <c r="ES34" s="6">
        <f>EC34+1</f>
        <v>10</v>
      </c>
      <c r="ET34" s="6"/>
      <c r="EU34" s="6"/>
      <c r="EV34" s="6"/>
      <c r="EW34" s="6">
        <f>IF(INDEX($P$4:$P$48,ES34)="",0,INDEX($P$4:$P$48,ES34))</f>
        <v>0</v>
      </c>
      <c r="EX34" s="6"/>
      <c r="EY34" s="6"/>
      <c r="EZ34" s="6"/>
      <c r="FA34" s="6"/>
      <c r="FB34" s="6"/>
      <c r="FC34" s="6"/>
      <c r="FD34" s="6"/>
      <c r="FE34" s="6"/>
      <c r="FI34" s="6">
        <f>ES34+1</f>
        <v>11</v>
      </c>
      <c r="FJ34" s="6"/>
      <c r="FK34" s="6"/>
      <c r="FL34" s="6"/>
      <c r="FM34" s="6">
        <f>IF(INDEX($P$4:$P$48,FI34)="",0,INDEX($P$4:$P$48,FI34))</f>
        <v>0</v>
      </c>
      <c r="FN34" s="6"/>
      <c r="FO34" s="6"/>
      <c r="FP34" s="6"/>
      <c r="FQ34" s="6"/>
      <c r="FR34" s="6"/>
      <c r="FS34" s="6"/>
      <c r="FT34" s="6"/>
      <c r="FU34" s="6"/>
      <c r="FY34" s="6">
        <f>FI34+1</f>
        <v>12</v>
      </c>
      <c r="FZ34" s="6"/>
      <c r="GA34" s="6"/>
      <c r="GB34" s="6"/>
      <c r="GC34" s="6">
        <f>IF(INDEX($P$4:$P$48,FY34)="",0,INDEX($P$4:$P$48,FY34))</f>
        <v>0</v>
      </c>
      <c r="GD34" s="6"/>
      <c r="GE34" s="6"/>
      <c r="GF34" s="6"/>
      <c r="GG34" s="6"/>
      <c r="GH34" s="6"/>
      <c r="GI34" s="6"/>
      <c r="GJ34" s="6"/>
      <c r="GK34" s="6"/>
      <c r="GO34" s="6">
        <f>FY34+1</f>
        <v>13</v>
      </c>
      <c r="GP34" s="6"/>
      <c r="GQ34" s="6"/>
      <c r="GR34" s="6"/>
      <c r="GS34" s="6">
        <f>IF(INDEX($P$4:$P$48,GO34)="",0,INDEX($P$4:$P$48,GO34))</f>
        <v>0</v>
      </c>
      <c r="GT34" s="6"/>
      <c r="GU34" s="6"/>
      <c r="GV34" s="6"/>
      <c r="GW34" s="6"/>
      <c r="GX34" s="6"/>
      <c r="GY34" s="6"/>
      <c r="GZ34" s="6"/>
      <c r="HA34" s="6"/>
      <c r="HE34" s="6">
        <f>GO34+1</f>
        <v>14</v>
      </c>
      <c r="HF34" s="6"/>
      <c r="HG34" s="6"/>
      <c r="HH34" s="6"/>
      <c r="HI34" s="6">
        <f>IF(INDEX($P$4:$P$48,HE34)="",0,INDEX($P$4:$P$48,HE34))</f>
        <v>0</v>
      </c>
      <c r="HJ34" s="6"/>
      <c r="HK34" s="6"/>
      <c r="HL34" s="6"/>
      <c r="HM34" s="6"/>
      <c r="HN34" s="6"/>
      <c r="HO34" s="6"/>
      <c r="HP34" s="6"/>
      <c r="HQ34" s="6"/>
      <c r="HU34" s="6">
        <f>HE34+1</f>
        <v>15</v>
      </c>
      <c r="HV34" s="6"/>
      <c r="HW34" s="6"/>
      <c r="HX34" s="6"/>
      <c r="HY34" s="6">
        <f>IF(INDEX($P$4:$P$48,HU34)="",0,INDEX($P$4:$P$48,HU34))</f>
        <v>0</v>
      </c>
      <c r="HZ34" s="6"/>
      <c r="IA34" s="6"/>
      <c r="IB34" s="6"/>
      <c r="IC34" s="6"/>
      <c r="ID34" s="6"/>
      <c r="IE34" s="6"/>
      <c r="IF34" s="6"/>
      <c r="IG34" s="6"/>
    </row>
    <row r="35" spans="1:241" ht="10.15" x14ac:dyDescent="0.2">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K35" s="6"/>
      <c r="AL35" s="6"/>
      <c r="AM35" s="6"/>
      <c r="AN35" s="6"/>
      <c r="AO35" s="6"/>
      <c r="AP35" s="6"/>
      <c r="AQ35" s="6"/>
      <c r="AR35" s="6"/>
      <c r="AS35" s="6"/>
      <c r="AT35" s="6"/>
      <c r="AU35" s="6"/>
      <c r="AV35" s="6"/>
      <c r="AW35" s="6"/>
      <c r="BA35" s="6"/>
      <c r="BB35" s="6"/>
      <c r="BC35" s="6"/>
      <c r="BD35" s="6"/>
      <c r="BE35" s="6"/>
      <c r="BF35" s="6"/>
      <c r="BG35" s="6"/>
      <c r="BH35" s="6"/>
      <c r="BI35" s="6"/>
      <c r="BJ35" s="6"/>
      <c r="BK35" s="6"/>
      <c r="BL35" s="6"/>
      <c r="BM35" s="6"/>
      <c r="BQ35" s="6"/>
      <c r="BR35" s="6"/>
      <c r="BS35" s="6"/>
      <c r="BT35" s="6"/>
      <c r="BU35" s="6"/>
      <c r="BV35" s="6"/>
      <c r="BW35" s="6"/>
      <c r="BX35" s="6"/>
      <c r="BY35" s="6"/>
      <c r="BZ35" s="6"/>
      <c r="CA35" s="6"/>
      <c r="CB35" s="6"/>
      <c r="CC35" s="6"/>
      <c r="CG35" s="6"/>
      <c r="CH35" s="6"/>
      <c r="CI35" s="6"/>
      <c r="CJ35" s="6"/>
      <c r="CK35" s="6"/>
      <c r="CL35" s="6"/>
      <c r="CM35" s="6"/>
      <c r="CN35" s="6"/>
      <c r="CO35" s="6"/>
      <c r="CP35" s="6"/>
      <c r="CQ35" s="6"/>
      <c r="CR35" s="6"/>
      <c r="CS35" s="6"/>
      <c r="CW35" s="6"/>
      <c r="CX35" s="6"/>
      <c r="CY35" s="6"/>
      <c r="CZ35" s="6"/>
      <c r="DA35" s="6"/>
      <c r="DB35" s="6"/>
      <c r="DC35" s="6"/>
      <c r="DD35" s="6"/>
      <c r="DE35" s="6"/>
      <c r="DF35" s="6"/>
      <c r="DG35" s="6"/>
      <c r="DH35" s="6"/>
      <c r="DI35" s="6"/>
      <c r="DM35" s="6"/>
      <c r="DN35" s="6"/>
      <c r="DO35" s="6"/>
      <c r="DP35" s="6"/>
      <c r="DQ35" s="6"/>
      <c r="DR35" s="6"/>
      <c r="DS35" s="6"/>
      <c r="DT35" s="6"/>
      <c r="DU35" s="6"/>
      <c r="DV35" s="6"/>
      <c r="DW35" s="6"/>
      <c r="DX35" s="6"/>
      <c r="DY35" s="6"/>
      <c r="EC35" s="6"/>
      <c r="ED35" s="6"/>
      <c r="EE35" s="6"/>
      <c r="EF35" s="6"/>
      <c r="EG35" s="6"/>
      <c r="EH35" s="6"/>
      <c r="EI35" s="6"/>
      <c r="EJ35" s="6"/>
      <c r="EK35" s="6"/>
      <c r="EL35" s="6"/>
      <c r="EM35" s="6"/>
      <c r="EN35" s="6"/>
      <c r="EO35" s="6"/>
      <c r="ES35" s="6"/>
      <c r="ET35" s="6"/>
      <c r="EU35" s="6"/>
      <c r="EV35" s="6"/>
      <c r="EW35" s="6"/>
      <c r="EX35" s="6"/>
      <c r="EY35" s="6"/>
      <c r="EZ35" s="6"/>
      <c r="FA35" s="6"/>
      <c r="FB35" s="6"/>
      <c r="FC35" s="6"/>
      <c r="FD35" s="6"/>
      <c r="FE35" s="6"/>
      <c r="FI35" s="6"/>
      <c r="FJ35" s="6"/>
      <c r="FK35" s="6"/>
      <c r="FL35" s="6"/>
      <c r="FM35" s="6"/>
      <c r="FN35" s="6"/>
      <c r="FO35" s="6"/>
      <c r="FP35" s="6"/>
      <c r="FQ35" s="6"/>
      <c r="FR35" s="6"/>
      <c r="FS35" s="6"/>
      <c r="FT35" s="6"/>
      <c r="FU35" s="6"/>
      <c r="FY35" s="6"/>
      <c r="FZ35" s="6"/>
      <c r="GA35" s="6"/>
      <c r="GB35" s="6"/>
      <c r="GC35" s="6"/>
      <c r="GD35" s="6"/>
      <c r="GE35" s="6"/>
      <c r="GF35" s="6"/>
      <c r="GG35" s="6"/>
      <c r="GH35" s="6"/>
      <c r="GI35" s="6"/>
      <c r="GJ35" s="6"/>
      <c r="GK35" s="6"/>
      <c r="GO35" s="6"/>
      <c r="GP35" s="6"/>
      <c r="GQ35" s="6"/>
      <c r="GR35" s="6"/>
      <c r="GS35" s="6"/>
      <c r="GT35" s="6"/>
      <c r="GU35" s="6"/>
      <c r="GV35" s="6"/>
      <c r="GW35" s="6"/>
      <c r="GX35" s="6"/>
      <c r="GY35" s="6"/>
      <c r="GZ35" s="6"/>
      <c r="HA35" s="6"/>
      <c r="HE35" s="6"/>
      <c r="HF35" s="6"/>
      <c r="HG35" s="6"/>
      <c r="HH35" s="6"/>
      <c r="HI35" s="6"/>
      <c r="HJ35" s="6"/>
      <c r="HK35" s="6"/>
      <c r="HL35" s="6"/>
      <c r="HM35" s="6"/>
      <c r="HN35" s="6"/>
      <c r="HO35" s="6"/>
      <c r="HP35" s="6"/>
      <c r="HQ35" s="6"/>
      <c r="HU35" s="6"/>
      <c r="HV35" s="6"/>
      <c r="HW35" s="6"/>
      <c r="HX35" s="6"/>
      <c r="HY35" s="6"/>
      <c r="HZ35" s="6"/>
      <c r="IA35" s="6"/>
      <c r="IB35" s="6"/>
      <c r="IC35" s="6"/>
      <c r="ID35" s="6"/>
      <c r="IE35" s="6"/>
      <c r="IF35" s="6"/>
      <c r="IG35" s="6"/>
    </row>
    <row r="36" spans="1:241" ht="10.15" x14ac:dyDescent="0.2">
      <c r="E36" s="12" t="s">
        <v>502</v>
      </c>
      <c r="F36" s="12" t="s">
        <v>497</v>
      </c>
      <c r="G36" s="12" t="s">
        <v>498</v>
      </c>
      <c r="H36" s="12"/>
      <c r="I36" s="12"/>
      <c r="J36" s="12"/>
      <c r="K36" s="12"/>
      <c r="L36" s="12" t="s">
        <v>35</v>
      </c>
      <c r="M36" s="12" t="s">
        <v>501</v>
      </c>
      <c r="N36" s="12" t="s">
        <v>156</v>
      </c>
      <c r="O36" s="12"/>
      <c r="P36" s="12"/>
      <c r="Q36" s="12"/>
      <c r="U36" s="12" t="s">
        <v>502</v>
      </c>
      <c r="V36" s="12" t="s">
        <v>497</v>
      </c>
      <c r="W36" s="12" t="s">
        <v>498</v>
      </c>
      <c r="X36" s="12"/>
      <c r="Y36" s="12"/>
      <c r="Z36" s="12"/>
      <c r="AA36" s="12"/>
      <c r="AB36" s="12" t="s">
        <v>35</v>
      </c>
      <c r="AC36" s="12" t="s">
        <v>501</v>
      </c>
      <c r="AD36" s="12" t="s">
        <v>156</v>
      </c>
      <c r="AE36" s="12"/>
      <c r="AF36" s="12"/>
      <c r="AG36" s="12"/>
      <c r="AK36" s="12" t="s">
        <v>502</v>
      </c>
      <c r="AL36" s="12" t="s">
        <v>497</v>
      </c>
      <c r="AM36" s="12" t="s">
        <v>498</v>
      </c>
      <c r="AN36" s="12"/>
      <c r="AO36" s="12"/>
      <c r="AP36" s="12"/>
      <c r="AQ36" s="12"/>
      <c r="AR36" s="12" t="s">
        <v>35</v>
      </c>
      <c r="AS36" s="12" t="s">
        <v>501</v>
      </c>
      <c r="AT36" s="12" t="s">
        <v>156</v>
      </c>
      <c r="AU36" s="12"/>
      <c r="AV36" s="12"/>
      <c r="AW36" s="12"/>
      <c r="BA36" s="12" t="s">
        <v>502</v>
      </c>
      <c r="BB36" s="12" t="s">
        <v>497</v>
      </c>
      <c r="BC36" s="12" t="s">
        <v>498</v>
      </c>
      <c r="BD36" s="12"/>
      <c r="BE36" s="12"/>
      <c r="BF36" s="12"/>
      <c r="BG36" s="12"/>
      <c r="BH36" s="12" t="s">
        <v>35</v>
      </c>
      <c r="BI36" s="12" t="s">
        <v>501</v>
      </c>
      <c r="BJ36" s="12" t="s">
        <v>156</v>
      </c>
      <c r="BK36" s="12"/>
      <c r="BL36" s="12"/>
      <c r="BM36" s="12"/>
      <c r="BQ36" s="12" t="s">
        <v>502</v>
      </c>
      <c r="BR36" s="12" t="s">
        <v>497</v>
      </c>
      <c r="BS36" s="12" t="s">
        <v>498</v>
      </c>
      <c r="BT36" s="12"/>
      <c r="BU36" s="12"/>
      <c r="BV36" s="12"/>
      <c r="BW36" s="12"/>
      <c r="BX36" s="12" t="s">
        <v>35</v>
      </c>
      <c r="BY36" s="12" t="s">
        <v>501</v>
      </c>
      <c r="BZ36" s="12" t="s">
        <v>156</v>
      </c>
      <c r="CA36" s="12"/>
      <c r="CB36" s="12"/>
      <c r="CC36" s="12"/>
      <c r="CG36" s="12" t="s">
        <v>502</v>
      </c>
      <c r="CH36" s="12" t="s">
        <v>497</v>
      </c>
      <c r="CI36" s="12" t="s">
        <v>498</v>
      </c>
      <c r="CJ36" s="12"/>
      <c r="CK36" s="12"/>
      <c r="CL36" s="12"/>
      <c r="CM36" s="12"/>
      <c r="CN36" s="12" t="s">
        <v>35</v>
      </c>
      <c r="CO36" s="12" t="s">
        <v>501</v>
      </c>
      <c r="CP36" s="12" t="s">
        <v>156</v>
      </c>
      <c r="CQ36" s="12"/>
      <c r="CR36" s="12"/>
      <c r="CS36" s="12"/>
      <c r="CW36" s="12" t="s">
        <v>502</v>
      </c>
      <c r="CX36" s="12" t="s">
        <v>497</v>
      </c>
      <c r="CY36" s="12" t="s">
        <v>498</v>
      </c>
      <c r="CZ36" s="12"/>
      <c r="DA36" s="12"/>
      <c r="DB36" s="12"/>
      <c r="DC36" s="12"/>
      <c r="DD36" s="12" t="s">
        <v>35</v>
      </c>
      <c r="DE36" s="12" t="s">
        <v>501</v>
      </c>
      <c r="DF36" s="12" t="s">
        <v>156</v>
      </c>
      <c r="DG36" s="12"/>
      <c r="DH36" s="12"/>
      <c r="DI36" s="12"/>
      <c r="DM36" s="12" t="s">
        <v>502</v>
      </c>
      <c r="DN36" s="12" t="s">
        <v>497</v>
      </c>
      <c r="DO36" s="12" t="s">
        <v>498</v>
      </c>
      <c r="DP36" s="12"/>
      <c r="DQ36" s="12"/>
      <c r="DR36" s="12"/>
      <c r="DS36" s="12"/>
      <c r="DT36" s="12" t="s">
        <v>35</v>
      </c>
      <c r="DU36" s="12" t="s">
        <v>501</v>
      </c>
      <c r="DV36" s="12" t="s">
        <v>156</v>
      </c>
      <c r="DW36" s="12"/>
      <c r="DX36" s="12"/>
      <c r="DY36" s="12"/>
      <c r="EC36" s="12" t="s">
        <v>502</v>
      </c>
      <c r="ED36" s="12" t="s">
        <v>497</v>
      </c>
      <c r="EE36" s="12" t="s">
        <v>498</v>
      </c>
      <c r="EF36" s="12"/>
      <c r="EG36" s="12"/>
      <c r="EH36" s="12"/>
      <c r="EI36" s="12"/>
      <c r="EJ36" s="12" t="s">
        <v>35</v>
      </c>
      <c r="EK36" s="12" t="s">
        <v>501</v>
      </c>
      <c r="EL36" s="12" t="s">
        <v>156</v>
      </c>
      <c r="EM36" s="12"/>
      <c r="EN36" s="12"/>
      <c r="EO36" s="12"/>
      <c r="ES36" s="12" t="s">
        <v>502</v>
      </c>
      <c r="ET36" s="12" t="s">
        <v>497</v>
      </c>
      <c r="EU36" s="12" t="s">
        <v>498</v>
      </c>
      <c r="EV36" s="12"/>
      <c r="EW36" s="12"/>
      <c r="EX36" s="12"/>
      <c r="EY36" s="12"/>
      <c r="EZ36" s="12" t="s">
        <v>35</v>
      </c>
      <c r="FA36" s="12" t="s">
        <v>501</v>
      </c>
      <c r="FB36" s="12" t="s">
        <v>156</v>
      </c>
      <c r="FC36" s="12"/>
      <c r="FD36" s="12"/>
      <c r="FE36" s="12"/>
      <c r="FI36" s="12" t="s">
        <v>502</v>
      </c>
      <c r="FJ36" s="12" t="s">
        <v>497</v>
      </c>
      <c r="FK36" s="12" t="s">
        <v>498</v>
      </c>
      <c r="FL36" s="12"/>
      <c r="FM36" s="12"/>
      <c r="FN36" s="12"/>
      <c r="FO36" s="12"/>
      <c r="FP36" s="12" t="s">
        <v>35</v>
      </c>
      <c r="FQ36" s="12" t="s">
        <v>501</v>
      </c>
      <c r="FR36" s="12" t="s">
        <v>156</v>
      </c>
      <c r="FS36" s="12"/>
      <c r="FT36" s="12"/>
      <c r="FU36" s="12"/>
      <c r="FY36" s="12" t="s">
        <v>502</v>
      </c>
      <c r="FZ36" s="12" t="s">
        <v>497</v>
      </c>
      <c r="GA36" s="12" t="s">
        <v>498</v>
      </c>
      <c r="GB36" s="12"/>
      <c r="GC36" s="12"/>
      <c r="GD36" s="12"/>
      <c r="GE36" s="12"/>
      <c r="GF36" s="12" t="s">
        <v>35</v>
      </c>
      <c r="GG36" s="12" t="s">
        <v>501</v>
      </c>
      <c r="GH36" s="12" t="s">
        <v>156</v>
      </c>
      <c r="GI36" s="12"/>
      <c r="GJ36" s="12"/>
      <c r="GK36" s="12"/>
      <c r="GO36" s="12" t="s">
        <v>502</v>
      </c>
      <c r="GP36" s="12" t="s">
        <v>497</v>
      </c>
      <c r="GQ36" s="12" t="s">
        <v>498</v>
      </c>
      <c r="GR36" s="12"/>
      <c r="GS36" s="12"/>
      <c r="GT36" s="12"/>
      <c r="GU36" s="12"/>
      <c r="GV36" s="12" t="s">
        <v>35</v>
      </c>
      <c r="GW36" s="12" t="s">
        <v>501</v>
      </c>
      <c r="GX36" s="12" t="s">
        <v>156</v>
      </c>
      <c r="GY36" s="12"/>
      <c r="GZ36" s="12"/>
      <c r="HA36" s="12"/>
      <c r="HE36" s="12" t="s">
        <v>502</v>
      </c>
      <c r="HF36" s="12" t="s">
        <v>497</v>
      </c>
      <c r="HG36" s="12" t="s">
        <v>498</v>
      </c>
      <c r="HH36" s="12"/>
      <c r="HI36" s="12"/>
      <c r="HJ36" s="12"/>
      <c r="HK36" s="12"/>
      <c r="HL36" s="12" t="s">
        <v>35</v>
      </c>
      <c r="HM36" s="12" t="s">
        <v>501</v>
      </c>
      <c r="HN36" s="12" t="s">
        <v>156</v>
      </c>
      <c r="HO36" s="12"/>
      <c r="HP36" s="12"/>
      <c r="HQ36" s="12"/>
      <c r="HU36" s="12" t="s">
        <v>502</v>
      </c>
      <c r="HV36" s="12" t="s">
        <v>497</v>
      </c>
      <c r="HW36" s="12" t="s">
        <v>498</v>
      </c>
      <c r="HX36" s="12"/>
      <c r="HY36" s="12"/>
      <c r="HZ36" s="12"/>
      <c r="IA36" s="12"/>
      <c r="IB36" s="12" t="s">
        <v>35</v>
      </c>
      <c r="IC36" s="12" t="s">
        <v>501</v>
      </c>
      <c r="ID36" s="12" t="s">
        <v>156</v>
      </c>
      <c r="IE36" s="12"/>
      <c r="IF36" s="12"/>
      <c r="IG36" s="12"/>
    </row>
    <row r="37" spans="1:241" ht="10.15" x14ac:dyDescent="0.2">
      <c r="A37" s="1">
        <v>1</v>
      </c>
      <c r="B37" s="1" t="str">
        <f>tblCountries!E3</f>
        <v>NAC_AR_1</v>
      </c>
      <c r="C37" s="1" t="str">
        <f>tblCountries!C3</f>
        <v>Argentina</v>
      </c>
      <c r="D37" s="1">
        <f>tblCountries!D3</f>
        <v>1</v>
      </c>
      <c r="E37" s="1">
        <f>MATCH(CONCATENATE($B37,"_",INDEX($C$4:$C32,E$34)),lu_DataCode,0)</f>
        <v>1</v>
      </c>
      <c r="F37" s="1">
        <f t="shared" ref="F37:F45" ca="1" si="0">INDEX(OFFSET(lu_DataCode,0,3),E37)</f>
        <v>2012</v>
      </c>
      <c r="G37" s="1">
        <f t="shared" ref="G37:G45" ca="1" si="1">INDEX(OFFSET(lu_DataCode,0,4),E37)</f>
        <v>7.2048221837913999</v>
      </c>
      <c r="H37" s="1">
        <f t="shared" ref="H37:H45" ca="1" si="2">IF(ISNUMBER(G37),1,0)</f>
        <v>1</v>
      </c>
      <c r="I37" s="1">
        <f ca="1">IF(ISNUMBER(G37),ROUND(G37,6),IF(I$34=0,-10000000000,100000000000))</f>
        <v>7.2048220000000001</v>
      </c>
      <c r="J37" s="1">
        <f ca="1">RANK(I37,I$37:I$62,I$34)+COUNTIF(I$37:I37,I37)-1</f>
        <v>7</v>
      </c>
      <c r="K37" s="1">
        <f t="shared" ref="K37:K45" ca="1" si="3">MATCH($A37,J$37:J$62,0)</f>
        <v>19</v>
      </c>
      <c r="L37" s="1">
        <f ca="1">INDEX(H$37:H$62,K37)</f>
        <v>1</v>
      </c>
      <c r="M37" s="1">
        <f ca="1">IF(L37=0,1,INDEX($D$37:$D$62,K37))</f>
        <v>1</v>
      </c>
      <c r="N37" s="1">
        <f ca="1">IF(L37=0,"",IF(OR(P37=P36,P37=P38),CONCATENATE("=",RANK(P37,P$37:P$62)),$A37))</f>
        <v>1</v>
      </c>
      <c r="O37" s="1" t="str">
        <f ca="1">IF(L37=0,"",INDEX($C$37:$C$62,K37))</f>
        <v>Panamá</v>
      </c>
      <c r="P37" s="1">
        <f t="shared" ref="P37:P45" ca="1" si="4">IF(L37=0,"",INDEX(G$37:G$62,K37))</f>
        <v>17.599999999999998</v>
      </c>
      <c r="Q37" s="1">
        <f t="shared" ref="Q37:Q45" ca="1" si="5">IF(L37=0,"",INDEX(F$37:F$62,K37))</f>
        <v>2012</v>
      </c>
      <c r="U37" s="1">
        <f>MATCH(CONCATENATE($B37,"_",INDEX($C$4:$C32,U$34)),lu_DataCode,0)</f>
        <v>26</v>
      </c>
      <c r="V37" s="1">
        <f t="shared" ref="V37:V45" ca="1" si="6">INDEX(OFFSET(lu_DataCode,0,3),U37)</f>
        <v>2012</v>
      </c>
      <c r="W37" s="1">
        <f t="shared" ref="W37:W45" ca="1" si="7">INDEX(OFFSET(lu_DataCode,0,4),U37)</f>
        <v>41.116745999999999</v>
      </c>
      <c r="X37" s="1">
        <f t="shared" ref="X37:X45" ca="1" si="8">IF(ISNUMBER(W37),1,0)</f>
        <v>1</v>
      </c>
      <c r="Y37" s="1">
        <f ca="1">IF(ISNUMBER(W37),ROUND(W37,6),IF(Y$34=0,-10000000000,100000000000))</f>
        <v>41.116745999999999</v>
      </c>
      <c r="Z37" s="1">
        <f ca="1">RANK(Y37,Y$37:Y$62,Y$34)+COUNTIF(Y$37:Y37,Y37)-1</f>
        <v>4</v>
      </c>
      <c r="AA37" s="1">
        <f t="shared" ref="AA37:AA45" ca="1" si="9">MATCH($A37,Z$37:Z$62,0)</f>
        <v>6</v>
      </c>
      <c r="AB37" s="1">
        <f ca="1">INDEX(X$37:X$62,AA37)</f>
        <v>1</v>
      </c>
      <c r="AC37" s="1">
        <f ca="1">IF(AB37=0,1,INDEX($D$37:$D$62,AA37))</f>
        <v>1</v>
      </c>
      <c r="AD37" s="1">
        <f ca="1">IF(AB37=0,"",IF(OR(AF37=AF36,AF37=AF38),CONCATENATE("=",RANK(AF37,AF$37:AF$62)),$A37))</f>
        <v>1</v>
      </c>
      <c r="AE37" s="1" t="str">
        <f ca="1">IF(AB37=0,"",INDEX($C$37:$C$62,AA37))</f>
        <v>Brasil</v>
      </c>
      <c r="AF37" s="1">
        <f t="shared" ref="AF37:AF45" ca="1" si="10">IF(AB37=0,"",INDEX(W$37:W$62,AA37))</f>
        <v>198.36355800000001</v>
      </c>
      <c r="AG37" s="1">
        <f t="shared" ref="AG37:AG45" ca="1" si="11">IF(AB37=0,"",INDEX(V$37:V$62,AA37))</f>
        <v>2012</v>
      </c>
      <c r="AK37" s="1">
        <f>MATCH(CONCATENATE($B37,"_",INDEX($C$4:$C32,AK$34)),lu_DataCode,0)</f>
        <v>52</v>
      </c>
      <c r="AL37" s="1">
        <f t="shared" ref="AL37:AL62" ca="1" si="12">INDEX(OFFSET(lu_DataCode,0,3),AK37)</f>
        <v>2012</v>
      </c>
      <c r="AM37" s="1">
        <f t="shared" ref="AM37:AM62" ca="1" si="13">INDEX(OFFSET(lu_DataCode,0,4),AK37)</f>
        <v>2780400</v>
      </c>
      <c r="AN37" s="1">
        <f t="shared" ref="AN37:AN62" ca="1" si="14">IF(ISNUMBER(AM37),1,0)</f>
        <v>1</v>
      </c>
      <c r="AO37" s="1">
        <f ca="1">IF(ISNUMBER(AM37),ROUND(AM37,6),IF(AO$34=0,-10000000000,100000000000))</f>
        <v>2780400</v>
      </c>
      <c r="AP37" s="1">
        <f ca="1">RANK(AO37,AO$37:AO$62,AO$34)+COUNTIF(AO$37:AO37,AO37)-1</f>
        <v>2</v>
      </c>
      <c r="AQ37" s="1">
        <f t="shared" ref="AQ37:AQ62" ca="1" si="15">MATCH($A37,AP$37:AP$62,0)</f>
        <v>6</v>
      </c>
      <c r="AR37" s="1">
        <f ca="1">INDEX(AN$37:AN$62,AQ37)</f>
        <v>1</v>
      </c>
      <c r="AS37" s="1">
        <f ca="1">IF(AR37=0,1,INDEX($D$37:$D$62,AQ37))</f>
        <v>1</v>
      </c>
      <c r="AT37" s="1">
        <f ca="1">IF(AR37=0,"",IF(OR(AV37=AV36,AV37=AV38),CONCATENATE("=",RANK(AV37,AV$37:AV$62)),$A37))</f>
        <v>1</v>
      </c>
      <c r="AU37" s="1" t="str">
        <f ca="1">IF(AR37=0,"",INDEX($C$37:$C$62,AQ37))</f>
        <v>Brasil</v>
      </c>
      <c r="AV37" s="1">
        <f t="shared" ref="AV37:AV62" ca="1" si="16">IF(AR37=0,"",INDEX(AM$37:AM$62,AQ37))</f>
        <v>8514880</v>
      </c>
      <c r="AW37" s="1">
        <f t="shared" ref="AW37:AW62" ca="1" si="17">IF(AR37=0,"",INDEX(AL$37:AL$62,AQ37))</f>
        <v>2012</v>
      </c>
      <c r="BA37" s="1">
        <f>MATCH(CONCATENATE($B37,"_",INDEX($C$4:$C32,BA$34)),lu_DataCode,0)</f>
        <v>78</v>
      </c>
      <c r="BB37" s="1">
        <f t="shared" ref="BB37:BB62" ca="1" si="18">INDEX(OFFSET(lu_DataCode,0,3),BA37)</f>
        <v>2012</v>
      </c>
      <c r="BC37" s="1">
        <f t="shared" ref="BC37:BC62" ca="1" si="19">INDEX(OFFSET(lu_DataCode,0,4),BA37)</f>
        <v>474.81200000000001</v>
      </c>
      <c r="BD37" s="1">
        <f t="shared" ref="BD37:BD62" ca="1" si="20">IF(ISNUMBER(BC37),1,0)</f>
        <v>1</v>
      </c>
      <c r="BE37" s="1">
        <f ca="1">IF(ISNUMBER(BC37),ROUND(BC37,6),IF(BE$34=0,-10000000000,100000000000))</f>
        <v>474.81200000000001</v>
      </c>
      <c r="BF37" s="1">
        <f ca="1">RANK(BE37,BE$37:BE$62,BE$34)+COUNTIF(BE$37:BE37,BE37)-1</f>
        <v>3</v>
      </c>
      <c r="BG37" s="1">
        <f t="shared" ref="BG37:BG62" ca="1" si="21">MATCH($A37,BF$37:BF$62,0)</f>
        <v>6</v>
      </c>
      <c r="BH37" s="1">
        <f ca="1">INDEX(BD$37:BD$62,BG37)</f>
        <v>1</v>
      </c>
      <c r="BI37" s="1">
        <f ca="1">IF(BH37=0,1,INDEX($D$37:$D$62,BG37))</f>
        <v>1</v>
      </c>
      <c r="BJ37" s="1">
        <f ca="1">IF(BH37=0,"",IF(OR(BL37=BL36,BL37=BL38),CONCATENATE("=",RANK(BL37,BL$37:BL$62)),$A37))</f>
        <v>1</v>
      </c>
      <c r="BK37" s="1" t="str">
        <f ca="1">IF(BH37=0,"",INDEX($C$37:$C$62,BG37))</f>
        <v>Brasil</v>
      </c>
      <c r="BL37" s="1">
        <f t="shared" ref="BL37:BL62" ca="1" si="22">IF(BH37=0,"",INDEX(BC$37:BC$62,BG37))</f>
        <v>2395.9679999999998</v>
      </c>
      <c r="BM37" s="1">
        <f t="shared" ref="BM37:BM62" ca="1" si="23">IF(BH37=0,"",INDEX(BB$37:BB$62,BG37))</f>
        <v>2012</v>
      </c>
      <c r="BQ37" s="1">
        <f>MATCH(CONCATENATE($B37,"_",INDEX($C$4:$C32,BQ$34)),lu_DataCode,0)</f>
        <v>104</v>
      </c>
      <c r="BR37" s="1">
        <f t="shared" ref="BR37:BR62" ca="1" si="24">INDEX(OFFSET(lu_DataCode,0,3),BQ37)</f>
        <v>2012</v>
      </c>
      <c r="BS37" s="1">
        <f t="shared" ref="BS37:BS62" ca="1" si="25">INDEX(OFFSET(lu_DataCode,0,4),BQ37)</f>
        <v>746.92700000000002</v>
      </c>
      <c r="BT37" s="1">
        <f t="shared" ref="BT37:BT62" ca="1" si="26">IF(ISNUMBER(BS37),1,0)</f>
        <v>1</v>
      </c>
      <c r="BU37" s="1">
        <f ca="1">IF(ISNUMBER(BS37),ROUND(BS37,6),IF(BU$34=0,-10000000000,100000000000))</f>
        <v>746.92700000000002</v>
      </c>
      <c r="BV37" s="1">
        <f ca="1">RANK(BU37,BU$37:BU$62,BU$34)+COUNTIF(BU$37:BU37,BU37)-1</f>
        <v>3</v>
      </c>
      <c r="BW37" s="1">
        <f t="shared" ref="BW37:BW62" ca="1" si="27">MATCH($A37,BV$37:BV$62,0)</f>
        <v>6</v>
      </c>
      <c r="BX37" s="1">
        <f ca="1">INDEX(BT$37:BT$62,BW37)</f>
        <v>1</v>
      </c>
      <c r="BY37" s="1">
        <f ca="1">IF(BX37=0,1,INDEX($D$37:$D$62,BW37))</f>
        <v>1</v>
      </c>
      <c r="BZ37" s="1">
        <f ca="1">IF(BX37=0,"",IF(OR(CB37=CB36,CB37=CB38),CONCATENATE("=",RANK(CB37,CB$37:CB$62)),$A37))</f>
        <v>1</v>
      </c>
      <c r="CA37" s="1" t="str">
        <f ca="1">IF(BX37=0,"",INDEX($C$37:$C$62,BW37))</f>
        <v>Brasil</v>
      </c>
      <c r="CB37" s="1">
        <f t="shared" ref="CB37:CB62" ca="1" si="28">IF(BX37=0,"",INDEX(BS$37:BS$62,BW37))</f>
        <v>2355.5859999999998</v>
      </c>
      <c r="CC37" s="1">
        <f t="shared" ref="CC37:CC62" ca="1" si="29">IF(BX37=0,"",INDEX(BR$37:BR$62,BW37))</f>
        <v>2012</v>
      </c>
      <c r="CG37" s="1">
        <f>MATCH(CONCATENATE($B37,"_",INDEX($C$4:$C32,CG$34)),lu_DataCode,0)</f>
        <v>130</v>
      </c>
      <c r="CH37" s="1">
        <f t="shared" ref="CH37:CH62" ca="1" si="30">INDEX(OFFSET(lu_DataCode,0,3),CG37)</f>
        <v>2012</v>
      </c>
      <c r="CI37" s="1">
        <f t="shared" ref="CI37:CI62" ca="1" si="31">INDEX(OFFSET(lu_DataCode,0,4),CG37)</f>
        <v>5.3750454000000003</v>
      </c>
      <c r="CJ37" s="1">
        <f t="shared" ref="CJ37:CJ62" ca="1" si="32">IF(ISNUMBER(CI37),1,0)</f>
        <v>1</v>
      </c>
      <c r="CK37" s="1">
        <f ca="1">IF(ISNUMBER(CI37),ROUND(CI37,6),IF(CK$34=0,-10000000000,100000000000))</f>
        <v>5.3750450000000001</v>
      </c>
      <c r="CL37" s="1">
        <f ca="1">RANK(CK37,CK$37:CK$62,CK$34)+COUNTIF(CK$37:CK37,CK37)-1</f>
        <v>4</v>
      </c>
      <c r="CM37" s="1">
        <f t="shared" ref="CM37:CM62" ca="1" si="33">MATCH($A37,CL$37:CL$62,0)</f>
        <v>6</v>
      </c>
      <c r="CN37" s="1">
        <f ca="1">INDEX(CJ$37:CJ$62,CM37)</f>
        <v>1</v>
      </c>
      <c r="CO37" s="1">
        <f ca="1">IF(CN37=0,1,INDEX($D$37:$D$62,CM37))</f>
        <v>1</v>
      </c>
      <c r="CP37" s="1">
        <f ca="1">IF(CN37=0,"",IF(OR(CR37=CR36,CR37=CR38),CONCATENATE("=",RANK(CR37,CR$37:CR$62)),$A37))</f>
        <v>1</v>
      </c>
      <c r="CQ37" s="1" t="str">
        <f ca="1">IF(CN37=0,"",INDEX($C$37:$C$62,CM37))</f>
        <v>Brasil</v>
      </c>
      <c r="CR37" s="1">
        <f t="shared" ref="CR37:CR62" ca="1" si="34">IF(CN37=0,"",INDEX(CI$37:CI$62,CM37))</f>
        <v>16.966999999999999</v>
      </c>
      <c r="CS37" s="1">
        <f t="shared" ref="CS37:CS62" ca="1" si="35">IF(CN37=0,"",INDEX(CH$37:CH$62,CM37))</f>
        <v>2012</v>
      </c>
      <c r="CW37" s="1">
        <f>MATCH(CONCATENATE($B37,"_",INDEX($C$4:$C32,CW$34)),lu_DataCode,0)</f>
        <v>156</v>
      </c>
      <c r="CX37" s="1">
        <f t="shared" ref="CX37:CX62" ca="1" si="36">INDEX(OFFSET(lu_DataCode,0,3),CW37)</f>
        <v>2012</v>
      </c>
      <c r="CY37" s="1">
        <f t="shared" ref="CY37:CY62" ca="1" si="37">INDEX(OFFSET(lu_DataCode,0,4),CW37)</f>
        <v>2.4069547999999998</v>
      </c>
      <c r="CZ37" s="1">
        <f t="shared" ref="CZ37:CZ62" ca="1" si="38">IF(ISNUMBER(CY37),1,0)</f>
        <v>1</v>
      </c>
      <c r="DA37" s="1">
        <f ca="1">IF(ISNUMBER(CY37),ROUND(CY37,6),IF(DA$34=0,-10000000000,100000000000))</f>
        <v>2.406955</v>
      </c>
      <c r="DB37" s="1">
        <f ca="1">RANK(DA37,DA$37:DA$62,DA$34)+COUNTIF(DA$37:DA37,DA37)-1</f>
        <v>4</v>
      </c>
      <c r="DC37" s="1">
        <f t="shared" ref="DC37:DC62" ca="1" si="39">MATCH($A37,DB$37:DB$62,0)</f>
        <v>7</v>
      </c>
      <c r="DD37" s="1">
        <f ca="1">INDEX(CZ$37:CZ$62,DC37)</f>
        <v>1</v>
      </c>
      <c r="DE37" s="1">
        <f ca="1">IF(DD37=0,1,INDEX($D$37:$D$62,DC37))</f>
        <v>1</v>
      </c>
      <c r="DF37" s="1">
        <f ca="1">IF(DD37=0,"",IF(OR(DH37=DH36,DH37=DH38),CONCATENATE("=",RANK(DH37,DH$37:DH$62)),$A37))</f>
        <v>1</v>
      </c>
      <c r="DG37" s="1" t="str">
        <f ca="1">IF(DD37=0,"",INDEX($C$37:$C$62,DC37))</f>
        <v>Chile</v>
      </c>
      <c r="DH37" s="1">
        <f t="shared" ref="DH37:DH62" ca="1" si="40">IF(DD37=0,"",INDEX(CY$37:CY$62,DC37))</f>
        <v>6.7264964210000002</v>
      </c>
      <c r="DI37" s="1">
        <f t="shared" ref="DI37:DI62" ca="1" si="41">IF(DD37=0,"",INDEX(CX$37:CX$62,DC37))</f>
        <v>2012</v>
      </c>
      <c r="DM37" s="1">
        <f>MATCH(CONCATENATE($B37,"_",INDEX($C$4:$C32,DM$34)),lu_DataCode,0)</f>
        <v>180</v>
      </c>
      <c r="DN37" s="1">
        <f t="shared" ref="DN37:DN62" ca="1" si="42">INDEX(OFFSET(lu_DataCode,0,3),DM37)</f>
        <v>2012</v>
      </c>
      <c r="DO37" s="1">
        <f t="shared" ref="DO37:DO62" ca="1" si="43">INDEX(OFFSET(lu_DataCode,0,4),DM37)</f>
        <v>81.903149600000006</v>
      </c>
      <c r="DP37" s="1">
        <f t="shared" ref="DP37:DP62" ca="1" si="44">IF(ISNUMBER(DO37),1,0)</f>
        <v>1</v>
      </c>
      <c r="DQ37" s="1">
        <f ca="1">IF(ISNUMBER(DO37),ROUND(DO37,6),IF(DQ$34=0,-10000000000,100000000000))</f>
        <v>81.903149999999997</v>
      </c>
      <c r="DR37" s="1">
        <f ca="1">RANK(DQ37,DQ$37:DQ$62,DQ$34)+COUNTIF(DQ$37:DQ37,DQ37)-1</f>
        <v>4</v>
      </c>
      <c r="DS37" s="1">
        <f t="shared" ref="DS37:DS62" ca="1" si="45">MATCH($A37,DR$37:DR$62,0)</f>
        <v>17</v>
      </c>
      <c r="DT37" s="1">
        <f ca="1">INDEX(DP$37:DP$62,DS37)</f>
        <v>1</v>
      </c>
      <c r="DU37" s="1">
        <f ca="1">IF(DT37=0,1,INDEX($D$37:$D$62,DS37))</f>
        <v>1</v>
      </c>
      <c r="DV37" s="1">
        <f ca="1">IF(DT37=0,"",IF(OR(DX37=DX36,DX37=DX38),CONCATENATE("=",RANK(DX37,DX$37:DX$62)),$A37))</f>
        <v>1</v>
      </c>
      <c r="DW37" s="1" t="str">
        <f ca="1">IF(DT37=0,"",INDEX($C$37:$C$62,DS37))</f>
        <v>México</v>
      </c>
      <c r="DX37" s="1">
        <f t="shared" ref="DX37:DX62" ca="1" si="46">IF(DT37=0,"",INDEX(DO$37:DO$62,DS37))</f>
        <v>370.00369590000003</v>
      </c>
      <c r="DY37" s="1">
        <f t="shared" ref="DY37:DY62" ca="1" si="47">IF(DT37=0,"",INDEX(DN$37:DN$62,DS37))</f>
        <v>2012</v>
      </c>
      <c r="EC37" s="1">
        <f>MATCH(CONCATENATE($B37,"_",INDEX($C$4:$C32,EC$34)),lu_DataCode,0)</f>
        <v>206</v>
      </c>
      <c r="ED37" s="1">
        <f t="shared" ref="ED37:ED62" ca="1" si="48">INDEX(OFFSET(lu_DataCode,0,3),EC37)</f>
        <v>2012</v>
      </c>
      <c r="EE37" s="1">
        <f t="shared" ref="EE37:EE62" ca="1" si="49">INDEX(OFFSET(lu_DataCode,0,4),EC37)</f>
        <v>100244570.502</v>
      </c>
      <c r="EF37" s="1">
        <f t="shared" ref="EF37:EF62" ca="1" si="50">IF(ISNUMBER(EE37),1,0)</f>
        <v>1</v>
      </c>
      <c r="EG37" s="1">
        <f ca="1">IF(ISNUMBER(EE37),ROUND(EE37,6),IF(EG$34=0,-10000000000,100000000000))</f>
        <v>100244570.502</v>
      </c>
      <c r="EH37" s="1">
        <f ca="1">RANK(EG37,EG$37:EG$62,EG$34)+COUNTIF(EG$37:EG37,EG37)-1</f>
        <v>4</v>
      </c>
      <c r="EI37" s="1">
        <f t="shared" ref="EI37:EI62" ca="1" si="51">MATCH($A37,EH$37:EH$62,0)</f>
        <v>6</v>
      </c>
      <c r="EJ37" s="1">
        <f ca="1">INDEX(EF$37:EF$62,EI37)</f>
        <v>1</v>
      </c>
      <c r="EK37" s="1">
        <f ca="1">IF(EJ37=0,1,INDEX($D$37:$D$62,EI37))</f>
        <v>1</v>
      </c>
      <c r="EL37" s="1">
        <f ca="1">IF(EJ37=0,"",IF(OR(EN37=EN36,EN37=EN38),CONCATENATE("=",RANK(EN37,EN$37:EN$62)),$A37))</f>
        <v>1</v>
      </c>
      <c r="EM37" s="1" t="str">
        <f ca="1">IF(EJ37=0,"",INDEX($C$37:$C$62,EI37))</f>
        <v>Brasil</v>
      </c>
      <c r="EN37" s="1">
        <f t="shared" ref="EN37:EN62" ca="1" si="52">IF(EJ37=0,"",INDEX(EE$37:EE$62,EI37))</f>
        <v>537536631.38199997</v>
      </c>
      <c r="EO37" s="1">
        <f t="shared" ref="EO37:EO62" ca="1" si="53">IF(EJ37=0,"",INDEX(ED$37:ED$62,EI37))</f>
        <v>2012</v>
      </c>
      <c r="ES37" s="1">
        <f>MATCH(CONCATENATE($B37,"_",INDEX($C$4:$C32,ES$34)),lu_DataCode,0)</f>
        <v>231</v>
      </c>
      <c r="ET37" s="1">
        <f t="shared" ref="ET37:ET62" ca="1" si="54">INDEX(OFFSET(lu_DataCode,0,3),ES37)</f>
        <v>2012</v>
      </c>
      <c r="EU37" s="1">
        <f t="shared" ref="EU37:EU62" ca="1" si="55">INDEX(OFFSET(lu_DataCode,0,4),ES37)</f>
        <v>65.773621199999994</v>
      </c>
      <c r="EV37" s="1">
        <f t="shared" ref="EV37:EV62" ca="1" si="56">IF(ISNUMBER(EU37),1,0)</f>
        <v>1</v>
      </c>
      <c r="EW37" s="1">
        <f ca="1">IF(ISNUMBER(EU37),ROUND(EU37,6),IF(EW$34=0,-10000000000,100000000000))</f>
        <v>65.773621000000006</v>
      </c>
      <c r="EX37" s="1">
        <f ca="1">RANK(EW37,EW$37:EW$62,EW$34)+COUNTIF(EW$37:EW37,EW37)-1</f>
        <v>4</v>
      </c>
      <c r="EY37" s="1">
        <f t="shared" ref="EY37:EY62" ca="1" si="57">MATCH($A37,EX$37:EX$62,0)</f>
        <v>17</v>
      </c>
      <c r="EZ37" s="1">
        <f ca="1">INDEX(EV$37:EV$62,EY37)</f>
        <v>1</v>
      </c>
      <c r="FA37" s="1">
        <f ca="1">IF(EZ37=0,1,INDEX($D$37:$D$62,EY37))</f>
        <v>1</v>
      </c>
      <c r="FB37" s="1">
        <f ca="1">IF(EZ37=0,"",IF(OR(FD37=FD36,FD37=FD38),CONCATENATE("=",RANK(FD37,FD$37:FD$62)),$A37))</f>
        <v>1</v>
      </c>
      <c r="FC37" s="1" t="str">
        <f ca="1">IF(EZ37=0,"",INDEX($C$37:$C$62,EY37))</f>
        <v>México</v>
      </c>
      <c r="FD37" s="1">
        <f t="shared" ref="FD37:FD62" ca="1" si="58">IF(EZ37=0,"",INDEX(EU$37:EU$62,EY37))</f>
        <v>370.32722419999999</v>
      </c>
      <c r="FE37" s="1">
        <f t="shared" ref="FE37:FE62" ca="1" si="59">IF(EZ37=0,"",INDEX(ET$37:ET$62,EY37))</f>
        <v>2012</v>
      </c>
      <c r="FI37" s="1">
        <f>MATCH(CONCATENATE($B37,"_",INDEX($C$4:$C32,FI$34)),lu_DataCode,0)</f>
        <v>257</v>
      </c>
      <c r="FJ37" s="1">
        <f t="shared" ref="FJ37:FJ62" ca="1" si="60">INDEX(OFFSET(lu_DataCode,0,3),FI37)</f>
        <v>2012</v>
      </c>
      <c r="FK37" s="1">
        <f t="shared" ref="FK37:FK62" ca="1" si="61">INDEX(OFFSET(lu_DataCode,0,4),FI37)</f>
        <v>33687227.989</v>
      </c>
      <c r="FL37" s="1">
        <f t="shared" ref="FL37:FL62" ca="1" si="62">IF(ISNUMBER(FK37),1,0)</f>
        <v>1</v>
      </c>
      <c r="FM37" s="1">
        <f ca="1">IF(ISNUMBER(FK37),ROUND(FK37,6),IF(FM$34=0,-10000000000,100000000000))</f>
        <v>33687227.989</v>
      </c>
      <c r="FN37" s="1">
        <f ca="1">RANK(FM37,FM$37:FM$62,FM$34)+COUNTIF(FM$37:FM37,FM37)-1</f>
        <v>4</v>
      </c>
      <c r="FO37" s="1">
        <f t="shared" ref="FO37:FO62" ca="1" si="63">MATCH($A37,FN$37:FN$62,0)</f>
        <v>17</v>
      </c>
      <c r="FP37" s="1">
        <f ca="1">INDEX(FL$37:FL$62,FO37)</f>
        <v>1</v>
      </c>
      <c r="FQ37" s="1">
        <f ca="1">IF(FP37=0,1,INDEX($D$37:$D$62,FO37))</f>
        <v>1</v>
      </c>
      <c r="FR37" s="1">
        <f ca="1">IF(FP37=0,"",IF(OR(FT37=FT36,FT37=FT38),CONCATENATE("=",RANK(FT37,FT$37:FT$62)),$A37))</f>
        <v>1</v>
      </c>
      <c r="FS37" s="1" t="str">
        <f ca="1">IF(FP37=0,"",INDEX($C$37:$C$62,FO37))</f>
        <v>México</v>
      </c>
      <c r="FT37" s="1">
        <f t="shared" ref="FT37:FT62" ca="1" si="64">IF(FP37=0,"",INDEX(FK$37:FK$62,FO37))</f>
        <v>2265438676.3790002</v>
      </c>
      <c r="FU37" s="1">
        <f t="shared" ref="FU37:FU62" ca="1" si="65">IF(FP37=0,"",INDEX(FJ$37:FJ$62,FO37))</f>
        <v>2012</v>
      </c>
      <c r="FY37" s="1" t="e">
        <f>MATCH(CONCATENATE($B37,"_",INDEX($C$4:$C32,FY$34)),lu_DataCode,0)</f>
        <v>#N/A</v>
      </c>
      <c r="FZ37" s="1" t="e">
        <f t="shared" ref="FZ37:FZ62" ca="1" si="66">INDEX(OFFSET(lu_DataCode,0,3),FY37)</f>
        <v>#N/A</v>
      </c>
      <c r="GA37" s="1" t="e">
        <f t="shared" ref="GA37:GA62" ca="1" si="67">INDEX(OFFSET(lu_DataCode,0,4),FY37)</f>
        <v>#N/A</v>
      </c>
      <c r="GB37" s="1">
        <f t="shared" ref="GB37:GB62" ca="1" si="68">IF(ISNUMBER(GA37),1,0)</f>
        <v>0</v>
      </c>
      <c r="GC37" s="1">
        <f ca="1">IF(ISNUMBER(GA37),ROUND(GA37,6),IF(GC$34=0,-10000000000,100000000000))</f>
        <v>-10000000000</v>
      </c>
      <c r="GD37" s="1">
        <f ca="1">RANK(GC37,GC$37:GC$62,GC$34)+COUNTIF(GC$37:GC37,GC37)-1</f>
        <v>1</v>
      </c>
      <c r="GE37" s="1">
        <f t="shared" ref="GE37:GE62" ca="1" si="69">MATCH($A37,GD$37:GD$62,0)</f>
        <v>1</v>
      </c>
      <c r="GF37" s="1">
        <f ca="1">INDEX(GB$37:GB$62,GE37)</f>
        <v>0</v>
      </c>
      <c r="GG37" s="1">
        <f ca="1">IF(GF37=0,1,INDEX($D$37:$D$62,GE37))</f>
        <v>1</v>
      </c>
      <c r="GH37" s="1" t="str">
        <f ca="1">IF(GF37=0,"",IF(OR(GJ37=GJ36,GJ37=GJ38),CONCATENATE("=",RANK(GJ37,GJ$37:GJ$62)),$A37))</f>
        <v/>
      </c>
      <c r="GI37" s="1" t="str">
        <f ca="1">IF(GF37=0,"",INDEX($C$37:$C$62,GE37))</f>
        <v/>
      </c>
      <c r="GJ37" s="1" t="str">
        <f t="shared" ref="GJ37:GJ62" ca="1" si="70">IF(GF37=0,"",INDEX(GA$37:GA$62,GE37))</f>
        <v/>
      </c>
      <c r="GK37" s="1" t="str">
        <f t="shared" ref="GK37:GK62" ca="1" si="71">IF(GF37=0,"",INDEX(FZ$37:FZ$62,GE37))</f>
        <v/>
      </c>
      <c r="GO37" s="1" t="e">
        <f>MATCH(CONCATENATE($B37,"_",INDEX($C$4:$C32,GO$34)),lu_DataCode,0)</f>
        <v>#N/A</v>
      </c>
      <c r="GP37" s="1" t="e">
        <f t="shared" ref="GP37:GP62" ca="1" si="72">INDEX(OFFSET(lu_DataCode,0,3),GO37)</f>
        <v>#N/A</v>
      </c>
      <c r="GQ37" s="1" t="e">
        <f t="shared" ref="GQ37:GQ62" ca="1" si="73">INDEX(OFFSET(lu_DataCode,0,4),GO37)</f>
        <v>#N/A</v>
      </c>
      <c r="GR37" s="1">
        <f t="shared" ref="GR37:GR62" ca="1" si="74">IF(ISNUMBER(GQ37),1,0)</f>
        <v>0</v>
      </c>
      <c r="GS37" s="1">
        <f ca="1">IF(ISNUMBER(GQ37),ROUND(GQ37,6),IF(GS$34=0,-10000000000,100000000000))</f>
        <v>-10000000000</v>
      </c>
      <c r="GT37" s="1">
        <f ca="1">RANK(GS37,GS$37:GS$62,GS$34)+COUNTIF(GS$37:GS37,GS37)-1</f>
        <v>1</v>
      </c>
      <c r="GU37" s="1">
        <f t="shared" ref="GU37:GU62" ca="1" si="75">MATCH($A37,GT$37:GT$62,0)</f>
        <v>1</v>
      </c>
      <c r="GV37" s="1">
        <f ca="1">INDEX(GR$37:GR$62,GU37)</f>
        <v>0</v>
      </c>
      <c r="GW37" s="1">
        <f ca="1">IF(GV37=0,1,INDEX($D$37:$D$62,GU37))</f>
        <v>1</v>
      </c>
      <c r="GX37" s="1" t="str">
        <f ca="1">IF(GV37=0,"",IF(OR(GZ37=GZ36,GZ37=GZ38),CONCATENATE("=",RANK(GZ37,GZ$37:GZ$62)),$A37))</f>
        <v/>
      </c>
      <c r="GY37" s="1" t="str">
        <f ca="1">IF(GV37=0,"",INDEX($C$37:$C$62,GU37))</f>
        <v/>
      </c>
      <c r="GZ37" s="1" t="str">
        <f t="shared" ref="GZ37:GZ62" ca="1" si="76">IF(GV37=0,"",INDEX(GQ$37:GQ$62,GU37))</f>
        <v/>
      </c>
      <c r="HA37" s="1" t="str">
        <f t="shared" ref="HA37:HA62" ca="1" si="77">IF(GV37=0,"",INDEX(GP$37:GP$62,GU37))</f>
        <v/>
      </c>
      <c r="HE37" s="1" t="e">
        <f>MATCH(CONCATENATE($B37,"_",INDEX($C$4:$C32,HE$34)),lu_DataCode,0)</f>
        <v>#N/A</v>
      </c>
      <c r="HF37" s="1" t="e">
        <f t="shared" ref="HF37:HF62" ca="1" si="78">INDEX(OFFSET(lu_DataCode,0,3),HE37)</f>
        <v>#N/A</v>
      </c>
      <c r="HG37" s="1" t="e">
        <f t="shared" ref="HG37:HG62" ca="1" si="79">INDEX(OFFSET(lu_DataCode,0,4),HE37)</f>
        <v>#N/A</v>
      </c>
      <c r="HH37" s="1">
        <f t="shared" ref="HH37:HH62" ca="1" si="80">IF(ISNUMBER(HG37),1,0)</f>
        <v>0</v>
      </c>
      <c r="HI37" s="1">
        <f ca="1">IF(ISNUMBER(HG37),ROUND(HG37,6),IF(HI$34=0,-10000000000,100000000000))</f>
        <v>-10000000000</v>
      </c>
      <c r="HJ37" s="1">
        <f ca="1">RANK(HI37,HI$37:HI$62,HI$34)+COUNTIF(HI$37:HI37,HI37)-1</f>
        <v>1</v>
      </c>
      <c r="HK37" s="1">
        <f t="shared" ref="HK37:HK62" ca="1" si="81">MATCH($A37,HJ$37:HJ$62,0)</f>
        <v>1</v>
      </c>
      <c r="HL37" s="1">
        <f ca="1">INDEX(HH$37:HH$62,HK37)</f>
        <v>0</v>
      </c>
      <c r="HM37" s="1">
        <f ca="1">IF(HL37=0,1,INDEX($D$37:$D$62,HK37))</f>
        <v>1</v>
      </c>
      <c r="HN37" s="1" t="str">
        <f ca="1">IF(HL37=0,"",IF(OR(HP37=HP36,HP37=HP38),CONCATENATE("=",RANK(HP37,HP$37:HP$62)),$A37))</f>
        <v/>
      </c>
      <c r="HO37" s="1" t="str">
        <f ca="1">IF(HL37=0,"",INDEX($C$37:$C$62,HK37))</f>
        <v/>
      </c>
      <c r="HP37" s="1" t="str">
        <f t="shared" ref="HP37:HP62" ca="1" si="82">IF(HL37=0,"",INDEX(HG$37:HG$62,HK37))</f>
        <v/>
      </c>
      <c r="HQ37" s="1" t="str">
        <f t="shared" ref="HQ37:HQ62" ca="1" si="83">IF(HL37=0,"",INDEX(HF$37:HF$62,HK37))</f>
        <v/>
      </c>
      <c r="HU37" s="1" t="e">
        <f>MATCH(CONCATENATE($B37,"_",INDEX($C$4:$C32,HU$34)),lu_DataCode,0)</f>
        <v>#N/A</v>
      </c>
      <c r="HV37" s="1" t="e">
        <f t="shared" ref="HV37:HV62" ca="1" si="84">INDEX(OFFSET(lu_DataCode,0,3),HU37)</f>
        <v>#N/A</v>
      </c>
      <c r="HW37" s="1" t="e">
        <f t="shared" ref="HW37:HW62" ca="1" si="85">INDEX(OFFSET(lu_DataCode,0,4),HU37)</f>
        <v>#N/A</v>
      </c>
      <c r="HX37" s="1">
        <f t="shared" ref="HX37:HX62" ca="1" si="86">IF(ISNUMBER(HW37),1,0)</f>
        <v>0</v>
      </c>
      <c r="HY37" s="1">
        <f ca="1">IF(ISNUMBER(HW37),ROUND(HW37,6),IF(HY$34=0,-10000000000,100000000000))</f>
        <v>-10000000000</v>
      </c>
      <c r="HZ37" s="1">
        <f ca="1">RANK(HY37,HY$37:HY$62,HY$34)+COUNTIF(HY$37:HY37,HY37)-1</f>
        <v>1</v>
      </c>
      <c r="IA37" s="1">
        <f t="shared" ref="IA37:IA62" ca="1" si="87">MATCH($A37,HZ$37:HZ$62,0)</f>
        <v>1</v>
      </c>
      <c r="IB37" s="1">
        <f ca="1">INDEX(HX$37:HX$62,IA37)</f>
        <v>0</v>
      </c>
      <c r="IC37" s="1">
        <f ca="1">IF(IB37=0,1,INDEX($D$37:$D$62,IA37))</f>
        <v>1</v>
      </c>
      <c r="ID37" s="1" t="str">
        <f ca="1">IF(IB37=0,"",IF(OR(IF37=IF36,IF37=IF38),CONCATENATE("=",RANK(IF37,IF$37:IF$62)),$A37))</f>
        <v/>
      </c>
      <c r="IE37" s="1" t="str">
        <f ca="1">IF(IB37=0,"",INDEX($C$37:$C$62,IA37))</f>
        <v/>
      </c>
      <c r="IF37" s="1" t="str">
        <f t="shared" ref="IF37:IF62" ca="1" si="88">IF(IB37=0,"",INDEX(HW$37:HW$62,IA37))</f>
        <v/>
      </c>
      <c r="IG37" s="1" t="str">
        <f t="shared" ref="IG37:IG62" ca="1" si="89">IF(IB37=0,"",INDEX(HV$37:HV$62,IA37))</f>
        <v/>
      </c>
    </row>
    <row r="38" spans="1:241" ht="10.15" x14ac:dyDescent="0.2">
      <c r="A38" s="1">
        <v>2</v>
      </c>
      <c r="B38" s="1" t="str">
        <f>tblCountries!E4</f>
        <v>NAC_BS_1</v>
      </c>
      <c r="C38" s="1" t="str">
        <f>tblCountries!C4</f>
        <v>Bahamas</v>
      </c>
      <c r="D38" s="1">
        <f>tblCountries!D4</f>
        <v>1</v>
      </c>
      <c r="E38" s="1">
        <f>MATCH(CONCATENATE($B38,"_",INDEX($C$4:$C33,E$34)),lu_DataCode,0)</f>
        <v>5</v>
      </c>
      <c r="F38" s="1">
        <f t="shared" ca="1" si="0"/>
        <v>2012</v>
      </c>
      <c r="G38" s="1">
        <f t="shared" ca="1" si="1"/>
        <v>3.91327578192378</v>
      </c>
      <c r="H38" s="1">
        <f t="shared" ca="1" si="2"/>
        <v>1</v>
      </c>
      <c r="I38" s="1">
        <f t="shared" ref="I38:I62" ca="1" si="90">IF(ISNUMBER(G38),ROUND(G38,6),IF(I$34=0,-10000000000,100000000000))</f>
        <v>3.9132760000000002</v>
      </c>
      <c r="J38" s="1">
        <f ca="1">RANK(I38,I$37:I$62,I$34)+COUNTIF(I$37:I38,I38)-1</f>
        <v>22</v>
      </c>
      <c r="K38" s="1">
        <f t="shared" ca="1" si="3"/>
        <v>22</v>
      </c>
      <c r="L38" s="1">
        <f t="shared" ref="L38:L45" ca="1" si="91">INDEX(H$37:H$62,K38)</f>
        <v>1</v>
      </c>
      <c r="M38" s="1">
        <f t="shared" ref="M38:M62" ca="1" si="92">IF(L38=0,1,INDEX($D$37:$D$62,K38))</f>
        <v>1</v>
      </c>
      <c r="N38" s="1">
        <f t="shared" ref="N38:N62" ca="1" si="93">IF(L38=0,"",IF(OR(P38=P37,P38=P39),CONCATENATE("=",RANK(P38,P$37:P$62)),$A38))</f>
        <v>2</v>
      </c>
      <c r="O38" s="1" t="str">
        <f t="shared" ref="O38:O62" ca="1" si="94">IF(L38=0,"",INDEX($C$37:$C$62,K38))</f>
        <v>Dominican Republic</v>
      </c>
      <c r="P38" s="1">
        <f t="shared" ca="1" si="4"/>
        <v>8.4378989177878498</v>
      </c>
      <c r="Q38" s="1">
        <f t="shared" ca="1" si="5"/>
        <v>2012</v>
      </c>
      <c r="U38" s="1">
        <f>MATCH(CONCATENATE($B38,"_",INDEX($C$4:$C33,U$34)),lu_DataCode,0)</f>
        <v>30</v>
      </c>
      <c r="V38" s="1">
        <f t="shared" ca="1" si="6"/>
        <v>2012</v>
      </c>
      <c r="W38" s="1">
        <f t="shared" ca="1" si="7"/>
        <v>0.35199999999999998</v>
      </c>
      <c r="X38" s="1">
        <f t="shared" ca="1" si="8"/>
        <v>1</v>
      </c>
      <c r="Y38" s="1">
        <f t="shared" ref="Y38:Y62" ca="1" si="95">IF(ISNUMBER(W38),ROUND(W38,6),IF(Y$34=0,-10000000000,100000000000))</f>
        <v>0.35199999999999998</v>
      </c>
      <c r="Z38" s="1">
        <f ca="1">RANK(Y38,Y$37:Y$62,Y$34)+COUNTIF(Y$37:Y38,Y38)-1</f>
        <v>24</v>
      </c>
      <c r="AA38" s="1">
        <f t="shared" ca="1" si="9"/>
        <v>17</v>
      </c>
      <c r="AB38" s="1">
        <f t="shared" ref="AB38:AB45" ca="1" si="96">INDEX(X$37:X$62,AA38)</f>
        <v>1</v>
      </c>
      <c r="AC38" s="1">
        <f t="shared" ref="AC38:AC62" ca="1" si="97">IF(AB38=0,1,INDEX($D$37:$D$62,AA38))</f>
        <v>1</v>
      </c>
      <c r="AD38" s="1">
        <f t="shared" ref="AD38:AD62" ca="1" si="98">IF(AB38=0,"",IF(OR(AF38=AF37,AF38=AF39),CONCATENATE("=",RANK(AF38,AF$37:AF$62)),$A38))</f>
        <v>2</v>
      </c>
      <c r="AE38" s="1" t="str">
        <f t="shared" ref="AE38:AE62" ca="1" si="99">IF(AB38=0,"",INDEX($C$37:$C$62,AA38))</f>
        <v>México</v>
      </c>
      <c r="AF38" s="1">
        <f t="shared" ca="1" si="10"/>
        <v>114.872</v>
      </c>
      <c r="AG38" s="1">
        <f t="shared" ca="1" si="11"/>
        <v>2012</v>
      </c>
      <c r="AK38" s="1">
        <f>MATCH(CONCATENATE($B38,"_",INDEX($C$4:$C33,AK$34)),lu_DataCode,0)</f>
        <v>56</v>
      </c>
      <c r="AL38" s="1">
        <f t="shared" ca="1" si="12"/>
        <v>2012</v>
      </c>
      <c r="AM38" s="1">
        <f t="shared" ca="1" si="13"/>
        <v>13880</v>
      </c>
      <c r="AN38" s="1">
        <f t="shared" ca="1" si="14"/>
        <v>1</v>
      </c>
      <c r="AO38" s="1">
        <f t="shared" ref="AO38:AO62" ca="1" si="100">IF(ISNUMBER(AM38),ROUND(AM38,6),IF(AO$34=0,-10000000000,100000000000))</f>
        <v>13880</v>
      </c>
      <c r="AP38" s="1">
        <f ca="1">RANK(AO38,AO$37:AO$62,AO$34)+COUNTIF(AO$37:AO38,AO38)-1</f>
        <v>23</v>
      </c>
      <c r="AQ38" s="1">
        <f t="shared" ca="1" si="15"/>
        <v>1</v>
      </c>
      <c r="AR38" s="1">
        <f t="shared" ref="AR38:AR62" ca="1" si="101">INDEX(AN$37:AN$62,AQ38)</f>
        <v>1</v>
      </c>
      <c r="AS38" s="1">
        <f t="shared" ref="AS38:AS62" ca="1" si="102">IF(AR38=0,1,INDEX($D$37:$D$62,AQ38))</f>
        <v>1</v>
      </c>
      <c r="AT38" s="1">
        <f t="shared" ref="AT38:AT62" ca="1" si="103">IF(AR38=0,"",IF(OR(AV38=AV37,AV38=AV39),CONCATENATE("=",RANK(AV38,AV$37:AV$62)),$A38))</f>
        <v>2</v>
      </c>
      <c r="AU38" s="1" t="str">
        <f t="shared" ref="AU38:AU62" ca="1" si="104">IF(AR38=0,"",INDEX($C$37:$C$62,AQ38))</f>
        <v>Argentina</v>
      </c>
      <c r="AV38" s="1">
        <f t="shared" ca="1" si="16"/>
        <v>2780400</v>
      </c>
      <c r="AW38" s="1">
        <f t="shared" ca="1" si="17"/>
        <v>2012</v>
      </c>
      <c r="BA38" s="1">
        <f>MATCH(CONCATENATE($B38,"_",INDEX($C$4:$C33,BA$34)),lu_DataCode,0)</f>
        <v>82</v>
      </c>
      <c r="BB38" s="1">
        <f t="shared" ca="1" si="18"/>
        <v>2012</v>
      </c>
      <c r="BC38" s="1">
        <f t="shared" ca="1" si="19"/>
        <v>8.1490039999999997</v>
      </c>
      <c r="BD38" s="1">
        <f t="shared" ca="1" si="20"/>
        <v>1</v>
      </c>
      <c r="BE38" s="1">
        <f t="shared" ref="BE38:BE62" ca="1" si="105">IF(ISNUMBER(BC38),ROUND(BC38,6),IF(BE$34=0,-10000000000,100000000000))</f>
        <v>8.1490039999999997</v>
      </c>
      <c r="BF38" s="1">
        <f ca="1">RANK(BE38,BE$37:BE$62,BE$34)+COUNTIF(BE$37:BE38,BE38)-1</f>
        <v>21</v>
      </c>
      <c r="BG38" s="1">
        <f t="shared" ca="1" si="21"/>
        <v>17</v>
      </c>
      <c r="BH38" s="1">
        <f t="shared" ref="BH38:BH62" ca="1" si="106">INDEX(BD$37:BD$62,BG38)</f>
        <v>1</v>
      </c>
      <c r="BI38" s="1">
        <f t="shared" ref="BI38:BI62" ca="1" si="107">IF(BH38=0,1,INDEX($D$37:$D$62,BG38))</f>
        <v>1</v>
      </c>
      <c r="BJ38" s="1">
        <f t="shared" ref="BJ38:BJ62" ca="1" si="108">IF(BH38=0,"",IF(OR(BL38=BL37,BL38=BL39),CONCATENATE("=",RANK(BL38,BL$37:BL$62)),$A38))</f>
        <v>2</v>
      </c>
      <c r="BK38" s="1" t="str">
        <f t="shared" ref="BK38:BK62" ca="1" si="109">IF(BH38=0,"",INDEX($C$37:$C$62,BG38))</f>
        <v>México</v>
      </c>
      <c r="BL38" s="1">
        <f t="shared" ca="1" si="22"/>
        <v>1177.116</v>
      </c>
      <c r="BM38" s="1">
        <f t="shared" ca="1" si="23"/>
        <v>2012</v>
      </c>
      <c r="BQ38" s="1">
        <f>MATCH(CONCATENATE($B38,"_",INDEX($C$4:$C33,BQ$34)),lu_DataCode,0)</f>
        <v>108</v>
      </c>
      <c r="BR38" s="1">
        <f t="shared" ca="1" si="24"/>
        <v>2012</v>
      </c>
      <c r="BS38" s="1">
        <f t="shared" ca="1" si="25"/>
        <v>11.037000000000001</v>
      </c>
      <c r="BT38" s="1">
        <f t="shared" ca="1" si="26"/>
        <v>1</v>
      </c>
      <c r="BU38" s="1">
        <f t="shared" ref="BU38:BU62" ca="1" si="110">IF(ISNUMBER(BS38),ROUND(BS38,6),IF(BU$34=0,-10000000000,100000000000))</f>
        <v>11.037000000000001</v>
      </c>
      <c r="BV38" s="1">
        <f ca="1">RANK(BU38,BU$37:BU$62,BU$34)+COUNTIF(BU$37:BU38,BU38)-1</f>
        <v>22</v>
      </c>
      <c r="BW38" s="1">
        <f t="shared" ca="1" si="27"/>
        <v>17</v>
      </c>
      <c r="BX38" s="1">
        <f t="shared" ref="BX38:BX62" ca="1" si="111">INDEX(BT$37:BT$62,BW38)</f>
        <v>1</v>
      </c>
      <c r="BY38" s="1">
        <f t="shared" ref="BY38:BY62" ca="1" si="112">IF(BX38=0,1,INDEX($D$37:$D$62,BW38))</f>
        <v>1</v>
      </c>
      <c r="BZ38" s="1">
        <f t="shared" ref="BZ38:BZ62" ca="1" si="113">IF(BX38=0,"",IF(OR(CB38=CB37,CB38=CB39),CONCATENATE("=",RANK(CB38,CB$37:CB$62)),$A38))</f>
        <v>2</v>
      </c>
      <c r="CA38" s="1" t="str">
        <f t="shared" ref="CA38:CA62" ca="1" si="114">IF(BX38=0,"",INDEX($C$37:$C$62,BW38))</f>
        <v>México</v>
      </c>
      <c r="CB38" s="1">
        <f t="shared" ca="1" si="28"/>
        <v>1758.896</v>
      </c>
      <c r="CC38" s="1">
        <f t="shared" ca="1" si="29"/>
        <v>2012</v>
      </c>
      <c r="CG38" s="1">
        <f>MATCH(CONCATENATE($B38,"_",INDEX($C$4:$C33,CG$34)),lu_DataCode,0)</f>
        <v>134</v>
      </c>
      <c r="CH38" s="1">
        <f t="shared" ca="1" si="30"/>
        <v>2012</v>
      </c>
      <c r="CI38" s="1">
        <f t="shared" ca="1" si="31"/>
        <v>0.38949630000000002</v>
      </c>
      <c r="CJ38" s="1">
        <f t="shared" ca="1" si="32"/>
        <v>1</v>
      </c>
      <c r="CK38" s="1">
        <f t="shared" ref="CK38:CK62" ca="1" si="115">IF(ISNUMBER(CI38),ROUND(CI38,6),IF(CK$34=0,-10000000000,100000000000))</f>
        <v>0.38949600000000001</v>
      </c>
      <c r="CL38" s="1">
        <f ca="1">RANK(CK38,CK$37:CK$62,CK$34)+COUNTIF(CK$37:CK38,CK38)-1</f>
        <v>21</v>
      </c>
      <c r="CM38" s="1">
        <f t="shared" ca="1" si="33"/>
        <v>17</v>
      </c>
      <c r="CN38" s="1">
        <f t="shared" ref="CN38:CN62" ca="1" si="116">INDEX(CJ$37:CJ$62,CM38)</f>
        <v>1</v>
      </c>
      <c r="CO38" s="1">
        <f t="shared" ref="CO38:CO62" ca="1" si="117">IF(CN38=0,1,INDEX($D$37:$D$62,CM38))</f>
        <v>1</v>
      </c>
      <c r="CP38" s="1">
        <f t="shared" ref="CP38:CP62" ca="1" si="118">IF(CN38=0,"",IF(OR(CR38=CR37,CR38=CR39),CONCATENATE("=",RANK(CR38,CR$37:CR$62)),$A38))</f>
        <v>2</v>
      </c>
      <c r="CQ38" s="1" t="str">
        <f t="shared" ref="CQ38:CQ62" ca="1" si="119">IF(CN38=0,"",INDEX($C$37:$C$62,CM38))</f>
        <v>México</v>
      </c>
      <c r="CR38" s="1">
        <f t="shared" ca="1" si="34"/>
        <v>14.015862500000001</v>
      </c>
      <c r="CS38" s="1">
        <f t="shared" ca="1" si="35"/>
        <v>2012</v>
      </c>
      <c r="CW38" s="1">
        <f>MATCH(CONCATENATE($B38,"_",INDEX($C$4:$C33,CW$34)),lu_DataCode,0)</f>
        <v>160</v>
      </c>
      <c r="CX38" s="1">
        <f t="shared" ca="1" si="36"/>
        <v>2012</v>
      </c>
      <c r="CY38" s="1">
        <f t="shared" ca="1" si="37"/>
        <v>0.1183715</v>
      </c>
      <c r="CZ38" s="1">
        <f t="shared" ca="1" si="38"/>
        <v>1</v>
      </c>
      <c r="DA38" s="1">
        <f t="shared" ref="DA38:DA62" ca="1" si="120">IF(ISNUMBER(CY38),ROUND(CY38,6),IF(DA$34=0,-10000000000,100000000000))</f>
        <v>0.118372</v>
      </c>
      <c r="DB38" s="1">
        <f ca="1">RANK(DA38,DA$37:DA$62,DA$34)+COUNTIF(DA$37:DA38,DA38)-1</f>
        <v>17</v>
      </c>
      <c r="DC38" s="1">
        <f t="shared" ca="1" si="39"/>
        <v>6</v>
      </c>
      <c r="DD38" s="1">
        <f t="shared" ref="DD38:DD62" ca="1" si="121">INDEX(CZ$37:CZ$62,DC38)</f>
        <v>1</v>
      </c>
      <c r="DE38" s="1">
        <f t="shared" ref="DE38:DE62" ca="1" si="122">IF(DD38=0,1,INDEX($D$37:$D$62,DC38))</f>
        <v>1</v>
      </c>
      <c r="DF38" s="1">
        <f t="shared" ref="DF38:DF62" ca="1" si="123">IF(DD38=0,"",IF(OR(DH38=DH37,DH38=DH39),CONCATENATE("=",RANK(DH38,DH$37:DH$62)),$A38))</f>
        <v>2</v>
      </c>
      <c r="DG38" s="1" t="str">
        <f t="shared" ref="DG38:DG62" ca="1" si="124">IF(DD38=0,"",INDEX($C$37:$C$62,DC38))</f>
        <v>Brasil</v>
      </c>
      <c r="DH38" s="1">
        <f t="shared" ca="1" si="40"/>
        <v>6.7060000000000004</v>
      </c>
      <c r="DI38" s="1">
        <f t="shared" ca="1" si="41"/>
        <v>2012</v>
      </c>
      <c r="DM38" s="1">
        <f>MATCH(CONCATENATE($B38,"_",INDEX($C$4:$C33,DM$34)),lu_DataCode,0)</f>
        <v>184</v>
      </c>
      <c r="DN38" s="1">
        <f t="shared" ca="1" si="42"/>
        <v>2012</v>
      </c>
      <c r="DO38" s="1">
        <f t="shared" ca="1" si="43"/>
        <v>0.88939109999999999</v>
      </c>
      <c r="DP38" s="1">
        <f t="shared" ca="1" si="44"/>
        <v>1</v>
      </c>
      <c r="DQ38" s="1">
        <f t="shared" ref="DQ38:DQ62" ca="1" si="125">IF(ISNUMBER(DO38),ROUND(DO38,6),IF(DQ$34=0,-10000000000,100000000000))</f>
        <v>0.88939100000000004</v>
      </c>
      <c r="DR38" s="1">
        <f ca="1">RANK(DQ38,DQ$37:DQ$62,DQ$34)+COUNTIF(DQ$37:DQ38,DQ38)-1</f>
        <v>23</v>
      </c>
      <c r="DS38" s="1">
        <f t="shared" ca="1" si="45"/>
        <v>6</v>
      </c>
      <c r="DT38" s="1">
        <f t="shared" ref="DT38:DT62" ca="1" si="126">INDEX(DP$37:DP$62,DS38)</f>
        <v>1</v>
      </c>
      <c r="DU38" s="1">
        <f t="shared" ref="DU38:DU62" ca="1" si="127">IF(DT38=0,1,INDEX($D$37:$D$62,DS38))</f>
        <v>1</v>
      </c>
      <c r="DV38" s="1">
        <f t="shared" ref="DV38:DV62" ca="1" si="128">IF(DT38=0,"",IF(OR(DX38=DX37,DX38=DX39),CONCATENATE("=",RANK(DX38,DX$37:DX$62)),$A38))</f>
        <v>2</v>
      </c>
      <c r="DW38" s="1" t="str">
        <f t="shared" ref="DW38:DW62" ca="1" si="129">IF(DT38=0,"",INDEX($C$37:$C$62,DS38))</f>
        <v>Brasil</v>
      </c>
      <c r="DX38" s="1">
        <f t="shared" ca="1" si="46"/>
        <v>244.5488751</v>
      </c>
      <c r="DY38" s="1">
        <f t="shared" ca="1" si="47"/>
        <v>2012</v>
      </c>
      <c r="EC38" s="1">
        <f>MATCH(CONCATENATE($B38,"_",INDEX($C$4:$C33,EC$34)),lu_DataCode,0)</f>
        <v>210</v>
      </c>
      <c r="ED38" s="1">
        <f t="shared" ca="1" si="48"/>
        <v>2012</v>
      </c>
      <c r="EE38" s="1">
        <f t="shared" ca="1" si="49"/>
        <v>2795797.8879999998</v>
      </c>
      <c r="EF38" s="1">
        <f t="shared" ca="1" si="50"/>
        <v>1</v>
      </c>
      <c r="EG38" s="1">
        <f t="shared" ref="EG38:EG62" ca="1" si="130">IF(ISNUMBER(EE38),ROUND(EE38,6),IF(EG$34=0,-10000000000,100000000000))</f>
        <v>2795797.8879999998</v>
      </c>
      <c r="EH38" s="1">
        <f ca="1">RANK(EG38,EG$37:EG$62,EG$34)+COUNTIF(EG$37:EG38,EG38)-1</f>
        <v>19</v>
      </c>
      <c r="EI38" s="1">
        <f t="shared" ca="1" si="51"/>
        <v>8</v>
      </c>
      <c r="EJ38" s="1">
        <f t="shared" ref="EJ38:EJ62" ca="1" si="131">INDEX(EF$37:EF$62,EI38)</f>
        <v>1</v>
      </c>
      <c r="EK38" s="1">
        <f t="shared" ref="EK38:EK62" ca="1" si="132">IF(EJ38=0,1,INDEX($D$37:$D$62,EI38))</f>
        <v>1</v>
      </c>
      <c r="EL38" s="1">
        <f t="shared" ref="EL38:EL62" ca="1" si="133">IF(EJ38=0,"",IF(OR(EN38=EN37,EN38=EN39),CONCATENATE("=",RANK(EN38,EN$37:EN$62)),$A38))</f>
        <v>2</v>
      </c>
      <c r="EM38" s="1" t="str">
        <f t="shared" ref="EM38:EM62" ca="1" si="134">IF(EJ38=0,"",INDEX($C$37:$C$62,EI38))</f>
        <v>Colombia</v>
      </c>
      <c r="EN38" s="1">
        <f t="shared" ca="1" si="52"/>
        <v>129355981.10087</v>
      </c>
      <c r="EO38" s="1">
        <f t="shared" ca="1" si="53"/>
        <v>2012</v>
      </c>
      <c r="ES38" s="1">
        <f>MATCH(CONCATENATE($B38,"_",INDEX($C$4:$C33,ES$34)),lu_DataCode,0)</f>
        <v>235</v>
      </c>
      <c r="ET38" s="1">
        <f t="shared" ca="1" si="54"/>
        <v>2012</v>
      </c>
      <c r="EU38" s="1">
        <f t="shared" ca="1" si="55"/>
        <v>3.4392111999999999</v>
      </c>
      <c r="EV38" s="1">
        <f t="shared" ca="1" si="56"/>
        <v>1</v>
      </c>
      <c r="EW38" s="1">
        <f t="shared" ref="EW38:EW62" ca="1" si="135">IF(ISNUMBER(EU38),ROUND(EU38,6),IF(EW$34=0,-10000000000,100000000000))</f>
        <v>3.4392109999999998</v>
      </c>
      <c r="EX38" s="1">
        <f ca="1">RANK(EW38,EW$37:EW$62,EW$34)+COUNTIF(EW$37:EW38,EW38)-1</f>
        <v>21</v>
      </c>
      <c r="EY38" s="1">
        <f t="shared" ca="1" si="57"/>
        <v>6</v>
      </c>
      <c r="EZ38" s="1">
        <f t="shared" ref="EZ38:EZ62" ca="1" si="136">INDEX(EV$37:EV$62,EY38)</f>
        <v>1</v>
      </c>
      <c r="FA38" s="1">
        <f t="shared" ref="FA38:FA62" ca="1" si="137">IF(EZ38=0,1,INDEX($D$37:$D$62,EY38))</f>
        <v>1</v>
      </c>
      <c r="FB38" s="1">
        <f t="shared" ref="FB38:FB62" ca="1" si="138">IF(EZ38=0,"",IF(OR(FD38=FD37,FD38=FD39),CONCATENATE("=",RANK(FD38,FD$37:FD$62)),$A38))</f>
        <v>2</v>
      </c>
      <c r="FC38" s="1" t="str">
        <f t="shared" ref="FC38:FC62" ca="1" si="139">IF(EZ38=0,"",INDEX($C$37:$C$62,EY38))</f>
        <v>Brasil</v>
      </c>
      <c r="FD38" s="1">
        <f t="shared" ca="1" si="58"/>
        <v>226.3847342</v>
      </c>
      <c r="FE38" s="1">
        <f t="shared" ca="1" si="59"/>
        <v>2012</v>
      </c>
      <c r="FI38" s="1">
        <f>MATCH(CONCATENATE($B38,"_",INDEX($C$4:$C33,FI$34)),lu_DataCode,0)</f>
        <v>261</v>
      </c>
      <c r="FJ38" s="1">
        <f t="shared" ca="1" si="60"/>
        <v>2012</v>
      </c>
      <c r="FK38" s="1">
        <f t="shared" ca="1" si="61"/>
        <v>1615219.2509999999</v>
      </c>
      <c r="FL38" s="1">
        <f t="shared" ca="1" si="62"/>
        <v>1</v>
      </c>
      <c r="FM38" s="1">
        <f t="shared" ref="FM38:FM62" ca="1" si="140">IF(ISNUMBER(FK38),ROUND(FK38,6),IF(FM$34=0,-10000000000,100000000000))</f>
        <v>1615219.2509999999</v>
      </c>
      <c r="FN38" s="1">
        <f ca="1">RANK(FM38,FM$37:FM$62,FM$34)+COUNTIF(FM$37:FM38,FM38)-1</f>
        <v>21</v>
      </c>
      <c r="FO38" s="1">
        <f t="shared" ca="1" si="63"/>
        <v>6</v>
      </c>
      <c r="FP38" s="1">
        <f t="shared" ref="FP38:FP62" ca="1" si="141">INDEX(FL$37:FL$62,FO38)</f>
        <v>1</v>
      </c>
      <c r="FQ38" s="1">
        <f t="shared" ref="FQ38:FQ62" ca="1" si="142">IF(FP38=0,1,INDEX($D$37:$D$62,FO38))</f>
        <v>1</v>
      </c>
      <c r="FR38" s="1">
        <f t="shared" ref="FR38:FR62" ca="1" si="143">IF(FP38=0,"",IF(OR(FT38=FT37,FT38=FT39),CONCATENATE("=",RANK(FT38,FT$37:FT$62)),$A38))</f>
        <v>2</v>
      </c>
      <c r="FS38" s="1" t="str">
        <f t="shared" ref="FS38:FS62" ca="1" si="144">IF(FP38=0,"",INDEX($C$37:$C$62,FO38))</f>
        <v>Brasil</v>
      </c>
      <c r="FT38" s="1">
        <f t="shared" ca="1" si="64"/>
        <v>140958417.26899999</v>
      </c>
      <c r="FU38" s="1">
        <f t="shared" ca="1" si="65"/>
        <v>2012</v>
      </c>
      <c r="FY38" s="1" t="e">
        <f>MATCH(CONCATENATE($B38,"_",INDEX($C$4:$C33,FY$34)),lu_DataCode,0)</f>
        <v>#N/A</v>
      </c>
      <c r="FZ38" s="1" t="e">
        <f t="shared" ca="1" si="66"/>
        <v>#N/A</v>
      </c>
      <c r="GA38" s="1" t="e">
        <f t="shared" ca="1" si="67"/>
        <v>#N/A</v>
      </c>
      <c r="GB38" s="1">
        <f t="shared" ca="1" si="68"/>
        <v>0</v>
      </c>
      <c r="GC38" s="1">
        <f t="shared" ref="GC38:GC62" ca="1" si="145">IF(ISNUMBER(GA38),ROUND(GA38,6),IF(GC$34=0,-10000000000,100000000000))</f>
        <v>-10000000000</v>
      </c>
      <c r="GD38" s="1">
        <f ca="1">RANK(GC38,GC$37:GC$62,GC$34)+COUNTIF(GC$37:GC38,GC38)-1</f>
        <v>2</v>
      </c>
      <c r="GE38" s="1">
        <f t="shared" ca="1" si="69"/>
        <v>2</v>
      </c>
      <c r="GF38" s="1">
        <f t="shared" ref="GF38:GF62" ca="1" si="146">INDEX(GB$37:GB$62,GE38)</f>
        <v>0</v>
      </c>
      <c r="GG38" s="1">
        <f t="shared" ref="GG38:GG62" ca="1" si="147">IF(GF38=0,1,INDEX($D$37:$D$62,GE38))</f>
        <v>1</v>
      </c>
      <c r="GH38" s="1" t="str">
        <f t="shared" ref="GH38:GH62" ca="1" si="148">IF(GF38=0,"",IF(OR(GJ38=GJ37,GJ38=GJ39),CONCATENATE("=",RANK(GJ38,GJ$37:GJ$62)),$A38))</f>
        <v/>
      </c>
      <c r="GI38" s="1" t="str">
        <f t="shared" ref="GI38:GI62" ca="1" si="149">IF(GF38=0,"",INDEX($C$37:$C$62,GE38))</f>
        <v/>
      </c>
      <c r="GJ38" s="1" t="str">
        <f t="shared" ca="1" si="70"/>
        <v/>
      </c>
      <c r="GK38" s="1" t="str">
        <f t="shared" ca="1" si="71"/>
        <v/>
      </c>
      <c r="GO38" s="1" t="e">
        <f>MATCH(CONCATENATE($B38,"_",INDEX($C$4:$C33,GO$34)),lu_DataCode,0)</f>
        <v>#N/A</v>
      </c>
      <c r="GP38" s="1" t="e">
        <f t="shared" ca="1" si="72"/>
        <v>#N/A</v>
      </c>
      <c r="GQ38" s="1" t="e">
        <f t="shared" ca="1" si="73"/>
        <v>#N/A</v>
      </c>
      <c r="GR38" s="1">
        <f t="shared" ca="1" si="74"/>
        <v>0</v>
      </c>
      <c r="GS38" s="1">
        <f t="shared" ref="GS38:GS62" ca="1" si="150">IF(ISNUMBER(GQ38),ROUND(GQ38,6),IF(GS$34=0,-10000000000,100000000000))</f>
        <v>-10000000000</v>
      </c>
      <c r="GT38" s="1">
        <f ca="1">RANK(GS38,GS$37:GS$62,GS$34)+COUNTIF(GS$37:GS38,GS38)-1</f>
        <v>2</v>
      </c>
      <c r="GU38" s="1">
        <f t="shared" ca="1" si="75"/>
        <v>2</v>
      </c>
      <c r="GV38" s="1">
        <f t="shared" ref="GV38:GV62" ca="1" si="151">INDEX(GR$37:GR$62,GU38)</f>
        <v>0</v>
      </c>
      <c r="GW38" s="1">
        <f t="shared" ref="GW38:GW62" ca="1" si="152">IF(GV38=0,1,INDEX($D$37:$D$62,GU38))</f>
        <v>1</v>
      </c>
      <c r="GX38" s="1" t="str">
        <f t="shared" ref="GX38:GX62" ca="1" si="153">IF(GV38=0,"",IF(OR(GZ38=GZ37,GZ38=GZ39),CONCATENATE("=",RANK(GZ38,GZ$37:GZ$62)),$A38))</f>
        <v/>
      </c>
      <c r="GY38" s="1" t="str">
        <f t="shared" ref="GY38:GY62" ca="1" si="154">IF(GV38=0,"",INDEX($C$37:$C$62,GU38))</f>
        <v/>
      </c>
      <c r="GZ38" s="1" t="str">
        <f t="shared" ca="1" si="76"/>
        <v/>
      </c>
      <c r="HA38" s="1" t="str">
        <f t="shared" ca="1" si="77"/>
        <v/>
      </c>
      <c r="HE38" s="1" t="e">
        <f>MATCH(CONCATENATE($B38,"_",INDEX($C$4:$C33,HE$34)),lu_DataCode,0)</f>
        <v>#N/A</v>
      </c>
      <c r="HF38" s="1" t="e">
        <f t="shared" ca="1" si="78"/>
        <v>#N/A</v>
      </c>
      <c r="HG38" s="1" t="e">
        <f t="shared" ca="1" si="79"/>
        <v>#N/A</v>
      </c>
      <c r="HH38" s="1">
        <f t="shared" ca="1" si="80"/>
        <v>0</v>
      </c>
      <c r="HI38" s="1">
        <f t="shared" ref="HI38:HI62" ca="1" si="155">IF(ISNUMBER(HG38),ROUND(HG38,6),IF(HI$34=0,-10000000000,100000000000))</f>
        <v>-10000000000</v>
      </c>
      <c r="HJ38" s="1">
        <f ca="1">RANK(HI38,HI$37:HI$62,HI$34)+COUNTIF(HI$37:HI38,HI38)-1</f>
        <v>2</v>
      </c>
      <c r="HK38" s="1">
        <f t="shared" ca="1" si="81"/>
        <v>2</v>
      </c>
      <c r="HL38" s="1">
        <f t="shared" ref="HL38:HL62" ca="1" si="156">INDEX(HH$37:HH$62,HK38)</f>
        <v>0</v>
      </c>
      <c r="HM38" s="1">
        <f t="shared" ref="HM38:HM62" ca="1" si="157">IF(HL38=0,1,INDEX($D$37:$D$62,HK38))</f>
        <v>1</v>
      </c>
      <c r="HN38" s="1" t="str">
        <f t="shared" ref="HN38:HN62" ca="1" si="158">IF(HL38=0,"",IF(OR(HP38=HP37,HP38=HP39),CONCATENATE("=",RANK(HP38,HP$37:HP$62)),$A38))</f>
        <v/>
      </c>
      <c r="HO38" s="1" t="str">
        <f t="shared" ref="HO38:HO62" ca="1" si="159">IF(HL38=0,"",INDEX($C$37:$C$62,HK38))</f>
        <v/>
      </c>
      <c r="HP38" s="1" t="str">
        <f t="shared" ca="1" si="82"/>
        <v/>
      </c>
      <c r="HQ38" s="1" t="str">
        <f t="shared" ca="1" si="83"/>
        <v/>
      </c>
      <c r="HU38" s="1" t="e">
        <f>MATCH(CONCATENATE($B38,"_",INDEX($C$4:$C33,HU$34)),lu_DataCode,0)</f>
        <v>#N/A</v>
      </c>
      <c r="HV38" s="1" t="e">
        <f t="shared" ca="1" si="84"/>
        <v>#N/A</v>
      </c>
      <c r="HW38" s="1" t="e">
        <f t="shared" ca="1" si="85"/>
        <v>#N/A</v>
      </c>
      <c r="HX38" s="1">
        <f t="shared" ca="1" si="86"/>
        <v>0</v>
      </c>
      <c r="HY38" s="1">
        <f t="shared" ref="HY38:HY62" ca="1" si="160">IF(ISNUMBER(HW38),ROUND(HW38,6),IF(HY$34=0,-10000000000,100000000000))</f>
        <v>-10000000000</v>
      </c>
      <c r="HZ38" s="1">
        <f ca="1">RANK(HY38,HY$37:HY$62,HY$34)+COUNTIF(HY$37:HY38,HY38)-1</f>
        <v>2</v>
      </c>
      <c r="IA38" s="1">
        <f t="shared" ca="1" si="87"/>
        <v>2</v>
      </c>
      <c r="IB38" s="1">
        <f t="shared" ref="IB38:IB62" ca="1" si="161">INDEX(HX$37:HX$62,IA38)</f>
        <v>0</v>
      </c>
      <c r="IC38" s="1">
        <f t="shared" ref="IC38:IC62" ca="1" si="162">IF(IB38=0,1,INDEX($D$37:$D$62,IA38))</f>
        <v>1</v>
      </c>
      <c r="ID38" s="1" t="str">
        <f t="shared" ref="ID38:ID62" ca="1" si="163">IF(IB38=0,"",IF(OR(IF38=IF37,IF38=IF39),CONCATENATE("=",RANK(IF38,IF$37:IF$62)),$A38))</f>
        <v/>
      </c>
      <c r="IE38" s="1" t="str">
        <f t="shared" ref="IE38:IE62" ca="1" si="164">IF(IB38=0,"",INDEX($C$37:$C$62,IA38))</f>
        <v/>
      </c>
      <c r="IF38" s="1" t="str">
        <f t="shared" ca="1" si="88"/>
        <v/>
      </c>
      <c r="IG38" s="1" t="str">
        <f t="shared" ca="1" si="89"/>
        <v/>
      </c>
    </row>
    <row r="39" spans="1:241" ht="10.15" x14ac:dyDescent="0.2">
      <c r="A39" s="1">
        <v>3</v>
      </c>
      <c r="B39" s="1" t="str">
        <f>tblCountries!E5</f>
        <v>NAC_BB_1</v>
      </c>
      <c r="C39" s="1" t="str">
        <f>tblCountries!C5</f>
        <v>Barbados</v>
      </c>
      <c r="D39" s="1">
        <f>tblCountries!D5</f>
        <v>1</v>
      </c>
      <c r="E39" s="1">
        <f>MATCH(CONCATENATE($B39,"_",INDEX($C$4:$C34,E$34)),lu_DataCode,0)</f>
        <v>2</v>
      </c>
      <c r="F39" s="1">
        <f t="shared" ca="1" si="0"/>
        <v>2012</v>
      </c>
      <c r="G39" s="1">
        <f t="shared" ca="1" si="1"/>
        <v>6.6200117764503199</v>
      </c>
      <c r="H39" s="1">
        <f t="shared" ca="1" si="2"/>
        <v>1</v>
      </c>
      <c r="I39" s="1">
        <f t="shared" ca="1" si="90"/>
        <v>6.620012</v>
      </c>
      <c r="J39" s="1">
        <f ca="1">RANK(I39,I$37:I$62,I$34)+COUNTIF(I$37:I39,I39)-1</f>
        <v>11</v>
      </c>
      <c r="K39" s="1">
        <f t="shared" ca="1" si="3"/>
        <v>16</v>
      </c>
      <c r="L39" s="1">
        <f t="shared" ca="1" si="91"/>
        <v>1</v>
      </c>
      <c r="M39" s="1">
        <f t="shared" ca="1" si="92"/>
        <v>1</v>
      </c>
      <c r="N39" s="1">
        <f t="shared" ca="1" si="93"/>
        <v>3</v>
      </c>
      <c r="O39" s="1" t="str">
        <f t="shared" ca="1" si="94"/>
        <v>Jamaica</v>
      </c>
      <c r="P39" s="1">
        <f t="shared" ca="1" si="4"/>
        <v>8.0450017908396898</v>
      </c>
      <c r="Q39" s="1">
        <f t="shared" ca="1" si="5"/>
        <v>2012</v>
      </c>
      <c r="U39" s="1">
        <f>MATCH(CONCATENATE($B39,"_",INDEX($C$4:$C34,U$34)),lu_DataCode,0)</f>
        <v>27</v>
      </c>
      <c r="V39" s="1">
        <f t="shared" ca="1" si="6"/>
        <v>2012</v>
      </c>
      <c r="W39" s="1">
        <f t="shared" ca="1" si="7"/>
        <v>0.27451900000000001</v>
      </c>
      <c r="X39" s="1">
        <f t="shared" ca="1" si="8"/>
        <v>1</v>
      </c>
      <c r="Y39" s="1">
        <f t="shared" ca="1" si="95"/>
        <v>0.27451900000000001</v>
      </c>
      <c r="Z39" s="1">
        <f ca="1">RANK(Y39,Y$37:Y$62,Y$34)+COUNTIF(Y$37:Y39,Y39)-1</f>
        <v>26</v>
      </c>
      <c r="AA39" s="1">
        <f t="shared" ca="1" si="9"/>
        <v>8</v>
      </c>
      <c r="AB39" s="1">
        <f t="shared" ca="1" si="96"/>
        <v>1</v>
      </c>
      <c r="AC39" s="1">
        <f t="shared" ca="1" si="97"/>
        <v>1</v>
      </c>
      <c r="AD39" s="1">
        <f t="shared" ca="1" si="98"/>
        <v>3</v>
      </c>
      <c r="AE39" s="1" t="str">
        <f t="shared" ca="1" si="99"/>
        <v>Colombia</v>
      </c>
      <c r="AF39" s="1">
        <f t="shared" ca="1" si="10"/>
        <v>46.597999999999999</v>
      </c>
      <c r="AG39" s="1">
        <f t="shared" ca="1" si="11"/>
        <v>2012</v>
      </c>
      <c r="AK39" s="1">
        <f>MATCH(CONCATENATE($B39,"_",INDEX($C$4:$C34,AK$34)),lu_DataCode,0)</f>
        <v>53</v>
      </c>
      <c r="AL39" s="1">
        <f t="shared" ca="1" si="12"/>
        <v>2012</v>
      </c>
      <c r="AM39" s="1">
        <f t="shared" ca="1" si="13"/>
        <v>430</v>
      </c>
      <c r="AN39" s="1">
        <f t="shared" ca="1" si="14"/>
        <v>1</v>
      </c>
      <c r="AO39" s="1">
        <f t="shared" ca="1" si="100"/>
        <v>430</v>
      </c>
      <c r="AP39" s="1">
        <f ca="1">RANK(AO39,AO$37:AO$62,AO$34)+COUNTIF(AO$37:AO39,AO39)-1</f>
        <v>26</v>
      </c>
      <c r="AQ39" s="1">
        <f t="shared" ca="1" si="15"/>
        <v>17</v>
      </c>
      <c r="AR39" s="1">
        <f t="shared" ca="1" si="101"/>
        <v>1</v>
      </c>
      <c r="AS39" s="1">
        <f t="shared" ca="1" si="102"/>
        <v>1</v>
      </c>
      <c r="AT39" s="1">
        <f t="shared" ca="1" si="103"/>
        <v>3</v>
      </c>
      <c r="AU39" s="1" t="str">
        <f t="shared" ca="1" si="104"/>
        <v>México</v>
      </c>
      <c r="AV39" s="1">
        <f t="shared" ca="1" si="16"/>
        <v>1964380</v>
      </c>
      <c r="AW39" s="1">
        <f t="shared" ca="1" si="17"/>
        <v>2012</v>
      </c>
      <c r="BA39" s="1">
        <f>MATCH(CONCATENATE($B39,"_",INDEX($C$4:$C34,BA$34)),lu_DataCode,0)</f>
        <v>79</v>
      </c>
      <c r="BB39" s="1">
        <f t="shared" ca="1" si="18"/>
        <v>2012</v>
      </c>
      <c r="BC39" s="1">
        <f t="shared" ca="1" si="19"/>
        <v>4.5330000000000004</v>
      </c>
      <c r="BD39" s="1">
        <f t="shared" ca="1" si="20"/>
        <v>1</v>
      </c>
      <c r="BE39" s="1">
        <f t="shared" ca="1" si="105"/>
        <v>4.5330000000000004</v>
      </c>
      <c r="BF39" s="1">
        <f ca="1">RANK(BE39,BE$37:BE$62,BE$34)+COUNTIF(BE$37:BE39,BE39)-1</f>
        <v>24</v>
      </c>
      <c r="BG39" s="1">
        <f t="shared" ca="1" si="21"/>
        <v>1</v>
      </c>
      <c r="BH39" s="1">
        <f t="shared" ca="1" si="106"/>
        <v>1</v>
      </c>
      <c r="BI39" s="1">
        <f t="shared" ca="1" si="107"/>
        <v>1</v>
      </c>
      <c r="BJ39" s="1">
        <f t="shared" ca="1" si="108"/>
        <v>3</v>
      </c>
      <c r="BK39" s="1" t="str">
        <f t="shared" ca="1" si="109"/>
        <v>Argentina</v>
      </c>
      <c r="BL39" s="1">
        <f t="shared" ca="1" si="22"/>
        <v>474.81200000000001</v>
      </c>
      <c r="BM39" s="1">
        <f t="shared" ca="1" si="23"/>
        <v>2012</v>
      </c>
      <c r="BQ39" s="1">
        <f>MATCH(CONCATENATE($B39,"_",INDEX($C$4:$C34,BQ$34)),lu_DataCode,0)</f>
        <v>105</v>
      </c>
      <c r="BR39" s="1">
        <f t="shared" ca="1" si="24"/>
        <v>2012</v>
      </c>
      <c r="BS39" s="1">
        <f t="shared" ca="1" si="25"/>
        <v>7.0910000000000002</v>
      </c>
      <c r="BT39" s="1">
        <f t="shared" ca="1" si="26"/>
        <v>1</v>
      </c>
      <c r="BU39" s="1">
        <f t="shared" ca="1" si="110"/>
        <v>7.0910000000000002</v>
      </c>
      <c r="BV39" s="1">
        <f ca="1">RANK(BU39,BU$37:BU$62,BU$34)+COUNTIF(BU$37:BU39,BU39)-1</f>
        <v>23</v>
      </c>
      <c r="BW39" s="1">
        <f t="shared" ca="1" si="27"/>
        <v>1</v>
      </c>
      <c r="BX39" s="1">
        <f t="shared" ca="1" si="111"/>
        <v>1</v>
      </c>
      <c r="BY39" s="1">
        <f t="shared" ca="1" si="112"/>
        <v>1</v>
      </c>
      <c r="BZ39" s="1">
        <f t="shared" ca="1" si="113"/>
        <v>3</v>
      </c>
      <c r="CA39" s="1" t="str">
        <f t="shared" ca="1" si="114"/>
        <v>Argentina</v>
      </c>
      <c r="CB39" s="1">
        <f t="shared" ca="1" si="28"/>
        <v>746.92700000000002</v>
      </c>
      <c r="CC39" s="1">
        <f t="shared" ca="1" si="29"/>
        <v>2012</v>
      </c>
      <c r="CG39" s="1">
        <f>MATCH(CONCATENATE($B39,"_",INDEX($C$4:$C34,CG$34)),lu_DataCode,0)</f>
        <v>131</v>
      </c>
      <c r="CH39" s="1">
        <f t="shared" ca="1" si="30"/>
        <v>2012</v>
      </c>
      <c r="CI39" s="1">
        <f t="shared" ca="1" si="31"/>
        <v>0.16877030000000001</v>
      </c>
      <c r="CJ39" s="1">
        <f t="shared" ca="1" si="32"/>
        <v>1</v>
      </c>
      <c r="CK39" s="1">
        <f t="shared" ca="1" si="115"/>
        <v>0.16877</v>
      </c>
      <c r="CL39" s="1">
        <f ca="1">RANK(CK39,CK$37:CK$62,CK$34)+COUNTIF(CK$37:CK39,CK39)-1</f>
        <v>23</v>
      </c>
      <c r="CM39" s="1">
        <f t="shared" ca="1" si="33"/>
        <v>7</v>
      </c>
      <c r="CN39" s="1">
        <f t="shared" ca="1" si="116"/>
        <v>1</v>
      </c>
      <c r="CO39" s="1">
        <f t="shared" ca="1" si="117"/>
        <v>1</v>
      </c>
      <c r="CP39" s="1">
        <f t="shared" ca="1" si="118"/>
        <v>3</v>
      </c>
      <c r="CQ39" s="1" t="str">
        <f t="shared" ca="1" si="119"/>
        <v>Chile</v>
      </c>
      <c r="CR39" s="1">
        <f t="shared" ca="1" si="34"/>
        <v>7.1905953890000003</v>
      </c>
      <c r="CS39" s="1">
        <f t="shared" ca="1" si="35"/>
        <v>2012</v>
      </c>
      <c r="CW39" s="1">
        <f>MATCH(CONCATENATE($B39,"_",INDEX($C$4:$C34,CW$34)),lu_DataCode,0)</f>
        <v>157</v>
      </c>
      <c r="CX39" s="1">
        <f t="shared" ca="1" si="36"/>
        <v>2012</v>
      </c>
      <c r="CY39" s="1">
        <f t="shared" ca="1" si="37"/>
        <v>4.4231699999999999E-2</v>
      </c>
      <c r="CZ39" s="1">
        <f t="shared" ca="1" si="38"/>
        <v>1</v>
      </c>
      <c r="DA39" s="1">
        <f t="shared" ca="1" si="120"/>
        <v>4.4232E-2</v>
      </c>
      <c r="DB39" s="1">
        <f ca="1">RANK(DA39,DA$37:DA$62,DA$34)+COUNTIF(DA$37:DA39,DA39)-1</f>
        <v>21</v>
      </c>
      <c r="DC39" s="1">
        <f t="shared" ca="1" si="39"/>
        <v>19</v>
      </c>
      <c r="DD39" s="1">
        <f t="shared" ca="1" si="121"/>
        <v>1</v>
      </c>
      <c r="DE39" s="1">
        <f t="shared" ca="1" si="122"/>
        <v>1</v>
      </c>
      <c r="DF39" s="1">
        <f t="shared" ca="1" si="123"/>
        <v>3</v>
      </c>
      <c r="DG39" s="1" t="str">
        <f t="shared" ca="1" si="124"/>
        <v>Panamá</v>
      </c>
      <c r="DH39" s="1">
        <f t="shared" ca="1" si="40"/>
        <v>4.5293999999999999</v>
      </c>
      <c r="DI39" s="1">
        <f t="shared" ca="1" si="41"/>
        <v>2012</v>
      </c>
      <c r="DM39" s="1">
        <f>MATCH(CONCATENATE($B39,"_",INDEX($C$4:$C34,DM$34)),lu_DataCode,0)</f>
        <v>181</v>
      </c>
      <c r="DN39" s="1">
        <f t="shared" ca="1" si="42"/>
        <v>2012</v>
      </c>
      <c r="DO39" s="1">
        <f t="shared" ca="1" si="43"/>
        <v>0.47486099999999998</v>
      </c>
      <c r="DP39" s="1">
        <f t="shared" ca="1" si="44"/>
        <v>1</v>
      </c>
      <c r="DQ39" s="1">
        <f t="shared" ca="1" si="125"/>
        <v>0.47486099999999998</v>
      </c>
      <c r="DR39" s="1">
        <f ca="1">RANK(DQ39,DQ$37:DQ$62,DQ$34)+COUNTIF(DQ$37:DQ39,DQ39)-1</f>
        <v>26</v>
      </c>
      <c r="DS39" s="1">
        <f t="shared" ca="1" si="45"/>
        <v>26</v>
      </c>
      <c r="DT39" s="1">
        <f t="shared" ca="1" si="126"/>
        <v>1</v>
      </c>
      <c r="DU39" s="1">
        <f t="shared" ca="1" si="127"/>
        <v>1</v>
      </c>
      <c r="DV39" s="1">
        <f t="shared" ca="1" si="128"/>
        <v>3</v>
      </c>
      <c r="DW39" s="1" t="str">
        <f t="shared" ca="1" si="129"/>
        <v>Venezuela</v>
      </c>
      <c r="DX39" s="1">
        <f t="shared" ca="1" si="46"/>
        <v>96.461419800000002</v>
      </c>
      <c r="DY39" s="1">
        <f t="shared" ca="1" si="47"/>
        <v>2012</v>
      </c>
      <c r="EC39" s="1">
        <f>MATCH(CONCATENATE($B39,"_",INDEX($C$4:$C34,EC$34)),lu_DataCode,0)</f>
        <v>207</v>
      </c>
      <c r="ED39" s="1">
        <f t="shared" ca="1" si="48"/>
        <v>2012</v>
      </c>
      <c r="EE39" s="1">
        <f t="shared" ca="1" si="49"/>
        <v>499678.22700000001</v>
      </c>
      <c r="EF39" s="1">
        <f t="shared" ca="1" si="50"/>
        <v>1</v>
      </c>
      <c r="EG39" s="1">
        <f t="shared" ca="1" si="130"/>
        <v>499678.22700000001</v>
      </c>
      <c r="EH39" s="1">
        <f ca="1">RANK(EG39,EG$37:EG$62,EG$34)+COUNTIF(EG$37:EG39,EG39)-1</f>
        <v>24</v>
      </c>
      <c r="EI39" s="1">
        <f t="shared" ca="1" si="51"/>
        <v>26</v>
      </c>
      <c r="EJ39" s="1">
        <f t="shared" ca="1" si="131"/>
        <v>1</v>
      </c>
      <c r="EK39" s="1">
        <f t="shared" ca="1" si="132"/>
        <v>1</v>
      </c>
      <c r="EL39" s="1">
        <f t="shared" ca="1" si="133"/>
        <v>3</v>
      </c>
      <c r="EM39" s="1" t="str">
        <f t="shared" ca="1" si="134"/>
        <v>Venezuela</v>
      </c>
      <c r="EN39" s="1">
        <f t="shared" ca="1" si="52"/>
        <v>117437477.006</v>
      </c>
      <c r="EO39" s="1">
        <f t="shared" ca="1" si="53"/>
        <v>2012</v>
      </c>
      <c r="ES39" s="1">
        <f>MATCH(CONCATENATE($B39,"_",INDEX($C$4:$C34,ES$34)),lu_DataCode,0)</f>
        <v>232</v>
      </c>
      <c r="ET39" s="1">
        <f t="shared" ca="1" si="54"/>
        <v>2012</v>
      </c>
      <c r="EU39" s="1">
        <f t="shared" ca="1" si="55"/>
        <v>1.8449346</v>
      </c>
      <c r="EV39" s="1">
        <f t="shared" ca="1" si="56"/>
        <v>1</v>
      </c>
      <c r="EW39" s="1">
        <f t="shared" ca="1" si="135"/>
        <v>1.844935</v>
      </c>
      <c r="EX39" s="1">
        <f ca="1">RANK(EW39,EW$37:EW$62,EW$34)+COUNTIF(EW$37:EW39,EW39)-1</f>
        <v>24</v>
      </c>
      <c r="EY39" s="1">
        <f t="shared" ca="1" si="57"/>
        <v>7</v>
      </c>
      <c r="EZ39" s="1">
        <f t="shared" ca="1" si="136"/>
        <v>1</v>
      </c>
      <c r="FA39" s="1">
        <f t="shared" ca="1" si="137"/>
        <v>1</v>
      </c>
      <c r="FB39" s="1">
        <f t="shared" ca="1" si="138"/>
        <v>3</v>
      </c>
      <c r="FC39" s="1" t="str">
        <f t="shared" ca="1" si="139"/>
        <v>Chile</v>
      </c>
      <c r="FD39" s="1">
        <f t="shared" ca="1" si="58"/>
        <v>74.855107519000001</v>
      </c>
      <c r="FE39" s="1">
        <f t="shared" ca="1" si="59"/>
        <v>2012</v>
      </c>
      <c r="FI39" s="1">
        <f>MATCH(CONCATENATE($B39,"_",INDEX($C$4:$C34,FI$34)),lu_DataCode,0)</f>
        <v>258</v>
      </c>
      <c r="FJ39" s="1">
        <f t="shared" ca="1" si="60"/>
        <v>2012</v>
      </c>
      <c r="FK39" s="1">
        <f t="shared" ca="1" si="61"/>
        <v>1146542.4569999999</v>
      </c>
      <c r="FL39" s="1">
        <f t="shared" ca="1" si="62"/>
        <v>1</v>
      </c>
      <c r="FM39" s="1">
        <f t="shared" ca="1" si="140"/>
        <v>1146542.4569999999</v>
      </c>
      <c r="FN39" s="1">
        <f ca="1">RANK(FM39,FM$37:FM$62,FM$34)+COUNTIF(FM$37:FM39,FM39)-1</f>
        <v>22</v>
      </c>
      <c r="FO39" s="1">
        <f t="shared" ca="1" si="63"/>
        <v>7</v>
      </c>
      <c r="FP39" s="1">
        <f t="shared" ca="1" si="141"/>
        <v>1</v>
      </c>
      <c r="FQ39" s="1">
        <f t="shared" ca="1" si="142"/>
        <v>1</v>
      </c>
      <c r="FR39" s="1">
        <f t="shared" ca="1" si="143"/>
        <v>3</v>
      </c>
      <c r="FS39" s="1" t="str">
        <f t="shared" ca="1" si="144"/>
        <v>Chile</v>
      </c>
      <c r="FT39" s="1">
        <f t="shared" ca="1" si="64"/>
        <v>52120843.663999997</v>
      </c>
      <c r="FU39" s="1">
        <f t="shared" ca="1" si="65"/>
        <v>2012</v>
      </c>
      <c r="FY39" s="1" t="e">
        <f>MATCH(CONCATENATE($B39,"_",INDEX($C$4:$C34,FY$34)),lu_DataCode,0)</f>
        <v>#N/A</v>
      </c>
      <c r="FZ39" s="1" t="e">
        <f t="shared" ca="1" si="66"/>
        <v>#N/A</v>
      </c>
      <c r="GA39" s="1" t="e">
        <f t="shared" ca="1" si="67"/>
        <v>#N/A</v>
      </c>
      <c r="GB39" s="1">
        <f t="shared" ca="1" si="68"/>
        <v>0</v>
      </c>
      <c r="GC39" s="1">
        <f t="shared" ca="1" si="145"/>
        <v>-10000000000</v>
      </c>
      <c r="GD39" s="1">
        <f ca="1">RANK(GC39,GC$37:GC$62,GC$34)+COUNTIF(GC$37:GC39,GC39)-1</f>
        <v>3</v>
      </c>
      <c r="GE39" s="1">
        <f t="shared" ca="1" si="69"/>
        <v>3</v>
      </c>
      <c r="GF39" s="1">
        <f t="shared" ca="1" si="146"/>
        <v>0</v>
      </c>
      <c r="GG39" s="1">
        <f t="shared" ca="1" si="147"/>
        <v>1</v>
      </c>
      <c r="GH39" s="1" t="str">
        <f t="shared" ca="1" si="148"/>
        <v/>
      </c>
      <c r="GI39" s="1" t="str">
        <f t="shared" ca="1" si="149"/>
        <v/>
      </c>
      <c r="GJ39" s="1" t="str">
        <f t="shared" ca="1" si="70"/>
        <v/>
      </c>
      <c r="GK39" s="1" t="str">
        <f t="shared" ca="1" si="71"/>
        <v/>
      </c>
      <c r="GO39" s="1" t="e">
        <f>MATCH(CONCATENATE($B39,"_",INDEX($C$4:$C34,GO$34)),lu_DataCode,0)</f>
        <v>#N/A</v>
      </c>
      <c r="GP39" s="1" t="e">
        <f t="shared" ca="1" si="72"/>
        <v>#N/A</v>
      </c>
      <c r="GQ39" s="1" t="e">
        <f t="shared" ca="1" si="73"/>
        <v>#N/A</v>
      </c>
      <c r="GR39" s="1">
        <f t="shared" ca="1" si="74"/>
        <v>0</v>
      </c>
      <c r="GS39" s="1">
        <f t="shared" ca="1" si="150"/>
        <v>-10000000000</v>
      </c>
      <c r="GT39" s="1">
        <f ca="1">RANK(GS39,GS$37:GS$62,GS$34)+COUNTIF(GS$37:GS39,GS39)-1</f>
        <v>3</v>
      </c>
      <c r="GU39" s="1">
        <f t="shared" ca="1" si="75"/>
        <v>3</v>
      </c>
      <c r="GV39" s="1">
        <f t="shared" ca="1" si="151"/>
        <v>0</v>
      </c>
      <c r="GW39" s="1">
        <f t="shared" ca="1" si="152"/>
        <v>1</v>
      </c>
      <c r="GX39" s="1" t="str">
        <f t="shared" ca="1" si="153"/>
        <v/>
      </c>
      <c r="GY39" s="1" t="str">
        <f t="shared" ca="1" si="154"/>
        <v/>
      </c>
      <c r="GZ39" s="1" t="str">
        <f t="shared" ca="1" si="76"/>
        <v/>
      </c>
      <c r="HA39" s="1" t="str">
        <f t="shared" ca="1" si="77"/>
        <v/>
      </c>
      <c r="HE39" s="1" t="e">
        <f>MATCH(CONCATENATE($B39,"_",INDEX($C$4:$C34,HE$34)),lu_DataCode,0)</f>
        <v>#N/A</v>
      </c>
      <c r="HF39" s="1" t="e">
        <f t="shared" ca="1" si="78"/>
        <v>#N/A</v>
      </c>
      <c r="HG39" s="1" t="e">
        <f t="shared" ca="1" si="79"/>
        <v>#N/A</v>
      </c>
      <c r="HH39" s="1">
        <f t="shared" ca="1" si="80"/>
        <v>0</v>
      </c>
      <c r="HI39" s="1">
        <f t="shared" ca="1" si="155"/>
        <v>-10000000000</v>
      </c>
      <c r="HJ39" s="1">
        <f ca="1">RANK(HI39,HI$37:HI$62,HI$34)+COUNTIF(HI$37:HI39,HI39)-1</f>
        <v>3</v>
      </c>
      <c r="HK39" s="1">
        <f t="shared" ca="1" si="81"/>
        <v>3</v>
      </c>
      <c r="HL39" s="1">
        <f t="shared" ca="1" si="156"/>
        <v>0</v>
      </c>
      <c r="HM39" s="1">
        <f t="shared" ca="1" si="157"/>
        <v>1</v>
      </c>
      <c r="HN39" s="1" t="str">
        <f t="shared" ca="1" si="158"/>
        <v/>
      </c>
      <c r="HO39" s="1" t="str">
        <f t="shared" ca="1" si="159"/>
        <v/>
      </c>
      <c r="HP39" s="1" t="str">
        <f t="shared" ca="1" si="82"/>
        <v/>
      </c>
      <c r="HQ39" s="1" t="str">
        <f t="shared" ca="1" si="83"/>
        <v/>
      </c>
      <c r="HU39" s="1" t="e">
        <f>MATCH(CONCATENATE($B39,"_",INDEX($C$4:$C34,HU$34)),lu_DataCode,0)</f>
        <v>#N/A</v>
      </c>
      <c r="HV39" s="1" t="e">
        <f t="shared" ca="1" si="84"/>
        <v>#N/A</v>
      </c>
      <c r="HW39" s="1" t="e">
        <f t="shared" ca="1" si="85"/>
        <v>#N/A</v>
      </c>
      <c r="HX39" s="1">
        <f t="shared" ca="1" si="86"/>
        <v>0</v>
      </c>
      <c r="HY39" s="1">
        <f t="shared" ca="1" si="160"/>
        <v>-10000000000</v>
      </c>
      <c r="HZ39" s="1">
        <f ca="1">RANK(HY39,HY$37:HY$62,HY$34)+COUNTIF(HY$37:HY39,HY39)-1</f>
        <v>3</v>
      </c>
      <c r="IA39" s="1">
        <f t="shared" ca="1" si="87"/>
        <v>3</v>
      </c>
      <c r="IB39" s="1">
        <f t="shared" ca="1" si="161"/>
        <v>0</v>
      </c>
      <c r="IC39" s="1">
        <f t="shared" ca="1" si="162"/>
        <v>1</v>
      </c>
      <c r="ID39" s="1" t="str">
        <f t="shared" ca="1" si="163"/>
        <v/>
      </c>
      <c r="IE39" s="1" t="str">
        <f t="shared" ca="1" si="164"/>
        <v/>
      </c>
      <c r="IF39" s="1" t="str">
        <f t="shared" ca="1" si="88"/>
        <v/>
      </c>
      <c r="IG39" s="1" t="str">
        <f t="shared" ca="1" si="89"/>
        <v/>
      </c>
    </row>
    <row r="40" spans="1:241" ht="10.15" x14ac:dyDescent="0.2">
      <c r="A40" s="1">
        <v>4</v>
      </c>
      <c r="B40" s="1" t="str">
        <f>tblCountries!E6</f>
        <v>NAC_BZ_1</v>
      </c>
      <c r="C40" s="1" t="str">
        <f>tblCountries!C6</f>
        <v>Belize</v>
      </c>
      <c r="D40" s="1">
        <f>tblCountries!D6</f>
        <v>1</v>
      </c>
      <c r="E40" s="1">
        <f>MATCH(CONCATENATE($B40,"_",INDEX($C$4:$C35,E$34)),lu_DataCode,0)</f>
        <v>17</v>
      </c>
      <c r="F40" s="1">
        <f t="shared" ca="1" si="0"/>
        <v>2012</v>
      </c>
      <c r="G40" s="1">
        <f t="shared" ca="1" si="1"/>
        <v>3.6146611585719599</v>
      </c>
      <c r="H40" s="1">
        <f t="shared" ca="1" si="2"/>
        <v>1</v>
      </c>
      <c r="I40" s="1">
        <f t="shared" ca="1" si="90"/>
        <v>3.6146609999999999</v>
      </c>
      <c r="J40" s="1">
        <f ca="1">RANK(I40,I$37:I$62,I$34)+COUNTIF(I$37:I40,I40)-1</f>
        <v>23</v>
      </c>
      <c r="K40" s="1">
        <f t="shared" ca="1" si="3"/>
        <v>12</v>
      </c>
      <c r="L40" s="1">
        <f t="shared" ca="1" si="91"/>
        <v>1</v>
      </c>
      <c r="M40" s="1">
        <f t="shared" ca="1" si="92"/>
        <v>1</v>
      </c>
      <c r="N40" s="1">
        <f t="shared" ca="1" si="93"/>
        <v>4</v>
      </c>
      <c r="O40" s="1" t="str">
        <f t="shared" ca="1" si="94"/>
        <v>Guatemala</v>
      </c>
      <c r="P40" s="1">
        <f t="shared" ca="1" si="4"/>
        <v>7.8</v>
      </c>
      <c r="Q40" s="1">
        <f t="shared" ca="1" si="5"/>
        <v>2012</v>
      </c>
      <c r="U40" s="1">
        <f>MATCH(CONCATENATE($B40,"_",INDEX($C$4:$C35,U$34)),lu_DataCode,0)</f>
        <v>42</v>
      </c>
      <c r="V40" s="1">
        <f t="shared" ca="1" si="6"/>
        <v>2012</v>
      </c>
      <c r="W40" s="1">
        <f t="shared" ca="1" si="7"/>
        <v>0.34195588378800001</v>
      </c>
      <c r="X40" s="1">
        <f t="shared" ca="1" si="8"/>
        <v>1</v>
      </c>
      <c r="Y40" s="1">
        <f t="shared" ca="1" si="95"/>
        <v>0.34195599999999998</v>
      </c>
      <c r="Z40" s="1">
        <f ca="1">RANK(Y40,Y$37:Y$62,Y$34)+COUNTIF(Y$37:Y40,Y40)-1</f>
        <v>25</v>
      </c>
      <c r="AA40" s="1">
        <f t="shared" ca="1" si="9"/>
        <v>1</v>
      </c>
      <c r="AB40" s="1">
        <f t="shared" ca="1" si="96"/>
        <v>1</v>
      </c>
      <c r="AC40" s="1">
        <f t="shared" ca="1" si="97"/>
        <v>1</v>
      </c>
      <c r="AD40" s="1">
        <f t="shared" ca="1" si="98"/>
        <v>4</v>
      </c>
      <c r="AE40" s="1" t="str">
        <f t="shared" ca="1" si="99"/>
        <v>Argentina</v>
      </c>
      <c r="AF40" s="1">
        <f t="shared" ca="1" si="10"/>
        <v>41.116745999999999</v>
      </c>
      <c r="AG40" s="1">
        <f t="shared" ca="1" si="11"/>
        <v>2012</v>
      </c>
      <c r="AK40" s="1">
        <f>MATCH(CONCATENATE($B40,"_",INDEX($C$4:$C35,AK$34)),lu_DataCode,0)</f>
        <v>68</v>
      </c>
      <c r="AL40" s="1">
        <f t="shared" ca="1" si="12"/>
        <v>2012</v>
      </c>
      <c r="AM40" s="1">
        <f t="shared" ca="1" si="13"/>
        <v>22970</v>
      </c>
      <c r="AN40" s="1">
        <f t="shared" ca="1" si="14"/>
        <v>1</v>
      </c>
      <c r="AO40" s="1">
        <f t="shared" ca="1" si="100"/>
        <v>22970</v>
      </c>
      <c r="AP40" s="1">
        <f ca="1">RANK(AO40,AO$37:AO$62,AO$34)+COUNTIF(AO$37:AO40,AO40)-1</f>
        <v>21</v>
      </c>
      <c r="AQ40" s="1">
        <f t="shared" ca="1" si="15"/>
        <v>21</v>
      </c>
      <c r="AR40" s="1">
        <f t="shared" ca="1" si="101"/>
        <v>1</v>
      </c>
      <c r="AS40" s="1">
        <f t="shared" ca="1" si="102"/>
        <v>1</v>
      </c>
      <c r="AT40" s="1">
        <f t="shared" ca="1" si="103"/>
        <v>4</v>
      </c>
      <c r="AU40" s="1" t="str">
        <f t="shared" ca="1" si="104"/>
        <v>Peru</v>
      </c>
      <c r="AV40" s="1">
        <f t="shared" ca="1" si="16"/>
        <v>1285220</v>
      </c>
      <c r="AW40" s="1">
        <f t="shared" ca="1" si="17"/>
        <v>2012</v>
      </c>
      <c r="BA40" s="1">
        <f>MATCH(CONCATENATE($B40,"_",INDEX($C$4:$C35,BA$34)),lu_DataCode,0)</f>
        <v>94</v>
      </c>
      <c r="BB40" s="1">
        <f t="shared" ca="1" si="18"/>
        <v>2012</v>
      </c>
      <c r="BC40" s="1">
        <f t="shared" ca="1" si="19"/>
        <v>1.554</v>
      </c>
      <c r="BD40" s="1">
        <f t="shared" ca="1" si="20"/>
        <v>1</v>
      </c>
      <c r="BE40" s="1">
        <f t="shared" ca="1" si="105"/>
        <v>1.554</v>
      </c>
      <c r="BF40" s="1">
        <f ca="1">RANK(BE40,BE$37:BE$62,BE$34)+COUNTIF(BE$37:BE40,BE40)-1</f>
        <v>26</v>
      </c>
      <c r="BG40" s="1">
        <f t="shared" ca="1" si="21"/>
        <v>26</v>
      </c>
      <c r="BH40" s="1">
        <f t="shared" ca="1" si="106"/>
        <v>1</v>
      </c>
      <c r="BI40" s="1">
        <f t="shared" ca="1" si="107"/>
        <v>1</v>
      </c>
      <c r="BJ40" s="1">
        <f t="shared" ca="1" si="108"/>
        <v>4</v>
      </c>
      <c r="BK40" s="1" t="str">
        <f t="shared" ca="1" si="109"/>
        <v>Venezuela</v>
      </c>
      <c r="BL40" s="1">
        <f t="shared" ca="1" si="22"/>
        <v>382.42399999999998</v>
      </c>
      <c r="BM40" s="1">
        <f t="shared" ca="1" si="23"/>
        <v>2012</v>
      </c>
      <c r="BQ40" s="1">
        <f>MATCH(CONCATENATE($B40,"_",INDEX($C$4:$C35,BQ$34)),lu_DataCode,0)</f>
        <v>120</v>
      </c>
      <c r="BR40" s="1">
        <f t="shared" ca="1" si="24"/>
        <v>2012</v>
      </c>
      <c r="BS40" s="1">
        <f t="shared" ca="1" si="25"/>
        <v>2.9990000000000001</v>
      </c>
      <c r="BT40" s="1">
        <f t="shared" ca="1" si="26"/>
        <v>1</v>
      </c>
      <c r="BU40" s="1">
        <f t="shared" ca="1" si="110"/>
        <v>2.9990000000000001</v>
      </c>
      <c r="BV40" s="1">
        <f ca="1">RANK(BU40,BU$37:BU$62,BU$34)+COUNTIF(BU$37:BU40,BU40)-1</f>
        <v>26</v>
      </c>
      <c r="BW40" s="1">
        <f t="shared" ca="1" si="27"/>
        <v>8</v>
      </c>
      <c r="BX40" s="1">
        <f t="shared" ca="1" si="111"/>
        <v>1</v>
      </c>
      <c r="BY40" s="1">
        <f t="shared" ca="1" si="112"/>
        <v>1</v>
      </c>
      <c r="BZ40" s="1">
        <f t="shared" ca="1" si="113"/>
        <v>4</v>
      </c>
      <c r="CA40" s="1" t="str">
        <f t="shared" ca="1" si="114"/>
        <v>Colombia</v>
      </c>
      <c r="CB40" s="1">
        <f t="shared" ca="1" si="28"/>
        <v>502.87400000000002</v>
      </c>
      <c r="CC40" s="1">
        <f t="shared" ca="1" si="29"/>
        <v>2012</v>
      </c>
      <c r="CG40" s="1">
        <f>MATCH(CONCATENATE($B40,"_",INDEX($C$4:$C35,CG$34)),lu_DataCode,0)</f>
        <v>146</v>
      </c>
      <c r="CH40" s="1">
        <f t="shared" ca="1" si="30"/>
        <v>2012</v>
      </c>
      <c r="CI40" s="1">
        <f t="shared" ca="1" si="31"/>
        <v>7.9100000000000004E-2</v>
      </c>
      <c r="CJ40" s="1">
        <f t="shared" ca="1" si="32"/>
        <v>1</v>
      </c>
      <c r="CK40" s="1">
        <f t="shared" ca="1" si="115"/>
        <v>7.9100000000000004E-2</v>
      </c>
      <c r="CL40" s="1">
        <f ca="1">RANK(CK40,CK$37:CK$62,CK$34)+COUNTIF(CK$37:CK40,CK40)-1</f>
        <v>25</v>
      </c>
      <c r="CM40" s="1">
        <f t="shared" ca="1" si="33"/>
        <v>1</v>
      </c>
      <c r="CN40" s="1">
        <f t="shared" ca="1" si="116"/>
        <v>1</v>
      </c>
      <c r="CO40" s="1">
        <f t="shared" ca="1" si="117"/>
        <v>1</v>
      </c>
      <c r="CP40" s="1">
        <f t="shared" ca="1" si="118"/>
        <v>4</v>
      </c>
      <c r="CQ40" s="1" t="str">
        <f t="shared" ca="1" si="119"/>
        <v>Argentina</v>
      </c>
      <c r="CR40" s="1">
        <f t="shared" ca="1" si="34"/>
        <v>5.3750454000000003</v>
      </c>
      <c r="CS40" s="1">
        <f t="shared" ca="1" si="35"/>
        <v>2012</v>
      </c>
      <c r="CW40" s="1">
        <f>MATCH(CONCATENATE($B40,"_",INDEX($C$4:$C35,CW$34)),lu_DataCode,0)</f>
        <v>171</v>
      </c>
      <c r="CX40" s="1">
        <f t="shared" ca="1" si="36"/>
        <v>2012</v>
      </c>
      <c r="CY40" s="1">
        <f t="shared" ca="1" si="37"/>
        <v>1.205E-2</v>
      </c>
      <c r="CZ40" s="1">
        <f t="shared" ca="1" si="38"/>
        <v>1</v>
      </c>
      <c r="DA40" s="1">
        <f t="shared" ca="1" si="120"/>
        <v>1.205E-2</v>
      </c>
      <c r="DB40" s="1">
        <f ca="1">RANK(DA40,DA$37:DA$62,DA$34)+COUNTIF(DA$37:DA40,DA40)-1</f>
        <v>24</v>
      </c>
      <c r="DC40" s="1">
        <f t="shared" ca="1" si="39"/>
        <v>1</v>
      </c>
      <c r="DD40" s="1">
        <f t="shared" ca="1" si="121"/>
        <v>1</v>
      </c>
      <c r="DE40" s="1">
        <f t="shared" ca="1" si="122"/>
        <v>1</v>
      </c>
      <c r="DF40" s="1">
        <f t="shared" ca="1" si="123"/>
        <v>4</v>
      </c>
      <c r="DG40" s="1" t="str">
        <f t="shared" ca="1" si="124"/>
        <v>Argentina</v>
      </c>
      <c r="DH40" s="1">
        <f t="shared" ca="1" si="40"/>
        <v>2.4069547999999998</v>
      </c>
      <c r="DI40" s="1">
        <f t="shared" ca="1" si="41"/>
        <v>2012</v>
      </c>
      <c r="DM40" s="1">
        <f>MATCH(CONCATENATE($B40,"_",INDEX($C$4:$C35,DM$34)),lu_DataCode,0)</f>
        <v>196</v>
      </c>
      <c r="DN40" s="1">
        <f t="shared" ca="1" si="42"/>
        <v>2012</v>
      </c>
      <c r="DO40" s="1">
        <f t="shared" ca="1" si="43"/>
        <v>0.63690000000000002</v>
      </c>
      <c r="DP40" s="1">
        <f t="shared" ca="1" si="44"/>
        <v>1</v>
      </c>
      <c r="DQ40" s="1">
        <f t="shared" ca="1" si="125"/>
        <v>0.63690000000000002</v>
      </c>
      <c r="DR40" s="1">
        <f ca="1">RANK(DQ40,DQ$37:DQ$62,DQ$34)+COUNTIF(DQ$37:DQ40,DQ40)-1</f>
        <v>25</v>
      </c>
      <c r="DS40" s="1">
        <f t="shared" ca="1" si="45"/>
        <v>1</v>
      </c>
      <c r="DT40" s="1">
        <f t="shared" ca="1" si="126"/>
        <v>1</v>
      </c>
      <c r="DU40" s="1">
        <f t="shared" ca="1" si="127"/>
        <v>1</v>
      </c>
      <c r="DV40" s="1">
        <f t="shared" ca="1" si="128"/>
        <v>4</v>
      </c>
      <c r="DW40" s="1" t="str">
        <f t="shared" ca="1" si="129"/>
        <v>Argentina</v>
      </c>
      <c r="DX40" s="1">
        <f t="shared" ca="1" si="46"/>
        <v>81.903149600000006</v>
      </c>
      <c r="DY40" s="1">
        <f t="shared" ca="1" si="47"/>
        <v>2012</v>
      </c>
      <c r="EC40" s="1">
        <f>MATCH(CONCATENATE($B40,"_",INDEX($C$4:$C35,EC$34)),lu_DataCode,0)</f>
        <v>221</v>
      </c>
      <c r="ED40" s="1">
        <f t="shared" ca="1" si="48"/>
        <v>2012</v>
      </c>
      <c r="EE40" s="1">
        <f t="shared" ca="1" si="49"/>
        <v>352043.95699999999</v>
      </c>
      <c r="EF40" s="1">
        <f t="shared" ca="1" si="50"/>
        <v>1</v>
      </c>
      <c r="EG40" s="1">
        <f t="shared" ca="1" si="130"/>
        <v>352043.95699999999</v>
      </c>
      <c r="EH40" s="1">
        <f ca="1">RANK(EG40,EG$37:EG$62,EG$34)+COUNTIF(EG$37:EG40,EG40)-1</f>
        <v>25</v>
      </c>
      <c r="EI40" s="1">
        <f t="shared" ca="1" si="51"/>
        <v>1</v>
      </c>
      <c r="EJ40" s="1">
        <f t="shared" ca="1" si="131"/>
        <v>1</v>
      </c>
      <c r="EK40" s="1">
        <f t="shared" ca="1" si="132"/>
        <v>1</v>
      </c>
      <c r="EL40" s="1">
        <f t="shared" ca="1" si="133"/>
        <v>4</v>
      </c>
      <c r="EM40" s="1" t="str">
        <f t="shared" ca="1" si="134"/>
        <v>Argentina</v>
      </c>
      <c r="EN40" s="1">
        <f t="shared" ca="1" si="52"/>
        <v>100244570.502</v>
      </c>
      <c r="EO40" s="1">
        <f t="shared" ca="1" si="53"/>
        <v>2012</v>
      </c>
      <c r="ES40" s="1">
        <f>MATCH(CONCATENATE($B40,"_",INDEX($C$4:$C35,ES$34)),lu_DataCode,0)</f>
        <v>247</v>
      </c>
      <c r="ET40" s="1">
        <f t="shared" ca="1" si="54"/>
        <v>2012</v>
      </c>
      <c r="EU40" s="1">
        <f t="shared" ca="1" si="55"/>
        <v>0.82399999999999995</v>
      </c>
      <c r="EV40" s="1">
        <f t="shared" ca="1" si="56"/>
        <v>1</v>
      </c>
      <c r="EW40" s="1">
        <f t="shared" ca="1" si="135"/>
        <v>0.82399999999999995</v>
      </c>
      <c r="EX40" s="1">
        <f ca="1">RANK(EW40,EW$37:EW$62,EW$34)+COUNTIF(EW$37:EW40,EW40)-1</f>
        <v>26</v>
      </c>
      <c r="EY40" s="1">
        <f t="shared" ca="1" si="57"/>
        <v>1</v>
      </c>
      <c r="EZ40" s="1">
        <f t="shared" ca="1" si="136"/>
        <v>1</v>
      </c>
      <c r="FA40" s="1">
        <f t="shared" ca="1" si="137"/>
        <v>1</v>
      </c>
      <c r="FB40" s="1">
        <f t="shared" ca="1" si="138"/>
        <v>4</v>
      </c>
      <c r="FC40" s="1" t="str">
        <f t="shared" ca="1" si="139"/>
        <v>Argentina</v>
      </c>
      <c r="FD40" s="1">
        <f t="shared" ca="1" si="58"/>
        <v>65.773621199999994</v>
      </c>
      <c r="FE40" s="1">
        <f t="shared" ca="1" si="59"/>
        <v>2012</v>
      </c>
      <c r="FI40" s="1">
        <f>MATCH(CONCATENATE($B40,"_",INDEX($C$4:$C35,FI$34)),lu_DataCode,0)</f>
        <v>271</v>
      </c>
      <c r="FJ40" s="1">
        <f t="shared" ca="1" si="60"/>
        <v>2012</v>
      </c>
      <c r="FK40" s="1">
        <f t="shared" ca="1" si="61"/>
        <v>413482.45328604401</v>
      </c>
      <c r="FL40" s="1">
        <f t="shared" ca="1" si="62"/>
        <v>1</v>
      </c>
      <c r="FM40" s="1">
        <f t="shared" ca="1" si="140"/>
        <v>413482.453286</v>
      </c>
      <c r="FN40" s="1">
        <f ca="1">RANK(FM40,FM$37:FM$62,FM$34)+COUNTIF(FM$37:FM40,FM40)-1</f>
        <v>24</v>
      </c>
      <c r="FO40" s="1">
        <f t="shared" ca="1" si="63"/>
        <v>1</v>
      </c>
      <c r="FP40" s="1">
        <f t="shared" ca="1" si="141"/>
        <v>1</v>
      </c>
      <c r="FQ40" s="1">
        <f t="shared" ca="1" si="142"/>
        <v>1</v>
      </c>
      <c r="FR40" s="1">
        <f t="shared" ca="1" si="143"/>
        <v>4</v>
      </c>
      <c r="FS40" s="1" t="str">
        <f t="shared" ca="1" si="144"/>
        <v>Argentina</v>
      </c>
      <c r="FT40" s="1">
        <f t="shared" ca="1" si="64"/>
        <v>33687227.989</v>
      </c>
      <c r="FU40" s="1">
        <f t="shared" ca="1" si="65"/>
        <v>2012</v>
      </c>
      <c r="FY40" s="1" t="e">
        <f>MATCH(CONCATENATE($B40,"_",INDEX($C$4:$C35,FY$34)),lu_DataCode,0)</f>
        <v>#N/A</v>
      </c>
      <c r="FZ40" s="1" t="e">
        <f t="shared" ca="1" si="66"/>
        <v>#N/A</v>
      </c>
      <c r="GA40" s="1" t="e">
        <f t="shared" ca="1" si="67"/>
        <v>#N/A</v>
      </c>
      <c r="GB40" s="1">
        <f t="shared" ca="1" si="68"/>
        <v>0</v>
      </c>
      <c r="GC40" s="1">
        <f t="shared" ca="1" si="145"/>
        <v>-10000000000</v>
      </c>
      <c r="GD40" s="1">
        <f ca="1">RANK(GC40,GC$37:GC$62,GC$34)+COUNTIF(GC$37:GC40,GC40)-1</f>
        <v>4</v>
      </c>
      <c r="GE40" s="1">
        <f t="shared" ca="1" si="69"/>
        <v>4</v>
      </c>
      <c r="GF40" s="1">
        <f t="shared" ca="1" si="146"/>
        <v>0</v>
      </c>
      <c r="GG40" s="1">
        <f t="shared" ca="1" si="147"/>
        <v>1</v>
      </c>
      <c r="GH40" s="1" t="str">
        <f t="shared" ca="1" si="148"/>
        <v/>
      </c>
      <c r="GI40" s="1" t="str">
        <f t="shared" ca="1" si="149"/>
        <v/>
      </c>
      <c r="GJ40" s="1" t="str">
        <f t="shared" ca="1" si="70"/>
        <v/>
      </c>
      <c r="GK40" s="1" t="str">
        <f t="shared" ca="1" si="71"/>
        <v/>
      </c>
      <c r="GO40" s="1" t="e">
        <f>MATCH(CONCATENATE($B40,"_",INDEX($C$4:$C35,GO$34)),lu_DataCode,0)</f>
        <v>#N/A</v>
      </c>
      <c r="GP40" s="1" t="e">
        <f t="shared" ca="1" si="72"/>
        <v>#N/A</v>
      </c>
      <c r="GQ40" s="1" t="e">
        <f t="shared" ca="1" si="73"/>
        <v>#N/A</v>
      </c>
      <c r="GR40" s="1">
        <f t="shared" ca="1" si="74"/>
        <v>0</v>
      </c>
      <c r="GS40" s="1">
        <f t="shared" ca="1" si="150"/>
        <v>-10000000000</v>
      </c>
      <c r="GT40" s="1">
        <f ca="1">RANK(GS40,GS$37:GS$62,GS$34)+COUNTIF(GS$37:GS40,GS40)-1</f>
        <v>4</v>
      </c>
      <c r="GU40" s="1">
        <f t="shared" ca="1" si="75"/>
        <v>4</v>
      </c>
      <c r="GV40" s="1">
        <f t="shared" ca="1" si="151"/>
        <v>0</v>
      </c>
      <c r="GW40" s="1">
        <f t="shared" ca="1" si="152"/>
        <v>1</v>
      </c>
      <c r="GX40" s="1" t="str">
        <f t="shared" ca="1" si="153"/>
        <v/>
      </c>
      <c r="GY40" s="1" t="str">
        <f t="shared" ca="1" si="154"/>
        <v/>
      </c>
      <c r="GZ40" s="1" t="str">
        <f t="shared" ca="1" si="76"/>
        <v/>
      </c>
      <c r="HA40" s="1" t="str">
        <f t="shared" ca="1" si="77"/>
        <v/>
      </c>
      <c r="HE40" s="1" t="e">
        <f>MATCH(CONCATENATE($B40,"_",INDEX($C$4:$C35,HE$34)),lu_DataCode,0)</f>
        <v>#N/A</v>
      </c>
      <c r="HF40" s="1" t="e">
        <f t="shared" ca="1" si="78"/>
        <v>#N/A</v>
      </c>
      <c r="HG40" s="1" t="e">
        <f t="shared" ca="1" si="79"/>
        <v>#N/A</v>
      </c>
      <c r="HH40" s="1">
        <f t="shared" ca="1" si="80"/>
        <v>0</v>
      </c>
      <c r="HI40" s="1">
        <f t="shared" ca="1" si="155"/>
        <v>-10000000000</v>
      </c>
      <c r="HJ40" s="1">
        <f ca="1">RANK(HI40,HI$37:HI$62,HI$34)+COUNTIF(HI$37:HI40,HI40)-1</f>
        <v>4</v>
      </c>
      <c r="HK40" s="1">
        <f t="shared" ca="1" si="81"/>
        <v>4</v>
      </c>
      <c r="HL40" s="1">
        <f t="shared" ca="1" si="156"/>
        <v>0</v>
      </c>
      <c r="HM40" s="1">
        <f t="shared" ca="1" si="157"/>
        <v>1</v>
      </c>
      <c r="HN40" s="1" t="str">
        <f t="shared" ca="1" si="158"/>
        <v/>
      </c>
      <c r="HO40" s="1" t="str">
        <f t="shared" ca="1" si="159"/>
        <v/>
      </c>
      <c r="HP40" s="1" t="str">
        <f t="shared" ca="1" si="82"/>
        <v/>
      </c>
      <c r="HQ40" s="1" t="str">
        <f t="shared" ca="1" si="83"/>
        <v/>
      </c>
      <c r="HU40" s="1" t="e">
        <f>MATCH(CONCATENATE($B40,"_",INDEX($C$4:$C35,HU$34)),lu_DataCode,0)</f>
        <v>#N/A</v>
      </c>
      <c r="HV40" s="1" t="e">
        <f t="shared" ca="1" si="84"/>
        <v>#N/A</v>
      </c>
      <c r="HW40" s="1" t="e">
        <f t="shared" ca="1" si="85"/>
        <v>#N/A</v>
      </c>
      <c r="HX40" s="1">
        <f t="shared" ca="1" si="86"/>
        <v>0</v>
      </c>
      <c r="HY40" s="1">
        <f t="shared" ca="1" si="160"/>
        <v>-10000000000</v>
      </c>
      <c r="HZ40" s="1">
        <f ca="1">RANK(HY40,HY$37:HY$62,HY$34)+COUNTIF(HY$37:HY40,HY40)-1</f>
        <v>4</v>
      </c>
      <c r="IA40" s="1">
        <f t="shared" ca="1" si="87"/>
        <v>4</v>
      </c>
      <c r="IB40" s="1">
        <f t="shared" ca="1" si="161"/>
        <v>0</v>
      </c>
      <c r="IC40" s="1">
        <f t="shared" ca="1" si="162"/>
        <v>1</v>
      </c>
      <c r="ID40" s="1" t="str">
        <f t="shared" ca="1" si="163"/>
        <v/>
      </c>
      <c r="IE40" s="1" t="str">
        <f t="shared" ca="1" si="164"/>
        <v/>
      </c>
      <c r="IF40" s="1" t="str">
        <f t="shared" ca="1" si="88"/>
        <v/>
      </c>
      <c r="IG40" s="1" t="str">
        <f t="shared" ca="1" si="89"/>
        <v/>
      </c>
    </row>
    <row r="41" spans="1:241" ht="10.15" x14ac:dyDescent="0.2">
      <c r="A41" s="1">
        <v>5</v>
      </c>
      <c r="B41" s="1" t="str">
        <f>tblCountries!E7</f>
        <v>NAC_BO_1</v>
      </c>
      <c r="C41" s="1" t="str">
        <f>tblCountries!C7</f>
        <v>Bolivia</v>
      </c>
      <c r="D41" s="1">
        <f>tblCountries!D7</f>
        <v>1</v>
      </c>
      <c r="E41" s="1">
        <f>MATCH(CONCATENATE($B41,"_",INDEX($C$4:$C36,E$34)),lu_DataCode,0)</f>
        <v>3</v>
      </c>
      <c r="F41" s="1">
        <f t="shared" ca="1" si="0"/>
        <v>2012</v>
      </c>
      <c r="G41" s="1">
        <f t="shared" ca="1" si="1"/>
        <v>6.9456878227985897</v>
      </c>
      <c r="H41" s="1">
        <f t="shared" ca="1" si="2"/>
        <v>1</v>
      </c>
      <c r="I41" s="1">
        <f t="shared" ca="1" si="90"/>
        <v>6.9456879999999996</v>
      </c>
      <c r="J41" s="1">
        <f ca="1">RANK(I41,I$37:I$62,I$34)+COUNTIF(I$37:I41,I41)-1</f>
        <v>9</v>
      </c>
      <c r="K41" s="1">
        <f t="shared" ca="1" si="3"/>
        <v>8</v>
      </c>
      <c r="L41" s="1">
        <f t="shared" ca="1" si="91"/>
        <v>1</v>
      </c>
      <c r="M41" s="1">
        <f t="shared" ca="1" si="92"/>
        <v>1</v>
      </c>
      <c r="N41" s="1">
        <f t="shared" ca="1" si="93"/>
        <v>5</v>
      </c>
      <c r="O41" s="1" t="str">
        <f t="shared" ca="1" si="94"/>
        <v>Colombia</v>
      </c>
      <c r="P41" s="1">
        <f t="shared" ca="1" si="4"/>
        <v>7.7299999999999995</v>
      </c>
      <c r="Q41" s="1">
        <f t="shared" ca="1" si="5"/>
        <v>2012</v>
      </c>
      <c r="U41" s="1">
        <f>MATCH(CONCATENATE($B41,"_",INDEX($C$4:$C36,U$34)),lu_DataCode,0)</f>
        <v>28</v>
      </c>
      <c r="V41" s="1">
        <f t="shared" ca="1" si="6"/>
        <v>2012</v>
      </c>
      <c r="W41" s="1">
        <f t="shared" ca="1" si="7"/>
        <v>10.029999999999999</v>
      </c>
      <c r="X41" s="1">
        <f t="shared" ca="1" si="8"/>
        <v>1</v>
      </c>
      <c r="Y41" s="1">
        <f t="shared" ca="1" si="95"/>
        <v>10.029999999999999</v>
      </c>
      <c r="Z41" s="1">
        <f ca="1">RANK(Y41,Y$37:Y$62,Y$34)+COUNTIF(Y$37:Y41,Y41)-1</f>
        <v>12</v>
      </c>
      <c r="AA41" s="1">
        <f t="shared" ca="1" si="9"/>
        <v>21</v>
      </c>
      <c r="AB41" s="1">
        <f t="shared" ca="1" si="96"/>
        <v>1</v>
      </c>
      <c r="AC41" s="1">
        <f t="shared" ca="1" si="97"/>
        <v>1</v>
      </c>
      <c r="AD41" s="1">
        <f t="shared" ca="1" si="98"/>
        <v>5</v>
      </c>
      <c r="AE41" s="1" t="str">
        <f t="shared" ca="1" si="99"/>
        <v>Peru</v>
      </c>
      <c r="AF41" s="1">
        <f t="shared" ca="1" si="10"/>
        <v>30.474</v>
      </c>
      <c r="AG41" s="1">
        <f t="shared" ca="1" si="11"/>
        <v>2012</v>
      </c>
      <c r="AK41" s="1">
        <f>MATCH(CONCATENATE($B41,"_",INDEX($C$4:$C36,AK$34)),lu_DataCode,0)</f>
        <v>54</v>
      </c>
      <c r="AL41" s="1">
        <f t="shared" ca="1" si="12"/>
        <v>2012</v>
      </c>
      <c r="AM41" s="1">
        <f t="shared" ca="1" si="13"/>
        <v>1098581</v>
      </c>
      <c r="AN41" s="1">
        <f t="shared" ca="1" si="14"/>
        <v>1</v>
      </c>
      <c r="AO41" s="1">
        <f t="shared" ca="1" si="100"/>
        <v>1098581</v>
      </c>
      <c r="AP41" s="1">
        <f ca="1">RANK(AO41,AO$37:AO$62,AO$34)+COUNTIF(AO$37:AO41,AO41)-1</f>
        <v>6</v>
      </c>
      <c r="AQ41" s="1">
        <f t="shared" ca="1" si="15"/>
        <v>8</v>
      </c>
      <c r="AR41" s="1">
        <f t="shared" ca="1" si="101"/>
        <v>1</v>
      </c>
      <c r="AS41" s="1">
        <f t="shared" ca="1" si="102"/>
        <v>1</v>
      </c>
      <c r="AT41" s="1">
        <f t="shared" ca="1" si="103"/>
        <v>5</v>
      </c>
      <c r="AU41" s="1" t="str">
        <f t="shared" ca="1" si="104"/>
        <v>Colombia</v>
      </c>
      <c r="AV41" s="1">
        <f t="shared" ca="1" si="16"/>
        <v>1141748</v>
      </c>
      <c r="AW41" s="1">
        <f t="shared" ca="1" si="17"/>
        <v>2012</v>
      </c>
      <c r="BA41" s="1">
        <f>MATCH(CONCATENATE($B41,"_",INDEX($C$4:$C36,BA$34)),lu_DataCode,0)</f>
        <v>80</v>
      </c>
      <c r="BB41" s="1">
        <f t="shared" ca="1" si="18"/>
        <v>2012</v>
      </c>
      <c r="BC41" s="1">
        <f t="shared" ca="1" si="19"/>
        <v>27.04</v>
      </c>
      <c r="BD41" s="1">
        <f t="shared" ca="1" si="20"/>
        <v>1</v>
      </c>
      <c r="BE41" s="1">
        <f t="shared" ca="1" si="105"/>
        <v>27.04</v>
      </c>
      <c r="BF41" s="1">
        <f ca="1">RANK(BE41,BE$37:BE$62,BE$34)+COUNTIF(BE$37:BE41,BE41)-1</f>
        <v>14</v>
      </c>
      <c r="BG41" s="1">
        <f t="shared" ca="1" si="21"/>
        <v>8</v>
      </c>
      <c r="BH41" s="1">
        <f t="shared" ca="1" si="106"/>
        <v>1</v>
      </c>
      <c r="BI41" s="1">
        <f t="shared" ca="1" si="107"/>
        <v>1</v>
      </c>
      <c r="BJ41" s="1">
        <f t="shared" ca="1" si="108"/>
        <v>5</v>
      </c>
      <c r="BK41" s="1" t="str">
        <f t="shared" ca="1" si="109"/>
        <v>Colombia</v>
      </c>
      <c r="BL41" s="1">
        <f t="shared" ca="1" si="22"/>
        <v>366.02</v>
      </c>
      <c r="BM41" s="1">
        <f t="shared" ca="1" si="23"/>
        <v>2012</v>
      </c>
      <c r="BQ41" s="1">
        <f>MATCH(CONCATENATE($B41,"_",INDEX($C$4:$C36,BQ$34)),lu_DataCode,0)</f>
        <v>106</v>
      </c>
      <c r="BR41" s="1">
        <f t="shared" ca="1" si="24"/>
        <v>2012</v>
      </c>
      <c r="BS41" s="1">
        <f t="shared" ca="1" si="25"/>
        <v>54.360999999999997</v>
      </c>
      <c r="BT41" s="1">
        <f t="shared" ca="1" si="26"/>
        <v>1</v>
      </c>
      <c r="BU41" s="1">
        <f t="shared" ca="1" si="110"/>
        <v>54.360999999999997</v>
      </c>
      <c r="BV41" s="1">
        <f ca="1">RANK(BU41,BU$37:BU$62,BU$34)+COUNTIF(BU$37:BU41,BU41)-1</f>
        <v>13</v>
      </c>
      <c r="BW41" s="1">
        <f t="shared" ca="1" si="27"/>
        <v>26</v>
      </c>
      <c r="BX41" s="1">
        <f t="shared" ca="1" si="111"/>
        <v>1</v>
      </c>
      <c r="BY41" s="1">
        <f t="shared" ca="1" si="112"/>
        <v>1</v>
      </c>
      <c r="BZ41" s="1">
        <f t="shared" ca="1" si="113"/>
        <v>5</v>
      </c>
      <c r="CA41" s="1" t="str">
        <f t="shared" ca="1" si="114"/>
        <v>Venezuela</v>
      </c>
      <c r="CB41" s="1">
        <f t="shared" ca="1" si="28"/>
        <v>401.89800000000002</v>
      </c>
      <c r="CC41" s="1">
        <f t="shared" ca="1" si="29"/>
        <v>2012</v>
      </c>
      <c r="CG41" s="1">
        <f>MATCH(CONCATENATE($B41,"_",INDEX($C$4:$C36,CG$34)),lu_DataCode,0)</f>
        <v>132</v>
      </c>
      <c r="CH41" s="1">
        <f t="shared" ca="1" si="30"/>
        <v>2012</v>
      </c>
      <c r="CI41" s="1">
        <f t="shared" ca="1" si="31"/>
        <v>0.63114000000000003</v>
      </c>
      <c r="CJ41" s="1">
        <f t="shared" ca="1" si="32"/>
        <v>1</v>
      </c>
      <c r="CK41" s="1">
        <f t="shared" ca="1" si="115"/>
        <v>0.63114000000000003</v>
      </c>
      <c r="CL41" s="1">
        <f ca="1">RANK(CK41,CK$37:CK$62,CK$34)+COUNTIF(CK$37:CK41,CK41)-1</f>
        <v>17</v>
      </c>
      <c r="CM41" s="1">
        <f t="shared" ca="1" si="33"/>
        <v>26</v>
      </c>
      <c r="CN41" s="1">
        <f t="shared" ca="1" si="116"/>
        <v>1</v>
      </c>
      <c r="CO41" s="1">
        <f t="shared" ca="1" si="117"/>
        <v>1</v>
      </c>
      <c r="CP41" s="1">
        <f t="shared" ca="1" si="118"/>
        <v>5</v>
      </c>
      <c r="CQ41" s="1" t="str">
        <f t="shared" ca="1" si="119"/>
        <v>Venezuela</v>
      </c>
      <c r="CR41" s="1">
        <f t="shared" ca="1" si="34"/>
        <v>3.7890000000000001</v>
      </c>
      <c r="CS41" s="1">
        <f t="shared" ca="1" si="35"/>
        <v>2012</v>
      </c>
      <c r="CW41" s="1">
        <f>MATCH(CONCATENATE($B41,"_",INDEX($C$4:$C36,CW$34)),lu_DataCode,0)</f>
        <v>158</v>
      </c>
      <c r="CX41" s="1">
        <f t="shared" ca="1" si="36"/>
        <v>2012</v>
      </c>
      <c r="CY41" s="1">
        <f t="shared" ca="1" si="37"/>
        <v>7.0767499999999997E-2</v>
      </c>
      <c r="CZ41" s="1">
        <f t="shared" ca="1" si="38"/>
        <v>1</v>
      </c>
      <c r="DA41" s="1">
        <f t="shared" ca="1" si="120"/>
        <v>7.0767999999999998E-2</v>
      </c>
      <c r="DB41" s="1">
        <f ca="1">RANK(DA41,DA$37:DA$62,DA$34)+COUNTIF(DA$37:DA41,DA41)-1</f>
        <v>19</v>
      </c>
      <c r="DC41" s="1">
        <f t="shared" ca="1" si="39"/>
        <v>10</v>
      </c>
      <c r="DD41" s="1">
        <f t="shared" ca="1" si="121"/>
        <v>1</v>
      </c>
      <c r="DE41" s="1">
        <f t="shared" ca="1" si="122"/>
        <v>1</v>
      </c>
      <c r="DF41" s="1">
        <f t="shared" ca="1" si="123"/>
        <v>5</v>
      </c>
      <c r="DG41" s="1" t="str">
        <f t="shared" ca="1" si="124"/>
        <v>Ecuador</v>
      </c>
      <c r="DH41" s="1">
        <f t="shared" ca="1" si="40"/>
        <v>1.7828835000000001</v>
      </c>
      <c r="DI41" s="1">
        <f t="shared" ca="1" si="41"/>
        <v>2012</v>
      </c>
      <c r="DM41" s="1">
        <f>MATCH(CONCATENATE($B41,"_",INDEX($C$4:$C36,DM$34)),lu_DataCode,0)</f>
        <v>182</v>
      </c>
      <c r="DN41" s="1">
        <f t="shared" ca="1" si="42"/>
        <v>2012</v>
      </c>
      <c r="DO41" s="1">
        <f t="shared" ca="1" si="43"/>
        <v>9.6820997999999996</v>
      </c>
      <c r="DP41" s="1">
        <f t="shared" ca="1" si="44"/>
        <v>1</v>
      </c>
      <c r="DQ41" s="1">
        <f t="shared" ca="1" si="125"/>
        <v>9.6821000000000002</v>
      </c>
      <c r="DR41" s="1">
        <f ca="1">RANK(DQ41,DQ$37:DQ$62,DQ$34)+COUNTIF(DQ$37:DQ41,DQ41)-1</f>
        <v>14</v>
      </c>
      <c r="DS41" s="1">
        <f t="shared" ca="1" si="45"/>
        <v>7</v>
      </c>
      <c r="DT41" s="1">
        <f t="shared" ca="1" si="126"/>
        <v>1</v>
      </c>
      <c r="DU41" s="1">
        <f t="shared" ca="1" si="127"/>
        <v>1</v>
      </c>
      <c r="DV41" s="1">
        <f t="shared" ca="1" si="128"/>
        <v>5</v>
      </c>
      <c r="DW41" s="1" t="str">
        <f t="shared" ca="1" si="129"/>
        <v>Chile</v>
      </c>
      <c r="DX41" s="1">
        <f t="shared" ca="1" si="46"/>
        <v>78.276982606000004</v>
      </c>
      <c r="DY41" s="1">
        <f t="shared" ca="1" si="47"/>
        <v>2012</v>
      </c>
      <c r="EC41" s="1">
        <f>MATCH(CONCATENATE($B41,"_",INDEX($C$4:$C36,EC$34)),lu_DataCode,0)</f>
        <v>208</v>
      </c>
      <c r="ED41" s="1">
        <f t="shared" ca="1" si="48"/>
        <v>2012</v>
      </c>
      <c r="EE41" s="1">
        <f t="shared" ca="1" si="49"/>
        <v>15599157.466</v>
      </c>
      <c r="EF41" s="1">
        <f t="shared" ca="1" si="50"/>
        <v>1</v>
      </c>
      <c r="EG41" s="1">
        <f t="shared" ca="1" si="130"/>
        <v>15599157.466</v>
      </c>
      <c r="EH41" s="1">
        <f ca="1">RANK(EG41,EG$37:EG$62,EG$34)+COUNTIF(EG$37:EG41,EG41)-1</f>
        <v>10</v>
      </c>
      <c r="EI41" s="1">
        <f t="shared" ca="1" si="51"/>
        <v>17</v>
      </c>
      <c r="EJ41" s="1">
        <f t="shared" ca="1" si="131"/>
        <v>1</v>
      </c>
      <c r="EK41" s="1">
        <f t="shared" ca="1" si="132"/>
        <v>1</v>
      </c>
      <c r="EL41" s="1">
        <f t="shared" ca="1" si="133"/>
        <v>5</v>
      </c>
      <c r="EM41" s="1" t="str">
        <f t="shared" ca="1" si="134"/>
        <v>México</v>
      </c>
      <c r="EN41" s="1">
        <f t="shared" ca="1" si="52"/>
        <v>75436910.116999999</v>
      </c>
      <c r="EO41" s="1">
        <f t="shared" ca="1" si="53"/>
        <v>2012</v>
      </c>
      <c r="ES41" s="1">
        <f>MATCH(CONCATENATE($B41,"_",INDEX($C$4:$C36,ES$34)),lu_DataCode,0)</f>
        <v>233</v>
      </c>
      <c r="ET41" s="1">
        <f t="shared" ca="1" si="54"/>
        <v>2012</v>
      </c>
      <c r="EU41" s="1">
        <f t="shared" ca="1" si="55"/>
        <v>8.2590508000000007</v>
      </c>
      <c r="EV41" s="1">
        <f t="shared" ca="1" si="56"/>
        <v>1</v>
      </c>
      <c r="EW41" s="1">
        <f t="shared" ca="1" si="135"/>
        <v>8.2590509999999995</v>
      </c>
      <c r="EX41" s="1">
        <f ca="1">RANK(EW41,EW$37:EW$62,EW$34)+COUNTIF(EW$37:EW41,EW41)-1</f>
        <v>18</v>
      </c>
      <c r="EY41" s="1">
        <f t="shared" ca="1" si="57"/>
        <v>26</v>
      </c>
      <c r="EZ41" s="1">
        <f t="shared" ca="1" si="136"/>
        <v>1</v>
      </c>
      <c r="FA41" s="1">
        <f t="shared" ca="1" si="137"/>
        <v>1</v>
      </c>
      <c r="FB41" s="1">
        <f t="shared" ca="1" si="138"/>
        <v>5</v>
      </c>
      <c r="FC41" s="1" t="str">
        <f t="shared" ca="1" si="139"/>
        <v>Venezuela</v>
      </c>
      <c r="FD41" s="1">
        <f t="shared" ca="1" si="58"/>
        <v>56.392989100000001</v>
      </c>
      <c r="FE41" s="1">
        <f t="shared" ca="1" si="59"/>
        <v>2012</v>
      </c>
      <c r="FI41" s="1">
        <f>MATCH(CONCATENATE($B41,"_",INDEX($C$4:$C36,FI$34)),lu_DataCode,0)</f>
        <v>259</v>
      </c>
      <c r="FJ41" s="1">
        <f t="shared" ca="1" si="60"/>
        <v>2012</v>
      </c>
      <c r="FK41" s="1">
        <f t="shared" ca="1" si="61"/>
        <v>4569815.2920000004</v>
      </c>
      <c r="FL41" s="1">
        <f t="shared" ca="1" si="62"/>
        <v>1</v>
      </c>
      <c r="FM41" s="1">
        <f t="shared" ca="1" si="140"/>
        <v>4569815.2920000004</v>
      </c>
      <c r="FN41" s="1">
        <f ca="1">RANK(FM41,FM$37:FM$62,FM$34)+COUNTIF(FM$37:FM41,FM41)-1</f>
        <v>18</v>
      </c>
      <c r="FO41" s="1">
        <f t="shared" ca="1" si="63"/>
        <v>8</v>
      </c>
      <c r="FP41" s="1">
        <f t="shared" ca="1" si="141"/>
        <v>1</v>
      </c>
      <c r="FQ41" s="1">
        <f t="shared" ca="1" si="142"/>
        <v>1</v>
      </c>
      <c r="FR41" s="1">
        <f t="shared" ca="1" si="143"/>
        <v>5</v>
      </c>
      <c r="FS41" s="1" t="str">
        <f t="shared" ca="1" si="144"/>
        <v>Colombia</v>
      </c>
      <c r="FT41" s="1">
        <f t="shared" ca="1" si="64"/>
        <v>30292238.4263</v>
      </c>
      <c r="FU41" s="1">
        <f t="shared" ca="1" si="65"/>
        <v>2012</v>
      </c>
      <c r="FY41" s="1" t="e">
        <f>MATCH(CONCATENATE($B41,"_",INDEX($C$4:$C36,FY$34)),lu_DataCode,0)</f>
        <v>#N/A</v>
      </c>
      <c r="FZ41" s="1" t="e">
        <f t="shared" ca="1" si="66"/>
        <v>#N/A</v>
      </c>
      <c r="GA41" s="1" t="e">
        <f t="shared" ca="1" si="67"/>
        <v>#N/A</v>
      </c>
      <c r="GB41" s="1">
        <f t="shared" ca="1" si="68"/>
        <v>0</v>
      </c>
      <c r="GC41" s="1">
        <f t="shared" ca="1" si="145"/>
        <v>-10000000000</v>
      </c>
      <c r="GD41" s="1">
        <f ca="1">RANK(GC41,GC$37:GC$62,GC$34)+COUNTIF(GC$37:GC41,GC41)-1</f>
        <v>5</v>
      </c>
      <c r="GE41" s="1">
        <f t="shared" ca="1" si="69"/>
        <v>5</v>
      </c>
      <c r="GF41" s="1">
        <f t="shared" ca="1" si="146"/>
        <v>0</v>
      </c>
      <c r="GG41" s="1">
        <f t="shared" ca="1" si="147"/>
        <v>1</v>
      </c>
      <c r="GH41" s="1" t="str">
        <f t="shared" ca="1" si="148"/>
        <v/>
      </c>
      <c r="GI41" s="1" t="str">
        <f t="shared" ca="1" si="149"/>
        <v/>
      </c>
      <c r="GJ41" s="1" t="str">
        <f t="shared" ca="1" si="70"/>
        <v/>
      </c>
      <c r="GK41" s="1" t="str">
        <f t="shared" ca="1" si="71"/>
        <v/>
      </c>
      <c r="GO41" s="1" t="e">
        <f>MATCH(CONCATENATE($B41,"_",INDEX($C$4:$C36,GO$34)),lu_DataCode,0)</f>
        <v>#N/A</v>
      </c>
      <c r="GP41" s="1" t="e">
        <f t="shared" ca="1" si="72"/>
        <v>#N/A</v>
      </c>
      <c r="GQ41" s="1" t="e">
        <f t="shared" ca="1" si="73"/>
        <v>#N/A</v>
      </c>
      <c r="GR41" s="1">
        <f t="shared" ca="1" si="74"/>
        <v>0</v>
      </c>
      <c r="GS41" s="1">
        <f t="shared" ca="1" si="150"/>
        <v>-10000000000</v>
      </c>
      <c r="GT41" s="1">
        <f ca="1">RANK(GS41,GS$37:GS$62,GS$34)+COUNTIF(GS$37:GS41,GS41)-1</f>
        <v>5</v>
      </c>
      <c r="GU41" s="1">
        <f t="shared" ca="1" si="75"/>
        <v>5</v>
      </c>
      <c r="GV41" s="1">
        <f t="shared" ca="1" si="151"/>
        <v>0</v>
      </c>
      <c r="GW41" s="1">
        <f t="shared" ca="1" si="152"/>
        <v>1</v>
      </c>
      <c r="GX41" s="1" t="str">
        <f t="shared" ca="1" si="153"/>
        <v/>
      </c>
      <c r="GY41" s="1" t="str">
        <f t="shared" ca="1" si="154"/>
        <v/>
      </c>
      <c r="GZ41" s="1" t="str">
        <f t="shared" ca="1" si="76"/>
        <v/>
      </c>
      <c r="HA41" s="1" t="str">
        <f t="shared" ca="1" si="77"/>
        <v/>
      </c>
      <c r="HE41" s="1" t="e">
        <f>MATCH(CONCATENATE($B41,"_",INDEX($C$4:$C36,HE$34)),lu_DataCode,0)</f>
        <v>#N/A</v>
      </c>
      <c r="HF41" s="1" t="e">
        <f t="shared" ca="1" si="78"/>
        <v>#N/A</v>
      </c>
      <c r="HG41" s="1" t="e">
        <f t="shared" ca="1" si="79"/>
        <v>#N/A</v>
      </c>
      <c r="HH41" s="1">
        <f t="shared" ca="1" si="80"/>
        <v>0</v>
      </c>
      <c r="HI41" s="1">
        <f t="shared" ca="1" si="155"/>
        <v>-10000000000</v>
      </c>
      <c r="HJ41" s="1">
        <f ca="1">RANK(HI41,HI$37:HI$62,HI$34)+COUNTIF(HI$37:HI41,HI41)-1</f>
        <v>5</v>
      </c>
      <c r="HK41" s="1">
        <f t="shared" ca="1" si="81"/>
        <v>5</v>
      </c>
      <c r="HL41" s="1">
        <f t="shared" ca="1" si="156"/>
        <v>0</v>
      </c>
      <c r="HM41" s="1">
        <f t="shared" ca="1" si="157"/>
        <v>1</v>
      </c>
      <c r="HN41" s="1" t="str">
        <f t="shared" ca="1" si="158"/>
        <v/>
      </c>
      <c r="HO41" s="1" t="str">
        <f t="shared" ca="1" si="159"/>
        <v/>
      </c>
      <c r="HP41" s="1" t="str">
        <f t="shared" ca="1" si="82"/>
        <v/>
      </c>
      <c r="HQ41" s="1" t="str">
        <f t="shared" ca="1" si="83"/>
        <v/>
      </c>
      <c r="HU41" s="1" t="e">
        <f>MATCH(CONCATENATE($B41,"_",INDEX($C$4:$C36,HU$34)),lu_DataCode,0)</f>
        <v>#N/A</v>
      </c>
      <c r="HV41" s="1" t="e">
        <f t="shared" ca="1" si="84"/>
        <v>#N/A</v>
      </c>
      <c r="HW41" s="1" t="e">
        <f t="shared" ca="1" si="85"/>
        <v>#N/A</v>
      </c>
      <c r="HX41" s="1">
        <f t="shared" ca="1" si="86"/>
        <v>0</v>
      </c>
      <c r="HY41" s="1">
        <f t="shared" ca="1" si="160"/>
        <v>-10000000000</v>
      </c>
      <c r="HZ41" s="1">
        <f ca="1">RANK(HY41,HY$37:HY$62,HY$34)+COUNTIF(HY$37:HY41,HY41)-1</f>
        <v>5</v>
      </c>
      <c r="IA41" s="1">
        <f t="shared" ca="1" si="87"/>
        <v>5</v>
      </c>
      <c r="IB41" s="1">
        <f t="shared" ca="1" si="161"/>
        <v>0</v>
      </c>
      <c r="IC41" s="1">
        <f t="shared" ca="1" si="162"/>
        <v>1</v>
      </c>
      <c r="ID41" s="1" t="str">
        <f t="shared" ca="1" si="163"/>
        <v/>
      </c>
      <c r="IE41" s="1" t="str">
        <f t="shared" ca="1" si="164"/>
        <v/>
      </c>
      <c r="IF41" s="1" t="str">
        <f t="shared" ca="1" si="88"/>
        <v/>
      </c>
      <c r="IG41" s="1" t="str">
        <f t="shared" ca="1" si="89"/>
        <v/>
      </c>
    </row>
    <row r="42" spans="1:241" ht="10.15" x14ac:dyDescent="0.2">
      <c r="A42" s="1">
        <v>6</v>
      </c>
      <c r="B42" s="1" t="str">
        <f>tblCountries!E8</f>
        <v>NAC_BR_1</v>
      </c>
      <c r="C42" s="1" t="str">
        <f>tblCountries!C8</f>
        <v>Brasil</v>
      </c>
      <c r="D42" s="1">
        <f>tblCountries!D8</f>
        <v>1</v>
      </c>
      <c r="E42" s="1">
        <f>MATCH(CONCATENATE($B42,"_",INDEX($C$4:$C37,E$34)),lu_DataCode,0)</f>
        <v>4</v>
      </c>
      <c r="F42" s="1">
        <f t="shared" ca="1" si="0"/>
        <v>2012</v>
      </c>
      <c r="G42" s="1">
        <f t="shared" ca="1" si="1"/>
        <v>4.5281547327290106</v>
      </c>
      <c r="H42" s="1">
        <f t="shared" ca="1" si="2"/>
        <v>1</v>
      </c>
      <c r="I42" s="1">
        <f t="shared" ca="1" si="90"/>
        <v>4.5281549999999999</v>
      </c>
      <c r="J42" s="1">
        <f ca="1">RANK(I42,I$37:I$62,I$34)+COUNTIF(I$37:I42,I42)-1</f>
        <v>19</v>
      </c>
      <c r="K42" s="1">
        <f t="shared" ca="1" si="3"/>
        <v>14</v>
      </c>
      <c r="L42" s="1">
        <f t="shared" ca="1" si="91"/>
        <v>1</v>
      </c>
      <c r="M42" s="1">
        <f t="shared" ca="1" si="92"/>
        <v>1</v>
      </c>
      <c r="N42" s="1">
        <f t="shared" ca="1" si="93"/>
        <v>6</v>
      </c>
      <c r="O42" s="1" t="str">
        <f t="shared" ca="1" si="94"/>
        <v>Haiti</v>
      </c>
      <c r="P42" s="1">
        <f t="shared" ca="1" si="4"/>
        <v>7.6910436445216401</v>
      </c>
      <c r="Q42" s="1">
        <f t="shared" ca="1" si="5"/>
        <v>2012</v>
      </c>
      <c r="U42" s="1">
        <f>MATCH(CONCATENATE($B42,"_",INDEX($C$4:$C37,U$34)),lu_DataCode,0)</f>
        <v>29</v>
      </c>
      <c r="V42" s="1">
        <f t="shared" ca="1" si="6"/>
        <v>2012</v>
      </c>
      <c r="W42" s="1">
        <f t="shared" ca="1" si="7"/>
        <v>198.36355800000001</v>
      </c>
      <c r="X42" s="1">
        <f t="shared" ca="1" si="8"/>
        <v>1</v>
      </c>
      <c r="Y42" s="1">
        <f t="shared" ca="1" si="95"/>
        <v>198.36355800000001</v>
      </c>
      <c r="Z42" s="1">
        <f ca="1">RANK(Y42,Y$37:Y$62,Y$34)+COUNTIF(Y$37:Y42,Y42)-1</f>
        <v>1</v>
      </c>
      <c r="AA42" s="1">
        <f t="shared" ca="1" si="9"/>
        <v>26</v>
      </c>
      <c r="AB42" s="1">
        <f t="shared" ca="1" si="96"/>
        <v>1</v>
      </c>
      <c r="AC42" s="1">
        <f t="shared" ca="1" si="97"/>
        <v>1</v>
      </c>
      <c r="AD42" s="1">
        <f t="shared" ca="1" si="98"/>
        <v>6</v>
      </c>
      <c r="AE42" s="1" t="str">
        <f t="shared" ca="1" si="99"/>
        <v>Venezuela</v>
      </c>
      <c r="AF42" s="1">
        <f t="shared" ca="1" si="10"/>
        <v>29.516999999999999</v>
      </c>
      <c r="AG42" s="1">
        <f t="shared" ca="1" si="11"/>
        <v>2012</v>
      </c>
      <c r="AK42" s="1">
        <f>MATCH(CONCATENATE($B42,"_",INDEX($C$4:$C37,AK$34)),lu_DataCode,0)</f>
        <v>55</v>
      </c>
      <c r="AL42" s="1">
        <f t="shared" ca="1" si="12"/>
        <v>2012</v>
      </c>
      <c r="AM42" s="1">
        <f t="shared" ca="1" si="13"/>
        <v>8514880</v>
      </c>
      <c r="AN42" s="1">
        <f t="shared" ca="1" si="14"/>
        <v>1</v>
      </c>
      <c r="AO42" s="1">
        <f t="shared" ca="1" si="100"/>
        <v>8514880</v>
      </c>
      <c r="AP42" s="1">
        <f ca="1">RANK(AO42,AO$37:AO$62,AO$34)+COUNTIF(AO$37:AO42,AO42)-1</f>
        <v>1</v>
      </c>
      <c r="AQ42" s="1">
        <f t="shared" ca="1" si="15"/>
        <v>5</v>
      </c>
      <c r="AR42" s="1">
        <f t="shared" ca="1" si="101"/>
        <v>1</v>
      </c>
      <c r="AS42" s="1">
        <f t="shared" ca="1" si="102"/>
        <v>1</v>
      </c>
      <c r="AT42" s="1">
        <f t="shared" ca="1" si="103"/>
        <v>6</v>
      </c>
      <c r="AU42" s="1" t="str">
        <f t="shared" ca="1" si="104"/>
        <v>Bolivia</v>
      </c>
      <c r="AV42" s="1">
        <f t="shared" ca="1" si="16"/>
        <v>1098581</v>
      </c>
      <c r="AW42" s="1">
        <f t="shared" ca="1" si="17"/>
        <v>2012</v>
      </c>
      <c r="BA42" s="1">
        <f>MATCH(CONCATENATE($B42,"_",INDEX($C$4:$C37,BA$34)),lu_DataCode,0)</f>
        <v>81</v>
      </c>
      <c r="BB42" s="1">
        <f t="shared" ca="1" si="18"/>
        <v>2012</v>
      </c>
      <c r="BC42" s="1">
        <f t="shared" ca="1" si="19"/>
        <v>2395.9679999999998</v>
      </c>
      <c r="BD42" s="1">
        <f t="shared" ca="1" si="20"/>
        <v>1</v>
      </c>
      <c r="BE42" s="1">
        <f t="shared" ca="1" si="105"/>
        <v>2395.9679999999998</v>
      </c>
      <c r="BF42" s="1">
        <f ca="1">RANK(BE42,BE$37:BE$62,BE$34)+COUNTIF(BE$37:BE42,BE42)-1</f>
        <v>1</v>
      </c>
      <c r="BG42" s="1">
        <f t="shared" ca="1" si="21"/>
        <v>7</v>
      </c>
      <c r="BH42" s="1">
        <f t="shared" ca="1" si="106"/>
        <v>1</v>
      </c>
      <c r="BI42" s="1">
        <f t="shared" ca="1" si="107"/>
        <v>1</v>
      </c>
      <c r="BJ42" s="1">
        <f t="shared" ca="1" si="108"/>
        <v>6</v>
      </c>
      <c r="BK42" s="1" t="str">
        <f t="shared" ca="1" si="109"/>
        <v>Chile</v>
      </c>
      <c r="BL42" s="1">
        <f t="shared" ca="1" si="22"/>
        <v>268.30249824834198</v>
      </c>
      <c r="BM42" s="1">
        <f t="shared" ca="1" si="23"/>
        <v>2012</v>
      </c>
      <c r="BQ42" s="1">
        <f>MATCH(CONCATENATE($B42,"_",INDEX($C$4:$C37,BQ$34)),lu_DataCode,0)</f>
        <v>107</v>
      </c>
      <c r="BR42" s="1">
        <f t="shared" ca="1" si="24"/>
        <v>2012</v>
      </c>
      <c r="BS42" s="1">
        <f t="shared" ca="1" si="25"/>
        <v>2355.5859999999998</v>
      </c>
      <c r="BT42" s="1">
        <f t="shared" ca="1" si="26"/>
        <v>1</v>
      </c>
      <c r="BU42" s="1">
        <f t="shared" ca="1" si="110"/>
        <v>2355.5859999999998</v>
      </c>
      <c r="BV42" s="1">
        <f ca="1">RANK(BU42,BU$37:BU$62,BU$34)+COUNTIF(BU$37:BU42,BU42)-1</f>
        <v>1</v>
      </c>
      <c r="BW42" s="1">
        <f t="shared" ca="1" si="27"/>
        <v>21</v>
      </c>
      <c r="BX42" s="1">
        <f t="shared" ca="1" si="111"/>
        <v>1</v>
      </c>
      <c r="BY42" s="1">
        <f t="shared" ca="1" si="112"/>
        <v>1</v>
      </c>
      <c r="BZ42" s="1">
        <f t="shared" ca="1" si="113"/>
        <v>6</v>
      </c>
      <c r="CA42" s="1" t="str">
        <f t="shared" ca="1" si="114"/>
        <v>Peru</v>
      </c>
      <c r="CB42" s="1">
        <f t="shared" ca="1" si="28"/>
        <v>326.661</v>
      </c>
      <c r="CC42" s="1">
        <f t="shared" ca="1" si="29"/>
        <v>2012</v>
      </c>
      <c r="CG42" s="1">
        <f>MATCH(CONCATENATE($B42,"_",INDEX($C$4:$C37,CG$34)),lu_DataCode,0)</f>
        <v>133</v>
      </c>
      <c r="CH42" s="1">
        <f t="shared" ca="1" si="30"/>
        <v>2012</v>
      </c>
      <c r="CI42" s="1">
        <f t="shared" ca="1" si="31"/>
        <v>16.966999999999999</v>
      </c>
      <c r="CJ42" s="1">
        <f t="shared" ca="1" si="32"/>
        <v>1</v>
      </c>
      <c r="CK42" s="1">
        <f t="shared" ca="1" si="115"/>
        <v>16.966999999999999</v>
      </c>
      <c r="CL42" s="1">
        <f ca="1">RANK(CK42,CK$37:CK$62,CK$34)+COUNTIF(CK$37:CK42,CK42)-1</f>
        <v>1</v>
      </c>
      <c r="CM42" s="1">
        <f t="shared" ca="1" si="33"/>
        <v>8</v>
      </c>
      <c r="CN42" s="1">
        <f t="shared" ca="1" si="116"/>
        <v>1</v>
      </c>
      <c r="CO42" s="1">
        <f t="shared" ca="1" si="117"/>
        <v>1</v>
      </c>
      <c r="CP42" s="1">
        <f t="shared" ca="1" si="118"/>
        <v>6</v>
      </c>
      <c r="CQ42" s="1" t="str">
        <f t="shared" ca="1" si="119"/>
        <v>Colombia</v>
      </c>
      <c r="CR42" s="1">
        <f t="shared" ca="1" si="34"/>
        <v>3.4607169999999998</v>
      </c>
      <c r="CS42" s="1">
        <f t="shared" ca="1" si="35"/>
        <v>2012</v>
      </c>
      <c r="CW42" s="1">
        <f>MATCH(CONCATENATE($B42,"_",INDEX($C$4:$C37,CW$34)),lu_DataCode,0)</f>
        <v>159</v>
      </c>
      <c r="CX42" s="1">
        <f t="shared" ca="1" si="36"/>
        <v>2012</v>
      </c>
      <c r="CY42" s="1">
        <f t="shared" ca="1" si="37"/>
        <v>6.7060000000000004</v>
      </c>
      <c r="CZ42" s="1">
        <f t="shared" ca="1" si="38"/>
        <v>1</v>
      </c>
      <c r="DA42" s="1">
        <f t="shared" ca="1" si="120"/>
        <v>6.7060000000000004</v>
      </c>
      <c r="DB42" s="1">
        <f ca="1">RANK(DA42,DA$37:DA$62,DA$34)+COUNTIF(DA$37:DA42,DA42)-1</f>
        <v>2</v>
      </c>
      <c r="DC42" s="1">
        <f t="shared" ca="1" si="39"/>
        <v>8</v>
      </c>
      <c r="DD42" s="1">
        <f t="shared" ca="1" si="121"/>
        <v>1</v>
      </c>
      <c r="DE42" s="1">
        <f t="shared" ca="1" si="122"/>
        <v>1</v>
      </c>
      <c r="DF42" s="1">
        <f t="shared" ca="1" si="123"/>
        <v>6</v>
      </c>
      <c r="DG42" s="1" t="str">
        <f t="shared" ca="1" si="124"/>
        <v>Colombia</v>
      </c>
      <c r="DH42" s="1">
        <f t="shared" ca="1" si="40"/>
        <v>1.4703040000000001</v>
      </c>
      <c r="DI42" s="1">
        <f t="shared" ca="1" si="41"/>
        <v>2012</v>
      </c>
      <c r="DM42" s="1">
        <f>MATCH(CONCATENATE($B42,"_",INDEX($C$4:$C37,DM$34)),lu_DataCode,0)</f>
        <v>183</v>
      </c>
      <c r="DN42" s="1">
        <f t="shared" ca="1" si="42"/>
        <v>2012</v>
      </c>
      <c r="DO42" s="1">
        <f t="shared" ca="1" si="43"/>
        <v>244.5488751</v>
      </c>
      <c r="DP42" s="1">
        <f t="shared" ca="1" si="44"/>
        <v>1</v>
      </c>
      <c r="DQ42" s="1">
        <f t="shared" ca="1" si="125"/>
        <v>244.54887500000001</v>
      </c>
      <c r="DR42" s="1">
        <f ca="1">RANK(DQ42,DQ$37:DQ$62,DQ$34)+COUNTIF(DQ$37:DQ42,DQ42)-1</f>
        <v>2</v>
      </c>
      <c r="DS42" s="1">
        <f t="shared" ca="1" si="45"/>
        <v>8</v>
      </c>
      <c r="DT42" s="1">
        <f t="shared" ca="1" si="126"/>
        <v>1</v>
      </c>
      <c r="DU42" s="1">
        <f t="shared" ca="1" si="127"/>
        <v>1</v>
      </c>
      <c r="DV42" s="1">
        <f t="shared" ca="1" si="128"/>
        <v>6</v>
      </c>
      <c r="DW42" s="1" t="str">
        <f t="shared" ca="1" si="129"/>
        <v>Colombia</v>
      </c>
      <c r="DX42" s="1">
        <f t="shared" ca="1" si="46"/>
        <v>60.125165917929998</v>
      </c>
      <c r="DY42" s="1">
        <f t="shared" ca="1" si="47"/>
        <v>2012</v>
      </c>
      <c r="EC42" s="1">
        <f>MATCH(CONCATENATE($B42,"_",INDEX($C$4:$C37,EC$34)),lu_DataCode,0)</f>
        <v>209</v>
      </c>
      <c r="ED42" s="1">
        <f t="shared" ca="1" si="48"/>
        <v>2012</v>
      </c>
      <c r="EE42" s="1">
        <f t="shared" ca="1" si="49"/>
        <v>537536631.38199997</v>
      </c>
      <c r="EF42" s="1">
        <f t="shared" ca="1" si="50"/>
        <v>1</v>
      </c>
      <c r="EG42" s="1">
        <f t="shared" ca="1" si="130"/>
        <v>537536631.38199997</v>
      </c>
      <c r="EH42" s="1">
        <f ca="1">RANK(EG42,EG$37:EG$62,EG$34)+COUNTIF(EG$37:EG42,EG42)-1</f>
        <v>1</v>
      </c>
      <c r="EI42" s="1">
        <f t="shared" ca="1" si="51"/>
        <v>7</v>
      </c>
      <c r="EJ42" s="1">
        <f t="shared" ca="1" si="131"/>
        <v>1</v>
      </c>
      <c r="EK42" s="1">
        <f t="shared" ca="1" si="132"/>
        <v>1</v>
      </c>
      <c r="EL42" s="1">
        <f t="shared" ca="1" si="133"/>
        <v>6</v>
      </c>
      <c r="EM42" s="1" t="str">
        <f t="shared" ca="1" si="134"/>
        <v>Chile</v>
      </c>
      <c r="EN42" s="1">
        <f t="shared" ca="1" si="52"/>
        <v>43837764.449000001</v>
      </c>
      <c r="EO42" s="1">
        <f t="shared" ca="1" si="53"/>
        <v>2012</v>
      </c>
      <c r="ES42" s="1">
        <f>MATCH(CONCATENATE($B42,"_",INDEX($C$4:$C37,ES$34)),lu_DataCode,0)</f>
        <v>234</v>
      </c>
      <c r="ET42" s="1">
        <f t="shared" ca="1" si="54"/>
        <v>2012</v>
      </c>
      <c r="EU42" s="1">
        <f t="shared" ca="1" si="55"/>
        <v>226.3847342</v>
      </c>
      <c r="EV42" s="1">
        <f t="shared" ca="1" si="56"/>
        <v>1</v>
      </c>
      <c r="EW42" s="1">
        <f t="shared" ca="1" si="135"/>
        <v>226.38473400000001</v>
      </c>
      <c r="EX42" s="1">
        <f ca="1">RANK(EW42,EW$37:EW$62,EW$34)+COUNTIF(EW$37:EW42,EW42)-1</f>
        <v>2</v>
      </c>
      <c r="EY42" s="1">
        <f t="shared" ca="1" si="57"/>
        <v>8</v>
      </c>
      <c r="EZ42" s="1">
        <f t="shared" ca="1" si="136"/>
        <v>1</v>
      </c>
      <c r="FA42" s="1">
        <f t="shared" ca="1" si="137"/>
        <v>1</v>
      </c>
      <c r="FB42" s="1">
        <f t="shared" ca="1" si="138"/>
        <v>6</v>
      </c>
      <c r="FC42" s="1" t="str">
        <f t="shared" ca="1" si="139"/>
        <v>Colombia</v>
      </c>
      <c r="FD42" s="1">
        <f t="shared" ca="1" si="58"/>
        <v>56.092407639420003</v>
      </c>
      <c r="FE42" s="1">
        <f t="shared" ca="1" si="59"/>
        <v>2012</v>
      </c>
      <c r="FI42" s="1">
        <f>MATCH(CONCATENATE($B42,"_",INDEX($C$4:$C37,FI$34)),lu_DataCode,0)</f>
        <v>260</v>
      </c>
      <c r="FJ42" s="1">
        <f t="shared" ca="1" si="60"/>
        <v>2012</v>
      </c>
      <c r="FK42" s="1">
        <f t="shared" ca="1" si="61"/>
        <v>140958417.26899999</v>
      </c>
      <c r="FL42" s="1">
        <f t="shared" ca="1" si="62"/>
        <v>1</v>
      </c>
      <c r="FM42" s="1">
        <f t="shared" ca="1" si="140"/>
        <v>140958417.26899999</v>
      </c>
      <c r="FN42" s="1">
        <f ca="1">RANK(FM42,FM$37:FM$62,FM$34)+COUNTIF(FM$37:FM42,FM42)-1</f>
        <v>2</v>
      </c>
      <c r="FO42" s="1">
        <f t="shared" ca="1" si="63"/>
        <v>21</v>
      </c>
      <c r="FP42" s="1">
        <f t="shared" ca="1" si="141"/>
        <v>1</v>
      </c>
      <c r="FQ42" s="1">
        <f t="shared" ca="1" si="142"/>
        <v>1</v>
      </c>
      <c r="FR42" s="1">
        <f t="shared" ca="1" si="143"/>
        <v>6</v>
      </c>
      <c r="FS42" s="1" t="str">
        <f t="shared" ca="1" si="144"/>
        <v>Peru</v>
      </c>
      <c r="FT42" s="1">
        <f t="shared" ca="1" si="64"/>
        <v>26737647.521000002</v>
      </c>
      <c r="FU42" s="1">
        <f t="shared" ca="1" si="65"/>
        <v>2012</v>
      </c>
      <c r="FY42" s="1" t="e">
        <f>MATCH(CONCATENATE($B42,"_",INDEX($C$4:$C37,FY$34)),lu_DataCode,0)</f>
        <v>#N/A</v>
      </c>
      <c r="FZ42" s="1" t="e">
        <f t="shared" ca="1" si="66"/>
        <v>#N/A</v>
      </c>
      <c r="GA42" s="1" t="e">
        <f t="shared" ca="1" si="67"/>
        <v>#N/A</v>
      </c>
      <c r="GB42" s="1">
        <f t="shared" ca="1" si="68"/>
        <v>0</v>
      </c>
      <c r="GC42" s="1">
        <f t="shared" ca="1" si="145"/>
        <v>-10000000000</v>
      </c>
      <c r="GD42" s="1">
        <f ca="1">RANK(GC42,GC$37:GC$62,GC$34)+COUNTIF(GC$37:GC42,GC42)-1</f>
        <v>6</v>
      </c>
      <c r="GE42" s="1">
        <f t="shared" ca="1" si="69"/>
        <v>6</v>
      </c>
      <c r="GF42" s="1">
        <f t="shared" ca="1" si="146"/>
        <v>0</v>
      </c>
      <c r="GG42" s="1">
        <f t="shared" ca="1" si="147"/>
        <v>1</v>
      </c>
      <c r="GH42" s="1" t="str">
        <f t="shared" ca="1" si="148"/>
        <v/>
      </c>
      <c r="GI42" s="1" t="str">
        <f t="shared" ca="1" si="149"/>
        <v/>
      </c>
      <c r="GJ42" s="1" t="str">
        <f t="shared" ca="1" si="70"/>
        <v/>
      </c>
      <c r="GK42" s="1" t="str">
        <f t="shared" ca="1" si="71"/>
        <v/>
      </c>
      <c r="GO42" s="1" t="e">
        <f>MATCH(CONCATENATE($B42,"_",INDEX($C$4:$C37,GO$34)),lu_DataCode,0)</f>
        <v>#N/A</v>
      </c>
      <c r="GP42" s="1" t="e">
        <f t="shared" ca="1" si="72"/>
        <v>#N/A</v>
      </c>
      <c r="GQ42" s="1" t="e">
        <f t="shared" ca="1" si="73"/>
        <v>#N/A</v>
      </c>
      <c r="GR42" s="1">
        <f t="shared" ca="1" si="74"/>
        <v>0</v>
      </c>
      <c r="GS42" s="1">
        <f t="shared" ca="1" si="150"/>
        <v>-10000000000</v>
      </c>
      <c r="GT42" s="1">
        <f ca="1">RANK(GS42,GS$37:GS$62,GS$34)+COUNTIF(GS$37:GS42,GS42)-1</f>
        <v>6</v>
      </c>
      <c r="GU42" s="1">
        <f t="shared" ca="1" si="75"/>
        <v>6</v>
      </c>
      <c r="GV42" s="1">
        <f t="shared" ca="1" si="151"/>
        <v>0</v>
      </c>
      <c r="GW42" s="1">
        <f t="shared" ca="1" si="152"/>
        <v>1</v>
      </c>
      <c r="GX42" s="1" t="str">
        <f t="shared" ca="1" si="153"/>
        <v/>
      </c>
      <c r="GY42" s="1" t="str">
        <f t="shared" ca="1" si="154"/>
        <v/>
      </c>
      <c r="GZ42" s="1" t="str">
        <f t="shared" ca="1" si="76"/>
        <v/>
      </c>
      <c r="HA42" s="1" t="str">
        <f t="shared" ca="1" si="77"/>
        <v/>
      </c>
      <c r="HE42" s="1" t="e">
        <f>MATCH(CONCATENATE($B42,"_",INDEX($C$4:$C37,HE$34)),lu_DataCode,0)</f>
        <v>#N/A</v>
      </c>
      <c r="HF42" s="1" t="e">
        <f t="shared" ca="1" si="78"/>
        <v>#N/A</v>
      </c>
      <c r="HG42" s="1" t="e">
        <f t="shared" ca="1" si="79"/>
        <v>#N/A</v>
      </c>
      <c r="HH42" s="1">
        <f t="shared" ca="1" si="80"/>
        <v>0</v>
      </c>
      <c r="HI42" s="1">
        <f t="shared" ca="1" si="155"/>
        <v>-10000000000</v>
      </c>
      <c r="HJ42" s="1">
        <f ca="1">RANK(HI42,HI$37:HI$62,HI$34)+COUNTIF(HI$37:HI42,HI42)-1</f>
        <v>6</v>
      </c>
      <c r="HK42" s="1">
        <f t="shared" ca="1" si="81"/>
        <v>6</v>
      </c>
      <c r="HL42" s="1">
        <f t="shared" ca="1" si="156"/>
        <v>0</v>
      </c>
      <c r="HM42" s="1">
        <f t="shared" ca="1" si="157"/>
        <v>1</v>
      </c>
      <c r="HN42" s="1" t="str">
        <f t="shared" ca="1" si="158"/>
        <v/>
      </c>
      <c r="HO42" s="1" t="str">
        <f t="shared" ca="1" si="159"/>
        <v/>
      </c>
      <c r="HP42" s="1" t="str">
        <f t="shared" ca="1" si="82"/>
        <v/>
      </c>
      <c r="HQ42" s="1" t="str">
        <f t="shared" ca="1" si="83"/>
        <v/>
      </c>
      <c r="HU42" s="1" t="e">
        <f>MATCH(CONCATENATE($B42,"_",INDEX($C$4:$C37,HU$34)),lu_DataCode,0)</f>
        <v>#N/A</v>
      </c>
      <c r="HV42" s="1" t="e">
        <f t="shared" ca="1" si="84"/>
        <v>#N/A</v>
      </c>
      <c r="HW42" s="1" t="e">
        <f t="shared" ca="1" si="85"/>
        <v>#N/A</v>
      </c>
      <c r="HX42" s="1">
        <f t="shared" ca="1" si="86"/>
        <v>0</v>
      </c>
      <c r="HY42" s="1">
        <f t="shared" ca="1" si="160"/>
        <v>-10000000000</v>
      </c>
      <c r="HZ42" s="1">
        <f ca="1">RANK(HY42,HY$37:HY$62,HY$34)+COUNTIF(HY$37:HY42,HY42)-1</f>
        <v>6</v>
      </c>
      <c r="IA42" s="1">
        <f t="shared" ca="1" si="87"/>
        <v>6</v>
      </c>
      <c r="IB42" s="1">
        <f t="shared" ca="1" si="161"/>
        <v>0</v>
      </c>
      <c r="IC42" s="1">
        <f t="shared" ca="1" si="162"/>
        <v>1</v>
      </c>
      <c r="ID42" s="1" t="str">
        <f t="shared" ca="1" si="163"/>
        <v/>
      </c>
      <c r="IE42" s="1" t="str">
        <f t="shared" ca="1" si="164"/>
        <v/>
      </c>
      <c r="IF42" s="1" t="str">
        <f t="shared" ca="1" si="88"/>
        <v/>
      </c>
      <c r="IG42" s="1" t="str">
        <f t="shared" ca="1" si="89"/>
        <v/>
      </c>
    </row>
    <row r="43" spans="1:241" ht="10.15" x14ac:dyDescent="0.2">
      <c r="A43" s="1">
        <v>7</v>
      </c>
      <c r="B43" s="1" t="str">
        <f>tblCountries!E9</f>
        <v>NAC_CL_1</v>
      </c>
      <c r="C43" s="1" t="str">
        <f>tblCountries!C9</f>
        <v>Chile</v>
      </c>
      <c r="D43" s="1">
        <f>tblCountries!D9</f>
        <v>1</v>
      </c>
      <c r="E43" s="1">
        <f>MATCH(CONCATENATE($B43,"_",INDEX($C$4:$C38,E$34)),lu_DataCode,0)</f>
        <v>6</v>
      </c>
      <c r="F43" s="1">
        <f t="shared" ca="1" si="0"/>
        <v>2012</v>
      </c>
      <c r="G43" s="1">
        <f t="shared" ca="1" si="1"/>
        <v>4.01</v>
      </c>
      <c r="H43" s="1">
        <f t="shared" ca="1" si="2"/>
        <v>1</v>
      </c>
      <c r="I43" s="1">
        <f t="shared" ca="1" si="90"/>
        <v>4.01</v>
      </c>
      <c r="J43" s="1">
        <f ca="1">RANK(I43,I$37:I$62,I$34)+COUNTIF(I$37:I43,I43)-1</f>
        <v>21</v>
      </c>
      <c r="K43" s="1">
        <f t="shared" ca="1" si="3"/>
        <v>1</v>
      </c>
      <c r="L43" s="1">
        <f t="shared" ca="1" si="91"/>
        <v>1</v>
      </c>
      <c r="M43" s="1">
        <f t="shared" ca="1" si="92"/>
        <v>1</v>
      </c>
      <c r="N43" s="1">
        <f t="shared" ca="1" si="93"/>
        <v>7</v>
      </c>
      <c r="O43" s="1" t="str">
        <f t="shared" ca="1" si="94"/>
        <v>Argentina</v>
      </c>
      <c r="P43" s="1">
        <f t="shared" ca="1" si="4"/>
        <v>7.2048221837913999</v>
      </c>
      <c r="Q43" s="1">
        <f t="shared" ca="1" si="5"/>
        <v>2012</v>
      </c>
      <c r="U43" s="1">
        <f>MATCH(CONCATENATE($B43,"_",INDEX($C$4:$C38,U$34)),lu_DataCode,0)</f>
        <v>31</v>
      </c>
      <c r="V43" s="1">
        <f t="shared" ca="1" si="6"/>
        <v>2012</v>
      </c>
      <c r="W43" s="1">
        <f t="shared" ca="1" si="7"/>
        <v>17.402999999999999</v>
      </c>
      <c r="X43" s="1">
        <f t="shared" ca="1" si="8"/>
        <v>1</v>
      </c>
      <c r="Y43" s="1">
        <f t="shared" ca="1" si="95"/>
        <v>17.402999999999999</v>
      </c>
      <c r="Z43" s="1">
        <f ca="1">RANK(Y43,Y$37:Y$62,Y$34)+COUNTIF(Y$37:Y43,Y43)-1</f>
        <v>7</v>
      </c>
      <c r="AA43" s="1">
        <f t="shared" ca="1" si="9"/>
        <v>7</v>
      </c>
      <c r="AB43" s="1">
        <f t="shared" ca="1" si="96"/>
        <v>1</v>
      </c>
      <c r="AC43" s="1">
        <f t="shared" ca="1" si="97"/>
        <v>1</v>
      </c>
      <c r="AD43" s="1">
        <f t="shared" ca="1" si="98"/>
        <v>7</v>
      </c>
      <c r="AE43" s="1" t="str">
        <f t="shared" ca="1" si="99"/>
        <v>Chile</v>
      </c>
      <c r="AF43" s="1">
        <f t="shared" ca="1" si="10"/>
        <v>17.402999999999999</v>
      </c>
      <c r="AG43" s="1">
        <f t="shared" ca="1" si="11"/>
        <v>2012</v>
      </c>
      <c r="AK43" s="1">
        <f>MATCH(CONCATENATE($B43,"_",INDEX($C$4:$C38,AK$34)),lu_DataCode,0)</f>
        <v>57</v>
      </c>
      <c r="AL43" s="1">
        <f t="shared" ca="1" si="12"/>
        <v>2012</v>
      </c>
      <c r="AM43" s="1">
        <f t="shared" ca="1" si="13"/>
        <v>756090</v>
      </c>
      <c r="AN43" s="1">
        <f t="shared" ca="1" si="14"/>
        <v>1</v>
      </c>
      <c r="AO43" s="1">
        <f t="shared" ca="1" si="100"/>
        <v>756090</v>
      </c>
      <c r="AP43" s="1">
        <f ca="1">RANK(AO43,AO$37:AO$62,AO$34)+COUNTIF(AO$37:AO43,AO43)-1</f>
        <v>8</v>
      </c>
      <c r="AQ43" s="1">
        <f t="shared" ca="1" si="15"/>
        <v>26</v>
      </c>
      <c r="AR43" s="1">
        <f t="shared" ca="1" si="101"/>
        <v>1</v>
      </c>
      <c r="AS43" s="1">
        <f t="shared" ca="1" si="102"/>
        <v>1</v>
      </c>
      <c r="AT43" s="1">
        <f t="shared" ca="1" si="103"/>
        <v>7</v>
      </c>
      <c r="AU43" s="1" t="str">
        <f t="shared" ca="1" si="104"/>
        <v>Venezuela</v>
      </c>
      <c r="AV43" s="1">
        <f t="shared" ca="1" si="16"/>
        <v>912050</v>
      </c>
      <c r="AW43" s="1">
        <f t="shared" ca="1" si="17"/>
        <v>2012</v>
      </c>
      <c r="BA43" s="1">
        <f>MATCH(CONCATENATE($B43,"_",INDEX($C$4:$C38,BA$34)),lu_DataCode,0)</f>
        <v>83</v>
      </c>
      <c r="BB43" s="1">
        <f t="shared" ca="1" si="18"/>
        <v>2012</v>
      </c>
      <c r="BC43" s="1">
        <f t="shared" ca="1" si="19"/>
        <v>268.30249824834198</v>
      </c>
      <c r="BD43" s="1">
        <f t="shared" ca="1" si="20"/>
        <v>1</v>
      </c>
      <c r="BE43" s="1">
        <f t="shared" ca="1" si="105"/>
        <v>268.30249800000001</v>
      </c>
      <c r="BF43" s="1">
        <f ca="1">RANK(BE43,BE$37:BE$62,BE$34)+COUNTIF(BE$37:BE43,BE43)-1</f>
        <v>6</v>
      </c>
      <c r="BG43" s="1">
        <f t="shared" ca="1" si="21"/>
        <v>21</v>
      </c>
      <c r="BH43" s="1">
        <f t="shared" ca="1" si="106"/>
        <v>1</v>
      </c>
      <c r="BI43" s="1">
        <f t="shared" ca="1" si="107"/>
        <v>1</v>
      </c>
      <c r="BJ43" s="1">
        <f t="shared" ca="1" si="108"/>
        <v>7</v>
      </c>
      <c r="BK43" s="1" t="str">
        <f t="shared" ca="1" si="109"/>
        <v>Peru</v>
      </c>
      <c r="BL43" s="1">
        <f t="shared" ca="1" si="22"/>
        <v>199.00299999999999</v>
      </c>
      <c r="BM43" s="1">
        <f t="shared" ca="1" si="23"/>
        <v>2012</v>
      </c>
      <c r="BQ43" s="1">
        <f>MATCH(CONCATENATE($B43,"_",INDEX($C$4:$C38,BQ$34)),lu_DataCode,0)</f>
        <v>109</v>
      </c>
      <c r="BR43" s="1">
        <f t="shared" ca="1" si="24"/>
        <v>2012</v>
      </c>
      <c r="BS43" s="1">
        <f t="shared" ca="1" si="25"/>
        <v>320.54000000000002</v>
      </c>
      <c r="BT43" s="1">
        <f t="shared" ca="1" si="26"/>
        <v>1</v>
      </c>
      <c r="BU43" s="1">
        <f t="shared" ca="1" si="110"/>
        <v>320.54000000000002</v>
      </c>
      <c r="BV43" s="1">
        <f ca="1">RANK(BU43,BU$37:BU$62,BU$34)+COUNTIF(BU$37:BU43,BU43)-1</f>
        <v>7</v>
      </c>
      <c r="BW43" s="1">
        <f t="shared" ca="1" si="27"/>
        <v>7</v>
      </c>
      <c r="BX43" s="1">
        <f t="shared" ca="1" si="111"/>
        <v>1</v>
      </c>
      <c r="BY43" s="1">
        <f t="shared" ca="1" si="112"/>
        <v>1</v>
      </c>
      <c r="BZ43" s="1">
        <f t="shared" ca="1" si="113"/>
        <v>7</v>
      </c>
      <c r="CA43" s="1" t="str">
        <f t="shared" ca="1" si="114"/>
        <v>Chile</v>
      </c>
      <c r="CB43" s="1">
        <f t="shared" ca="1" si="28"/>
        <v>320.54000000000002</v>
      </c>
      <c r="CC43" s="1">
        <f t="shared" ca="1" si="29"/>
        <v>2012</v>
      </c>
      <c r="CG43" s="1">
        <f>MATCH(CONCATENATE($B43,"_",INDEX($C$4:$C38,CG$34)),lu_DataCode,0)</f>
        <v>135</v>
      </c>
      <c r="CH43" s="1">
        <f t="shared" ca="1" si="30"/>
        <v>2012</v>
      </c>
      <c r="CI43" s="1">
        <f t="shared" ca="1" si="31"/>
        <v>7.1905953890000003</v>
      </c>
      <c r="CJ43" s="1">
        <f t="shared" ca="1" si="32"/>
        <v>1</v>
      </c>
      <c r="CK43" s="1">
        <f t="shared" ca="1" si="115"/>
        <v>7.1905950000000001</v>
      </c>
      <c r="CL43" s="1">
        <f ca="1">RANK(CK43,CK$37:CK$62,CK$34)+COUNTIF(CK$37:CK43,CK43)-1</f>
        <v>3</v>
      </c>
      <c r="CM43" s="1">
        <f t="shared" ca="1" si="33"/>
        <v>10</v>
      </c>
      <c r="CN43" s="1">
        <f t="shared" ca="1" si="116"/>
        <v>1</v>
      </c>
      <c r="CO43" s="1">
        <f t="shared" ca="1" si="117"/>
        <v>1</v>
      </c>
      <c r="CP43" s="1">
        <f t="shared" ca="1" si="118"/>
        <v>7</v>
      </c>
      <c r="CQ43" s="1" t="str">
        <f t="shared" ca="1" si="119"/>
        <v>Ecuador</v>
      </c>
      <c r="CR43" s="1">
        <f t="shared" ca="1" si="34"/>
        <v>3.3943321000000002</v>
      </c>
      <c r="CS43" s="1">
        <f t="shared" ca="1" si="35"/>
        <v>2012</v>
      </c>
      <c r="CW43" s="1">
        <f>MATCH(CONCATENATE($B43,"_",INDEX($C$4:$C38,CW$34)),lu_DataCode,0)</f>
        <v>161</v>
      </c>
      <c r="CX43" s="1">
        <f t="shared" ca="1" si="36"/>
        <v>2012</v>
      </c>
      <c r="CY43" s="1">
        <f t="shared" ca="1" si="37"/>
        <v>6.7264964210000002</v>
      </c>
      <c r="CZ43" s="1">
        <f t="shared" ca="1" si="38"/>
        <v>1</v>
      </c>
      <c r="DA43" s="1">
        <f t="shared" ca="1" si="120"/>
        <v>6.726496</v>
      </c>
      <c r="DB43" s="1">
        <f ca="1">RANK(DA43,DA$37:DA$62,DA$34)+COUNTIF(DA$37:DA43,DA43)-1</f>
        <v>1</v>
      </c>
      <c r="DC43" s="1">
        <f t="shared" ca="1" si="39"/>
        <v>21</v>
      </c>
      <c r="DD43" s="1">
        <f t="shared" ca="1" si="121"/>
        <v>1</v>
      </c>
      <c r="DE43" s="1">
        <f t="shared" ca="1" si="122"/>
        <v>1</v>
      </c>
      <c r="DF43" s="1">
        <f t="shared" ca="1" si="123"/>
        <v>7</v>
      </c>
      <c r="DG43" s="1" t="str">
        <f t="shared" ca="1" si="124"/>
        <v>Peru</v>
      </c>
      <c r="DH43" s="1">
        <f t="shared" ca="1" si="40"/>
        <v>1.1391036000000001</v>
      </c>
      <c r="DI43" s="1">
        <f t="shared" ca="1" si="41"/>
        <v>2012</v>
      </c>
      <c r="DM43" s="1">
        <f>MATCH(CONCATENATE($B43,"_",INDEX($C$4:$C38,DM$34)),lu_DataCode,0)</f>
        <v>185</v>
      </c>
      <c r="DN43" s="1">
        <f t="shared" ca="1" si="42"/>
        <v>2012</v>
      </c>
      <c r="DO43" s="1">
        <f t="shared" ca="1" si="43"/>
        <v>78.276982606000004</v>
      </c>
      <c r="DP43" s="1">
        <f t="shared" ca="1" si="44"/>
        <v>1</v>
      </c>
      <c r="DQ43" s="1">
        <f t="shared" ca="1" si="125"/>
        <v>78.276983000000001</v>
      </c>
      <c r="DR43" s="1">
        <f ca="1">RANK(DQ43,DQ$37:DQ$62,DQ$34)+COUNTIF(DQ$37:DQ43,DQ43)-1</f>
        <v>5</v>
      </c>
      <c r="DS43" s="1">
        <f t="shared" ca="1" si="45"/>
        <v>21</v>
      </c>
      <c r="DT43" s="1">
        <f t="shared" ca="1" si="126"/>
        <v>1</v>
      </c>
      <c r="DU43" s="1">
        <f t="shared" ca="1" si="127"/>
        <v>1</v>
      </c>
      <c r="DV43" s="1">
        <f t="shared" ca="1" si="128"/>
        <v>7</v>
      </c>
      <c r="DW43" s="1" t="str">
        <f t="shared" ca="1" si="129"/>
        <v>Peru</v>
      </c>
      <c r="DX43" s="1">
        <f t="shared" ca="1" si="46"/>
        <v>45.383964800000001</v>
      </c>
      <c r="DY43" s="1">
        <f t="shared" ca="1" si="47"/>
        <v>2012</v>
      </c>
      <c r="EC43" s="1">
        <f>MATCH(CONCATENATE($B43,"_",INDEX($C$4:$C38,EC$34)),lu_DataCode,0)</f>
        <v>211</v>
      </c>
      <c r="ED43" s="1">
        <f t="shared" ca="1" si="48"/>
        <v>2012</v>
      </c>
      <c r="EE43" s="1">
        <f t="shared" ca="1" si="49"/>
        <v>43837764.449000001</v>
      </c>
      <c r="EF43" s="1">
        <f t="shared" ca="1" si="50"/>
        <v>1</v>
      </c>
      <c r="EG43" s="1">
        <f t="shared" ca="1" si="130"/>
        <v>43837764.449000001</v>
      </c>
      <c r="EH43" s="1">
        <f ca="1">RANK(EG43,EG$37:EG$62,EG$34)+COUNTIF(EG$37:EG43,EG43)-1</f>
        <v>6</v>
      </c>
      <c r="EI43" s="1">
        <f t="shared" ca="1" si="51"/>
        <v>21</v>
      </c>
      <c r="EJ43" s="1">
        <f t="shared" ca="1" si="131"/>
        <v>1</v>
      </c>
      <c r="EK43" s="1">
        <f t="shared" ca="1" si="132"/>
        <v>1</v>
      </c>
      <c r="EL43" s="1">
        <f t="shared" ca="1" si="133"/>
        <v>7</v>
      </c>
      <c r="EM43" s="1" t="str">
        <f t="shared" ca="1" si="134"/>
        <v>Peru</v>
      </c>
      <c r="EN43" s="1">
        <f t="shared" ca="1" si="52"/>
        <v>37059596.365000002</v>
      </c>
      <c r="EO43" s="1">
        <f t="shared" ca="1" si="53"/>
        <v>2012</v>
      </c>
      <c r="ES43" s="1">
        <f>MATCH(CONCATENATE($B43,"_",INDEX($C$4:$C38,ES$34)),lu_DataCode,0)</f>
        <v>236</v>
      </c>
      <c r="ET43" s="1">
        <f t="shared" ca="1" si="54"/>
        <v>2012</v>
      </c>
      <c r="EU43" s="1">
        <f t="shared" ca="1" si="55"/>
        <v>74.855107519000001</v>
      </c>
      <c r="EV43" s="1">
        <f t="shared" ca="1" si="56"/>
        <v>1</v>
      </c>
      <c r="EW43" s="1">
        <f t="shared" ca="1" si="135"/>
        <v>74.855108000000001</v>
      </c>
      <c r="EX43" s="1">
        <f ca="1">RANK(EW43,EW$37:EW$62,EW$34)+COUNTIF(EW$37:EW43,EW43)-1</f>
        <v>3</v>
      </c>
      <c r="EY43" s="1">
        <f t="shared" ca="1" si="57"/>
        <v>21</v>
      </c>
      <c r="EZ43" s="1">
        <f t="shared" ca="1" si="136"/>
        <v>1</v>
      </c>
      <c r="FA43" s="1">
        <f t="shared" ca="1" si="137"/>
        <v>1</v>
      </c>
      <c r="FB43" s="1">
        <f t="shared" ca="1" si="138"/>
        <v>7</v>
      </c>
      <c r="FC43" s="1" t="str">
        <f t="shared" ca="1" si="139"/>
        <v>Peru</v>
      </c>
      <c r="FD43" s="1">
        <f t="shared" ca="1" si="58"/>
        <v>40.220317899999998</v>
      </c>
      <c r="FE43" s="1">
        <f t="shared" ca="1" si="59"/>
        <v>2012</v>
      </c>
      <c r="FI43" s="1">
        <f>MATCH(CONCATENATE($B43,"_",INDEX($C$4:$C38,FI$34)),lu_DataCode,0)</f>
        <v>262</v>
      </c>
      <c r="FJ43" s="1">
        <f t="shared" ca="1" si="60"/>
        <v>2012</v>
      </c>
      <c r="FK43" s="1">
        <f t="shared" ca="1" si="61"/>
        <v>52120843.663999997</v>
      </c>
      <c r="FL43" s="1">
        <f t="shared" ca="1" si="62"/>
        <v>1</v>
      </c>
      <c r="FM43" s="1">
        <f t="shared" ca="1" si="140"/>
        <v>52120843.663999997</v>
      </c>
      <c r="FN43" s="1">
        <f ca="1">RANK(FM43,FM$37:FM$62,FM$34)+COUNTIF(FM$37:FM43,FM43)-1</f>
        <v>3</v>
      </c>
      <c r="FO43" s="1">
        <f t="shared" ca="1" si="63"/>
        <v>22</v>
      </c>
      <c r="FP43" s="1">
        <f t="shared" ca="1" si="141"/>
        <v>1</v>
      </c>
      <c r="FQ43" s="1">
        <f t="shared" ca="1" si="142"/>
        <v>1</v>
      </c>
      <c r="FR43" s="1">
        <f t="shared" ca="1" si="143"/>
        <v>7</v>
      </c>
      <c r="FS43" s="1" t="str">
        <f t="shared" ca="1" si="144"/>
        <v>Dominican Republic</v>
      </c>
      <c r="FT43" s="1">
        <f t="shared" ca="1" si="64"/>
        <v>16893447.26289</v>
      </c>
      <c r="FU43" s="1">
        <f t="shared" ca="1" si="65"/>
        <v>2012</v>
      </c>
      <c r="FY43" s="1" t="e">
        <f>MATCH(CONCATENATE($B43,"_",INDEX($C$4:$C38,FY$34)),lu_DataCode,0)</f>
        <v>#N/A</v>
      </c>
      <c r="FZ43" s="1" t="e">
        <f t="shared" ca="1" si="66"/>
        <v>#N/A</v>
      </c>
      <c r="GA43" s="1" t="e">
        <f t="shared" ca="1" si="67"/>
        <v>#N/A</v>
      </c>
      <c r="GB43" s="1">
        <f t="shared" ca="1" si="68"/>
        <v>0</v>
      </c>
      <c r="GC43" s="1">
        <f t="shared" ca="1" si="145"/>
        <v>-10000000000</v>
      </c>
      <c r="GD43" s="1">
        <f ca="1">RANK(GC43,GC$37:GC$62,GC$34)+COUNTIF(GC$37:GC43,GC43)-1</f>
        <v>7</v>
      </c>
      <c r="GE43" s="1">
        <f t="shared" ca="1" si="69"/>
        <v>7</v>
      </c>
      <c r="GF43" s="1">
        <f t="shared" ca="1" si="146"/>
        <v>0</v>
      </c>
      <c r="GG43" s="1">
        <f t="shared" ca="1" si="147"/>
        <v>1</v>
      </c>
      <c r="GH43" s="1" t="str">
        <f t="shared" ca="1" si="148"/>
        <v/>
      </c>
      <c r="GI43" s="1" t="str">
        <f t="shared" ca="1" si="149"/>
        <v/>
      </c>
      <c r="GJ43" s="1" t="str">
        <f t="shared" ca="1" si="70"/>
        <v/>
      </c>
      <c r="GK43" s="1" t="str">
        <f t="shared" ca="1" si="71"/>
        <v/>
      </c>
      <c r="GO43" s="1" t="e">
        <f>MATCH(CONCATENATE($B43,"_",INDEX($C$4:$C38,GO$34)),lu_DataCode,0)</f>
        <v>#N/A</v>
      </c>
      <c r="GP43" s="1" t="e">
        <f t="shared" ca="1" si="72"/>
        <v>#N/A</v>
      </c>
      <c r="GQ43" s="1" t="e">
        <f t="shared" ca="1" si="73"/>
        <v>#N/A</v>
      </c>
      <c r="GR43" s="1">
        <f t="shared" ca="1" si="74"/>
        <v>0</v>
      </c>
      <c r="GS43" s="1">
        <f t="shared" ca="1" si="150"/>
        <v>-10000000000</v>
      </c>
      <c r="GT43" s="1">
        <f ca="1">RANK(GS43,GS$37:GS$62,GS$34)+COUNTIF(GS$37:GS43,GS43)-1</f>
        <v>7</v>
      </c>
      <c r="GU43" s="1">
        <f t="shared" ca="1" si="75"/>
        <v>7</v>
      </c>
      <c r="GV43" s="1">
        <f t="shared" ca="1" si="151"/>
        <v>0</v>
      </c>
      <c r="GW43" s="1">
        <f t="shared" ca="1" si="152"/>
        <v>1</v>
      </c>
      <c r="GX43" s="1" t="str">
        <f t="shared" ca="1" si="153"/>
        <v/>
      </c>
      <c r="GY43" s="1" t="str">
        <f t="shared" ca="1" si="154"/>
        <v/>
      </c>
      <c r="GZ43" s="1" t="str">
        <f t="shared" ca="1" si="76"/>
        <v/>
      </c>
      <c r="HA43" s="1" t="str">
        <f t="shared" ca="1" si="77"/>
        <v/>
      </c>
      <c r="HE43" s="1" t="e">
        <f>MATCH(CONCATENATE($B43,"_",INDEX($C$4:$C38,HE$34)),lu_DataCode,0)</f>
        <v>#N/A</v>
      </c>
      <c r="HF43" s="1" t="e">
        <f t="shared" ca="1" si="78"/>
        <v>#N/A</v>
      </c>
      <c r="HG43" s="1" t="e">
        <f t="shared" ca="1" si="79"/>
        <v>#N/A</v>
      </c>
      <c r="HH43" s="1">
        <f t="shared" ca="1" si="80"/>
        <v>0</v>
      </c>
      <c r="HI43" s="1">
        <f t="shared" ca="1" si="155"/>
        <v>-10000000000</v>
      </c>
      <c r="HJ43" s="1">
        <f ca="1">RANK(HI43,HI$37:HI$62,HI$34)+COUNTIF(HI$37:HI43,HI43)-1</f>
        <v>7</v>
      </c>
      <c r="HK43" s="1">
        <f t="shared" ca="1" si="81"/>
        <v>7</v>
      </c>
      <c r="HL43" s="1">
        <f t="shared" ca="1" si="156"/>
        <v>0</v>
      </c>
      <c r="HM43" s="1">
        <f t="shared" ca="1" si="157"/>
        <v>1</v>
      </c>
      <c r="HN43" s="1" t="str">
        <f t="shared" ca="1" si="158"/>
        <v/>
      </c>
      <c r="HO43" s="1" t="str">
        <f t="shared" ca="1" si="159"/>
        <v/>
      </c>
      <c r="HP43" s="1" t="str">
        <f t="shared" ca="1" si="82"/>
        <v/>
      </c>
      <c r="HQ43" s="1" t="str">
        <f t="shared" ca="1" si="83"/>
        <v/>
      </c>
      <c r="HU43" s="1" t="e">
        <f>MATCH(CONCATENATE($B43,"_",INDEX($C$4:$C38,HU$34)),lu_DataCode,0)</f>
        <v>#N/A</v>
      </c>
      <c r="HV43" s="1" t="e">
        <f t="shared" ca="1" si="84"/>
        <v>#N/A</v>
      </c>
      <c r="HW43" s="1" t="e">
        <f t="shared" ca="1" si="85"/>
        <v>#N/A</v>
      </c>
      <c r="HX43" s="1">
        <f t="shared" ca="1" si="86"/>
        <v>0</v>
      </c>
      <c r="HY43" s="1">
        <f t="shared" ca="1" si="160"/>
        <v>-10000000000</v>
      </c>
      <c r="HZ43" s="1">
        <f ca="1">RANK(HY43,HY$37:HY$62,HY$34)+COUNTIF(HY$37:HY43,HY43)-1</f>
        <v>7</v>
      </c>
      <c r="IA43" s="1">
        <f t="shared" ca="1" si="87"/>
        <v>7</v>
      </c>
      <c r="IB43" s="1">
        <f t="shared" ca="1" si="161"/>
        <v>0</v>
      </c>
      <c r="IC43" s="1">
        <f t="shared" ca="1" si="162"/>
        <v>1</v>
      </c>
      <c r="ID43" s="1" t="str">
        <f t="shared" ca="1" si="163"/>
        <v/>
      </c>
      <c r="IE43" s="1" t="str">
        <f t="shared" ca="1" si="164"/>
        <v/>
      </c>
      <c r="IF43" s="1" t="str">
        <f t="shared" ca="1" si="88"/>
        <v/>
      </c>
      <c r="IG43" s="1" t="str">
        <f t="shared" ca="1" si="89"/>
        <v/>
      </c>
    </row>
    <row r="44" spans="1:241" ht="10.15" x14ac:dyDescent="0.2">
      <c r="A44" s="1">
        <v>8</v>
      </c>
      <c r="B44" s="1" t="str">
        <f>tblCountries!E10</f>
        <v>NAC_CO_1</v>
      </c>
      <c r="C44" s="1" t="str">
        <f>tblCountries!C10</f>
        <v>Colombia</v>
      </c>
      <c r="D44" s="1">
        <f>tblCountries!D10</f>
        <v>1</v>
      </c>
      <c r="E44" s="1">
        <f>MATCH(CONCATENATE($B44,"_",INDEX($C$4:$C39,E$34)),lu_DataCode,0)</f>
        <v>18</v>
      </c>
      <c r="F44" s="1">
        <f t="shared" ca="1" si="0"/>
        <v>2012</v>
      </c>
      <c r="G44" s="1">
        <f t="shared" ca="1" si="1"/>
        <v>7.7299999999999995</v>
      </c>
      <c r="H44" s="1">
        <f t="shared" ca="1" si="2"/>
        <v>1</v>
      </c>
      <c r="I44" s="1">
        <f t="shared" ca="1" si="90"/>
        <v>7.73</v>
      </c>
      <c r="J44" s="1">
        <f ca="1">RANK(I44,I$37:I$62,I$34)+COUNTIF(I$37:I44,I44)-1</f>
        <v>5</v>
      </c>
      <c r="K44" s="1">
        <f t="shared" ca="1" si="3"/>
        <v>21</v>
      </c>
      <c r="L44" s="1">
        <f t="shared" ca="1" si="91"/>
        <v>1</v>
      </c>
      <c r="M44" s="1">
        <f t="shared" ca="1" si="92"/>
        <v>1</v>
      </c>
      <c r="N44" s="1">
        <f t="shared" ca="1" si="93"/>
        <v>8</v>
      </c>
      <c r="O44" s="1" t="str">
        <f t="shared" ca="1" si="94"/>
        <v>Peru</v>
      </c>
      <c r="P44" s="1">
        <f t="shared" ca="1" si="4"/>
        <v>6.9662940495960699</v>
      </c>
      <c r="Q44" s="1">
        <f t="shared" ca="1" si="5"/>
        <v>2012</v>
      </c>
      <c r="U44" s="1">
        <f>MATCH(CONCATENATE($B44,"_",INDEX($C$4:$C39,U$34)),lu_DataCode,0)</f>
        <v>43</v>
      </c>
      <c r="V44" s="1">
        <f t="shared" ca="1" si="6"/>
        <v>2012</v>
      </c>
      <c r="W44" s="1">
        <f t="shared" ca="1" si="7"/>
        <v>46.597999999999999</v>
      </c>
      <c r="X44" s="1">
        <f t="shared" ca="1" si="8"/>
        <v>1</v>
      </c>
      <c r="Y44" s="1">
        <f t="shared" ca="1" si="95"/>
        <v>46.597999999999999</v>
      </c>
      <c r="Z44" s="1">
        <f ca="1">RANK(Y44,Y$37:Y$62,Y$34)+COUNTIF(Y$37:Y44,Y44)-1</f>
        <v>3</v>
      </c>
      <c r="AA44" s="1">
        <f t="shared" ca="1" si="9"/>
        <v>12</v>
      </c>
      <c r="AB44" s="1">
        <f t="shared" ca="1" si="96"/>
        <v>1</v>
      </c>
      <c r="AC44" s="1">
        <f t="shared" ca="1" si="97"/>
        <v>1</v>
      </c>
      <c r="AD44" s="1">
        <f t="shared" ca="1" si="98"/>
        <v>8</v>
      </c>
      <c r="AE44" s="1" t="str">
        <f t="shared" ca="1" si="99"/>
        <v>Guatemala</v>
      </c>
      <c r="AF44" s="1">
        <f t="shared" ca="1" si="10"/>
        <v>15.105</v>
      </c>
      <c r="AG44" s="1">
        <f t="shared" ca="1" si="11"/>
        <v>2012</v>
      </c>
      <c r="AK44" s="1">
        <f>MATCH(CONCATENATE($B44,"_",INDEX($C$4:$C39,AK$34)),lu_DataCode,0)</f>
        <v>69</v>
      </c>
      <c r="AL44" s="1">
        <f t="shared" ca="1" si="12"/>
        <v>2012</v>
      </c>
      <c r="AM44" s="1">
        <f t="shared" ca="1" si="13"/>
        <v>1141748</v>
      </c>
      <c r="AN44" s="1">
        <f t="shared" ca="1" si="14"/>
        <v>1</v>
      </c>
      <c r="AO44" s="1">
        <f t="shared" ca="1" si="100"/>
        <v>1141748</v>
      </c>
      <c r="AP44" s="1">
        <f ca="1">RANK(AO44,AO$37:AO$62,AO$34)+COUNTIF(AO$37:AO44,AO44)-1</f>
        <v>5</v>
      </c>
      <c r="AQ44" s="1">
        <f t="shared" ca="1" si="15"/>
        <v>7</v>
      </c>
      <c r="AR44" s="1">
        <f t="shared" ca="1" si="101"/>
        <v>1</v>
      </c>
      <c r="AS44" s="1">
        <f t="shared" ca="1" si="102"/>
        <v>1</v>
      </c>
      <c r="AT44" s="1">
        <f t="shared" ca="1" si="103"/>
        <v>8</v>
      </c>
      <c r="AU44" s="1" t="str">
        <f t="shared" ca="1" si="104"/>
        <v>Chile</v>
      </c>
      <c r="AV44" s="1">
        <f t="shared" ca="1" si="16"/>
        <v>756090</v>
      </c>
      <c r="AW44" s="1">
        <f t="shared" ca="1" si="17"/>
        <v>2012</v>
      </c>
      <c r="BA44" s="1">
        <f>MATCH(CONCATENATE($B44,"_",INDEX($C$4:$C39,BA$34)),lu_DataCode,0)</f>
        <v>95</v>
      </c>
      <c r="BB44" s="1">
        <f t="shared" ca="1" si="18"/>
        <v>2012</v>
      </c>
      <c r="BC44" s="1">
        <f t="shared" ca="1" si="19"/>
        <v>366.02</v>
      </c>
      <c r="BD44" s="1">
        <f t="shared" ca="1" si="20"/>
        <v>1</v>
      </c>
      <c r="BE44" s="1">
        <f t="shared" ca="1" si="105"/>
        <v>366.02</v>
      </c>
      <c r="BF44" s="1">
        <f ca="1">RANK(BE44,BE$37:BE$62,BE$34)+COUNTIF(BE$37:BE44,BE44)-1</f>
        <v>5</v>
      </c>
      <c r="BG44" s="1">
        <f t="shared" ca="1" si="21"/>
        <v>10</v>
      </c>
      <c r="BH44" s="1">
        <f t="shared" ca="1" si="106"/>
        <v>1</v>
      </c>
      <c r="BI44" s="1">
        <f t="shared" ca="1" si="107"/>
        <v>1</v>
      </c>
      <c r="BJ44" s="1">
        <f t="shared" ca="1" si="108"/>
        <v>8</v>
      </c>
      <c r="BK44" s="1" t="str">
        <f t="shared" ca="1" si="109"/>
        <v>Ecuador</v>
      </c>
      <c r="BL44" s="1">
        <f t="shared" ca="1" si="22"/>
        <v>86.166234503098195</v>
      </c>
      <c r="BM44" s="1">
        <f t="shared" ca="1" si="23"/>
        <v>2012</v>
      </c>
      <c r="BQ44" s="1">
        <f>MATCH(CONCATENATE($B44,"_",INDEX($C$4:$C39,BQ$34)),lu_DataCode,0)</f>
        <v>121</v>
      </c>
      <c r="BR44" s="1">
        <f t="shared" ca="1" si="24"/>
        <v>2012</v>
      </c>
      <c r="BS44" s="1">
        <f t="shared" ca="1" si="25"/>
        <v>502.87400000000002</v>
      </c>
      <c r="BT44" s="1">
        <f t="shared" ca="1" si="26"/>
        <v>1</v>
      </c>
      <c r="BU44" s="1">
        <f t="shared" ca="1" si="110"/>
        <v>502.87400000000002</v>
      </c>
      <c r="BV44" s="1">
        <f ca="1">RANK(BU44,BU$37:BU$62,BU$34)+COUNTIF(BU$37:BU44,BU44)-1</f>
        <v>4</v>
      </c>
      <c r="BW44" s="1">
        <f t="shared" ca="1" si="27"/>
        <v>10</v>
      </c>
      <c r="BX44" s="1">
        <f t="shared" ca="1" si="111"/>
        <v>1</v>
      </c>
      <c r="BY44" s="1">
        <f t="shared" ca="1" si="112"/>
        <v>1</v>
      </c>
      <c r="BZ44" s="1">
        <f t="shared" ca="1" si="113"/>
        <v>8</v>
      </c>
      <c r="CA44" s="1" t="str">
        <f t="shared" ca="1" si="114"/>
        <v>Ecuador</v>
      </c>
      <c r="CB44" s="1">
        <f t="shared" ca="1" si="28"/>
        <v>142.04900000000001</v>
      </c>
      <c r="CC44" s="1">
        <f t="shared" ca="1" si="29"/>
        <v>2012</v>
      </c>
      <c r="CG44" s="1">
        <f>MATCH(CONCATENATE($B44,"_",INDEX($C$4:$C39,CG$34)),lu_DataCode,0)</f>
        <v>147</v>
      </c>
      <c r="CH44" s="1">
        <f t="shared" ca="1" si="30"/>
        <v>2012</v>
      </c>
      <c r="CI44" s="1">
        <f t="shared" ca="1" si="31"/>
        <v>3.4607169999999998</v>
      </c>
      <c r="CJ44" s="1">
        <f t="shared" ca="1" si="32"/>
        <v>1</v>
      </c>
      <c r="CK44" s="1">
        <f t="shared" ca="1" si="115"/>
        <v>3.4607169999999998</v>
      </c>
      <c r="CL44" s="1">
        <f ca="1">RANK(CK44,CK$37:CK$62,CK$34)+COUNTIF(CK$37:CK44,CK44)-1</f>
        <v>6</v>
      </c>
      <c r="CM44" s="1">
        <f t="shared" ca="1" si="33"/>
        <v>21</v>
      </c>
      <c r="CN44" s="1">
        <f t="shared" ca="1" si="116"/>
        <v>1</v>
      </c>
      <c r="CO44" s="1">
        <f t="shared" ca="1" si="117"/>
        <v>1</v>
      </c>
      <c r="CP44" s="1">
        <f t="shared" ca="1" si="118"/>
        <v>8</v>
      </c>
      <c r="CQ44" s="1" t="str">
        <f t="shared" ca="1" si="119"/>
        <v>Peru</v>
      </c>
      <c r="CR44" s="1">
        <f t="shared" ca="1" si="34"/>
        <v>2.5815804999999998</v>
      </c>
      <c r="CS44" s="1">
        <f t="shared" ca="1" si="35"/>
        <v>2012</v>
      </c>
      <c r="CW44" s="1">
        <f>MATCH(CONCATENATE($B44,"_",INDEX($C$4:$C39,CW$34)),lu_DataCode,0)</f>
        <v>172</v>
      </c>
      <c r="CX44" s="1">
        <f t="shared" ca="1" si="36"/>
        <v>2012</v>
      </c>
      <c r="CY44" s="1">
        <f t="shared" ca="1" si="37"/>
        <v>1.4703040000000001</v>
      </c>
      <c r="CZ44" s="1">
        <f t="shared" ca="1" si="38"/>
        <v>1</v>
      </c>
      <c r="DA44" s="1">
        <f t="shared" ca="1" si="120"/>
        <v>1.4703040000000001</v>
      </c>
      <c r="DB44" s="1">
        <f ca="1">RANK(DA44,DA$37:DA$62,DA$34)+COUNTIF(DA$37:DA44,DA44)-1</f>
        <v>6</v>
      </c>
      <c r="DC44" s="1">
        <f t="shared" ca="1" si="39"/>
        <v>25</v>
      </c>
      <c r="DD44" s="1">
        <f t="shared" ca="1" si="121"/>
        <v>1</v>
      </c>
      <c r="DE44" s="1">
        <f t="shared" ca="1" si="122"/>
        <v>1</v>
      </c>
      <c r="DF44" s="1">
        <f t="shared" ca="1" si="123"/>
        <v>8</v>
      </c>
      <c r="DG44" s="1" t="str">
        <f t="shared" ca="1" si="124"/>
        <v>Uruguay</v>
      </c>
      <c r="DH44" s="1">
        <f t="shared" ca="1" si="40"/>
        <v>0.85620932189668597</v>
      </c>
      <c r="DI44" s="1">
        <f t="shared" ca="1" si="41"/>
        <v>2012</v>
      </c>
      <c r="DM44" s="1">
        <f>MATCH(CONCATENATE($B44,"_",INDEX($C$4:$C39,DM$34)),lu_DataCode,0)</f>
        <v>197</v>
      </c>
      <c r="DN44" s="1">
        <f t="shared" ca="1" si="42"/>
        <v>2012</v>
      </c>
      <c r="DO44" s="1">
        <f t="shared" ca="1" si="43"/>
        <v>60.125165917929998</v>
      </c>
      <c r="DP44" s="1">
        <f t="shared" ca="1" si="44"/>
        <v>1</v>
      </c>
      <c r="DQ44" s="1">
        <f t="shared" ca="1" si="125"/>
        <v>60.125166</v>
      </c>
      <c r="DR44" s="1">
        <f ca="1">RANK(DQ44,DQ$37:DQ$62,DQ$34)+COUNTIF(DQ$37:DQ44,DQ44)-1</f>
        <v>6</v>
      </c>
      <c r="DS44" s="1">
        <f t="shared" ca="1" si="45"/>
        <v>10</v>
      </c>
      <c r="DT44" s="1">
        <f t="shared" ca="1" si="126"/>
        <v>1</v>
      </c>
      <c r="DU44" s="1">
        <f t="shared" ca="1" si="127"/>
        <v>1</v>
      </c>
      <c r="DV44" s="1">
        <f t="shared" ca="1" si="128"/>
        <v>8</v>
      </c>
      <c r="DW44" s="1" t="str">
        <f t="shared" ca="1" si="129"/>
        <v>Ecuador</v>
      </c>
      <c r="DX44" s="1">
        <f t="shared" ca="1" si="46"/>
        <v>24.922507499999998</v>
      </c>
      <c r="DY44" s="1">
        <f t="shared" ca="1" si="47"/>
        <v>2012</v>
      </c>
      <c r="EC44" s="1">
        <f>MATCH(CONCATENATE($B44,"_",INDEX($C$4:$C39,EC$34)),lu_DataCode,0)</f>
        <v>222</v>
      </c>
      <c r="ED44" s="1">
        <f t="shared" ca="1" si="48"/>
        <v>2012</v>
      </c>
      <c r="EE44" s="1">
        <f t="shared" ca="1" si="49"/>
        <v>129355981.10087</v>
      </c>
      <c r="EF44" s="1">
        <f t="shared" ca="1" si="50"/>
        <v>1</v>
      </c>
      <c r="EG44" s="1">
        <f t="shared" ca="1" si="130"/>
        <v>129355981.10087</v>
      </c>
      <c r="EH44" s="1">
        <f ca="1">RANK(EG44,EG$37:EG$62,EG$34)+COUNTIF(EG$37:EG44,EG44)-1</f>
        <v>2</v>
      </c>
      <c r="EI44" s="1">
        <f t="shared" ca="1" si="51"/>
        <v>10</v>
      </c>
      <c r="EJ44" s="1">
        <f t="shared" ca="1" si="131"/>
        <v>1</v>
      </c>
      <c r="EK44" s="1">
        <f t="shared" ca="1" si="132"/>
        <v>1</v>
      </c>
      <c r="EL44" s="1">
        <f t="shared" ca="1" si="133"/>
        <v>8</v>
      </c>
      <c r="EM44" s="1" t="str">
        <f t="shared" ca="1" si="134"/>
        <v>Ecuador</v>
      </c>
      <c r="EN44" s="1">
        <f t="shared" ca="1" si="52"/>
        <v>27849775.333000001</v>
      </c>
      <c r="EO44" s="1">
        <f t="shared" ca="1" si="53"/>
        <v>2012</v>
      </c>
      <c r="ES44" s="1">
        <f>MATCH(CONCATENATE($B44,"_",INDEX($C$4:$C39,ES$34)),lu_DataCode,0)</f>
        <v>248</v>
      </c>
      <c r="ET44" s="1">
        <f t="shared" ca="1" si="54"/>
        <v>2012</v>
      </c>
      <c r="EU44" s="1">
        <f t="shared" ca="1" si="55"/>
        <v>56.092407639420003</v>
      </c>
      <c r="EV44" s="1">
        <f t="shared" ca="1" si="56"/>
        <v>1</v>
      </c>
      <c r="EW44" s="1">
        <f t="shared" ca="1" si="135"/>
        <v>56.092407999999999</v>
      </c>
      <c r="EX44" s="1">
        <f ca="1">RANK(EW44,EW$37:EW$62,EW$34)+COUNTIF(EW$37:EW44,EW44)-1</f>
        <v>6</v>
      </c>
      <c r="EY44" s="1">
        <f t="shared" ca="1" si="57"/>
        <v>10</v>
      </c>
      <c r="EZ44" s="1">
        <f t="shared" ca="1" si="136"/>
        <v>1</v>
      </c>
      <c r="FA44" s="1">
        <f t="shared" ca="1" si="137"/>
        <v>1</v>
      </c>
      <c r="FB44" s="1">
        <f t="shared" ca="1" si="138"/>
        <v>8</v>
      </c>
      <c r="FC44" s="1" t="str">
        <f t="shared" ca="1" si="139"/>
        <v>Ecuador</v>
      </c>
      <c r="FD44" s="1">
        <f t="shared" ca="1" si="58"/>
        <v>24.904233000000001</v>
      </c>
      <c r="FE44" s="1">
        <f t="shared" ca="1" si="59"/>
        <v>2012</v>
      </c>
      <c r="FI44" s="1">
        <f>MATCH(CONCATENATE($B44,"_",INDEX($C$4:$C39,FI$34)),lu_DataCode,0)</f>
        <v>272</v>
      </c>
      <c r="FJ44" s="1">
        <f t="shared" ca="1" si="60"/>
        <v>2012</v>
      </c>
      <c r="FK44" s="1">
        <f t="shared" ca="1" si="61"/>
        <v>30292238.4263</v>
      </c>
      <c r="FL44" s="1">
        <f t="shared" ca="1" si="62"/>
        <v>1</v>
      </c>
      <c r="FM44" s="1">
        <f t="shared" ca="1" si="140"/>
        <v>30292238.4263</v>
      </c>
      <c r="FN44" s="1">
        <f ca="1">RANK(FM44,FM$37:FM$62,FM$34)+COUNTIF(FM$37:FM44,FM44)-1</f>
        <v>5</v>
      </c>
      <c r="FO44" s="1">
        <f t="shared" ca="1" si="63"/>
        <v>10</v>
      </c>
      <c r="FP44" s="1">
        <f t="shared" ca="1" si="141"/>
        <v>1</v>
      </c>
      <c r="FQ44" s="1">
        <f t="shared" ca="1" si="142"/>
        <v>1</v>
      </c>
      <c r="FR44" s="1">
        <f t="shared" ca="1" si="143"/>
        <v>8</v>
      </c>
      <c r="FS44" s="1" t="str">
        <f t="shared" ca="1" si="144"/>
        <v>Ecuador</v>
      </c>
      <c r="FT44" s="1">
        <f t="shared" ca="1" si="64"/>
        <v>14253231.348999999</v>
      </c>
      <c r="FU44" s="1">
        <f t="shared" ca="1" si="65"/>
        <v>2012</v>
      </c>
      <c r="FY44" s="1" t="e">
        <f>MATCH(CONCATENATE($B44,"_",INDEX($C$4:$C39,FY$34)),lu_DataCode,0)</f>
        <v>#N/A</v>
      </c>
      <c r="FZ44" s="1" t="e">
        <f t="shared" ca="1" si="66"/>
        <v>#N/A</v>
      </c>
      <c r="GA44" s="1" t="e">
        <f t="shared" ca="1" si="67"/>
        <v>#N/A</v>
      </c>
      <c r="GB44" s="1">
        <f t="shared" ca="1" si="68"/>
        <v>0</v>
      </c>
      <c r="GC44" s="1">
        <f t="shared" ca="1" si="145"/>
        <v>-10000000000</v>
      </c>
      <c r="GD44" s="1">
        <f ca="1">RANK(GC44,GC$37:GC$62,GC$34)+COUNTIF(GC$37:GC44,GC44)-1</f>
        <v>8</v>
      </c>
      <c r="GE44" s="1">
        <f t="shared" ca="1" si="69"/>
        <v>8</v>
      </c>
      <c r="GF44" s="1">
        <f t="shared" ca="1" si="146"/>
        <v>0</v>
      </c>
      <c r="GG44" s="1">
        <f t="shared" ca="1" si="147"/>
        <v>1</v>
      </c>
      <c r="GH44" s="1" t="str">
        <f t="shared" ca="1" si="148"/>
        <v/>
      </c>
      <c r="GI44" s="1" t="str">
        <f t="shared" ca="1" si="149"/>
        <v/>
      </c>
      <c r="GJ44" s="1" t="str">
        <f t="shared" ca="1" si="70"/>
        <v/>
      </c>
      <c r="GK44" s="1" t="str">
        <f t="shared" ca="1" si="71"/>
        <v/>
      </c>
      <c r="GO44" s="1" t="e">
        <f>MATCH(CONCATENATE($B44,"_",INDEX($C$4:$C39,GO$34)),lu_DataCode,0)</f>
        <v>#N/A</v>
      </c>
      <c r="GP44" s="1" t="e">
        <f t="shared" ca="1" si="72"/>
        <v>#N/A</v>
      </c>
      <c r="GQ44" s="1" t="e">
        <f t="shared" ca="1" si="73"/>
        <v>#N/A</v>
      </c>
      <c r="GR44" s="1">
        <f t="shared" ca="1" si="74"/>
        <v>0</v>
      </c>
      <c r="GS44" s="1">
        <f t="shared" ca="1" si="150"/>
        <v>-10000000000</v>
      </c>
      <c r="GT44" s="1">
        <f ca="1">RANK(GS44,GS$37:GS$62,GS$34)+COUNTIF(GS$37:GS44,GS44)-1</f>
        <v>8</v>
      </c>
      <c r="GU44" s="1">
        <f t="shared" ca="1" si="75"/>
        <v>8</v>
      </c>
      <c r="GV44" s="1">
        <f t="shared" ca="1" si="151"/>
        <v>0</v>
      </c>
      <c r="GW44" s="1">
        <f t="shared" ca="1" si="152"/>
        <v>1</v>
      </c>
      <c r="GX44" s="1" t="str">
        <f t="shared" ca="1" si="153"/>
        <v/>
      </c>
      <c r="GY44" s="1" t="str">
        <f t="shared" ca="1" si="154"/>
        <v/>
      </c>
      <c r="GZ44" s="1" t="str">
        <f t="shared" ca="1" si="76"/>
        <v/>
      </c>
      <c r="HA44" s="1" t="str">
        <f t="shared" ca="1" si="77"/>
        <v/>
      </c>
      <c r="HE44" s="1" t="e">
        <f>MATCH(CONCATENATE($B44,"_",INDEX($C$4:$C39,HE$34)),lu_DataCode,0)</f>
        <v>#N/A</v>
      </c>
      <c r="HF44" s="1" t="e">
        <f t="shared" ca="1" si="78"/>
        <v>#N/A</v>
      </c>
      <c r="HG44" s="1" t="e">
        <f t="shared" ca="1" si="79"/>
        <v>#N/A</v>
      </c>
      <c r="HH44" s="1">
        <f t="shared" ca="1" si="80"/>
        <v>0</v>
      </c>
      <c r="HI44" s="1">
        <f t="shared" ca="1" si="155"/>
        <v>-10000000000</v>
      </c>
      <c r="HJ44" s="1">
        <f ca="1">RANK(HI44,HI$37:HI$62,HI$34)+COUNTIF(HI$37:HI44,HI44)-1</f>
        <v>8</v>
      </c>
      <c r="HK44" s="1">
        <f t="shared" ca="1" si="81"/>
        <v>8</v>
      </c>
      <c r="HL44" s="1">
        <f t="shared" ca="1" si="156"/>
        <v>0</v>
      </c>
      <c r="HM44" s="1">
        <f t="shared" ca="1" si="157"/>
        <v>1</v>
      </c>
      <c r="HN44" s="1" t="str">
        <f t="shared" ca="1" si="158"/>
        <v/>
      </c>
      <c r="HO44" s="1" t="str">
        <f t="shared" ca="1" si="159"/>
        <v/>
      </c>
      <c r="HP44" s="1" t="str">
        <f t="shared" ca="1" si="82"/>
        <v/>
      </c>
      <c r="HQ44" s="1" t="str">
        <f t="shared" ca="1" si="83"/>
        <v/>
      </c>
      <c r="HU44" s="1" t="e">
        <f>MATCH(CONCATENATE($B44,"_",INDEX($C$4:$C39,HU$34)),lu_DataCode,0)</f>
        <v>#N/A</v>
      </c>
      <c r="HV44" s="1" t="e">
        <f t="shared" ca="1" si="84"/>
        <v>#N/A</v>
      </c>
      <c r="HW44" s="1" t="e">
        <f t="shared" ca="1" si="85"/>
        <v>#N/A</v>
      </c>
      <c r="HX44" s="1">
        <f t="shared" ca="1" si="86"/>
        <v>0</v>
      </c>
      <c r="HY44" s="1">
        <f t="shared" ca="1" si="160"/>
        <v>-10000000000</v>
      </c>
      <c r="HZ44" s="1">
        <f ca="1">RANK(HY44,HY$37:HY$62,HY$34)+COUNTIF(HY$37:HY44,HY44)-1</f>
        <v>8</v>
      </c>
      <c r="IA44" s="1">
        <f t="shared" ca="1" si="87"/>
        <v>8</v>
      </c>
      <c r="IB44" s="1">
        <f t="shared" ca="1" si="161"/>
        <v>0</v>
      </c>
      <c r="IC44" s="1">
        <f t="shared" ca="1" si="162"/>
        <v>1</v>
      </c>
      <c r="ID44" s="1" t="str">
        <f t="shared" ca="1" si="163"/>
        <v/>
      </c>
      <c r="IE44" s="1" t="str">
        <f t="shared" ca="1" si="164"/>
        <v/>
      </c>
      <c r="IF44" s="1" t="str">
        <f t="shared" ca="1" si="88"/>
        <v/>
      </c>
      <c r="IG44" s="1" t="str">
        <f t="shared" ca="1" si="89"/>
        <v/>
      </c>
    </row>
    <row r="45" spans="1:241" ht="10.15" x14ac:dyDescent="0.2">
      <c r="A45" s="1">
        <v>9</v>
      </c>
      <c r="B45" s="1" t="str">
        <f>tblCountries!E11</f>
        <v>NAC_CR_1</v>
      </c>
      <c r="C45" s="1" t="str">
        <f>tblCountries!C11</f>
        <v>Costa Rica</v>
      </c>
      <c r="D45" s="1">
        <f>tblCountries!D11</f>
        <v>1</v>
      </c>
      <c r="E45" s="1">
        <f>MATCH(CONCATENATE($B45,"_",INDEX($C$4:$C40,E$34)),lu_DataCode,0)</f>
        <v>19</v>
      </c>
      <c r="F45" s="1">
        <f t="shared" ca="1" si="0"/>
        <v>2012</v>
      </c>
      <c r="G45" s="1">
        <f t="shared" ca="1" si="1"/>
        <v>6.8641640540997191</v>
      </c>
      <c r="H45" s="1">
        <f t="shared" ca="1" si="2"/>
        <v>1</v>
      </c>
      <c r="I45" s="1">
        <f t="shared" ca="1" si="90"/>
        <v>6.8641639999999997</v>
      </c>
      <c r="J45" s="1">
        <f ca="1">RANK(I45,I$37:I$62,I$34)+COUNTIF(I$37:I45,I45)-1</f>
        <v>10</v>
      </c>
      <c r="K45" s="1">
        <f t="shared" ca="1" si="3"/>
        <v>5</v>
      </c>
      <c r="L45" s="1">
        <f t="shared" ca="1" si="91"/>
        <v>1</v>
      </c>
      <c r="M45" s="1">
        <f t="shared" ca="1" si="92"/>
        <v>1</v>
      </c>
      <c r="N45" s="1">
        <f t="shared" ca="1" si="93"/>
        <v>9</v>
      </c>
      <c r="O45" s="1" t="str">
        <f t="shared" ca="1" si="94"/>
        <v>Bolivia</v>
      </c>
      <c r="P45" s="1">
        <f t="shared" ca="1" si="4"/>
        <v>6.9456878227985897</v>
      </c>
      <c r="Q45" s="1">
        <f t="shared" ca="1" si="5"/>
        <v>2012</v>
      </c>
      <c r="U45" s="1">
        <f>MATCH(CONCATENATE($B45,"_",INDEX($C$4:$C40,U$34)),lu_DataCode,0)</f>
        <v>44</v>
      </c>
      <c r="V45" s="1">
        <f t="shared" ca="1" si="6"/>
        <v>2012</v>
      </c>
      <c r="W45" s="1">
        <f t="shared" ca="1" si="7"/>
        <v>4.782</v>
      </c>
      <c r="X45" s="1">
        <f t="shared" ca="1" si="8"/>
        <v>1</v>
      </c>
      <c r="Y45" s="1">
        <f t="shared" ca="1" si="95"/>
        <v>4.782</v>
      </c>
      <c r="Z45" s="1">
        <f ca="1">RANK(Y45,Y$37:Y$62,Y$34)+COUNTIF(Y$37:Y45,Y45)-1</f>
        <v>17</v>
      </c>
      <c r="AA45" s="1">
        <f t="shared" ca="1" si="9"/>
        <v>10</v>
      </c>
      <c r="AB45" s="1">
        <f t="shared" ca="1" si="96"/>
        <v>1</v>
      </c>
      <c r="AC45" s="1">
        <f t="shared" ca="1" si="97"/>
        <v>1</v>
      </c>
      <c r="AD45" s="1">
        <f t="shared" ca="1" si="98"/>
        <v>9</v>
      </c>
      <c r="AE45" s="1" t="str">
        <f t="shared" ca="1" si="99"/>
        <v>Ecuador</v>
      </c>
      <c r="AF45" s="1">
        <f t="shared" ca="1" si="10"/>
        <v>14.867371</v>
      </c>
      <c r="AG45" s="1">
        <f t="shared" ca="1" si="11"/>
        <v>2012</v>
      </c>
      <c r="AK45" s="1">
        <f>MATCH(CONCATENATE($B45,"_",INDEX($C$4:$C40,AK$34)),lu_DataCode,0)</f>
        <v>70</v>
      </c>
      <c r="AL45" s="1">
        <f t="shared" ca="1" si="12"/>
        <v>2012</v>
      </c>
      <c r="AM45" s="1">
        <f t="shared" ca="1" si="13"/>
        <v>51100</v>
      </c>
      <c r="AN45" s="1">
        <f t="shared" ca="1" si="14"/>
        <v>1</v>
      </c>
      <c r="AO45" s="1">
        <f t="shared" ca="1" si="100"/>
        <v>51100</v>
      </c>
      <c r="AP45" s="1">
        <f ca="1">RANK(AO45,AO$37:AO$62,AO$34)+COUNTIF(AO$37:AO45,AO45)-1</f>
        <v>18</v>
      </c>
      <c r="AQ45" s="1">
        <f t="shared" ca="1" si="15"/>
        <v>20</v>
      </c>
      <c r="AR45" s="1">
        <f t="shared" ca="1" si="101"/>
        <v>1</v>
      </c>
      <c r="AS45" s="1">
        <f t="shared" ca="1" si="102"/>
        <v>1</v>
      </c>
      <c r="AT45" s="1">
        <f t="shared" ca="1" si="103"/>
        <v>9</v>
      </c>
      <c r="AU45" s="1" t="str">
        <f t="shared" ca="1" si="104"/>
        <v>Paraguay</v>
      </c>
      <c r="AV45" s="1">
        <f t="shared" ca="1" si="16"/>
        <v>406750</v>
      </c>
      <c r="AW45" s="1">
        <f t="shared" ca="1" si="17"/>
        <v>2012</v>
      </c>
      <c r="BA45" s="1">
        <f>MATCH(CONCATENATE($B45,"_",INDEX($C$4:$C40,BA$34)),lu_DataCode,0)</f>
        <v>96</v>
      </c>
      <c r="BB45" s="1">
        <f t="shared" ca="1" si="18"/>
        <v>2012</v>
      </c>
      <c r="BC45" s="1">
        <f t="shared" ca="1" si="19"/>
        <v>45.107420042450002</v>
      </c>
      <c r="BD45" s="1">
        <f t="shared" ca="1" si="20"/>
        <v>1</v>
      </c>
      <c r="BE45" s="1">
        <f t="shared" ca="1" si="105"/>
        <v>45.107419999999998</v>
      </c>
      <c r="BF45" s="1">
        <f ca="1">RANK(BE45,BE$37:BE$62,BE$34)+COUNTIF(BE$37:BE45,BE45)-1</f>
        <v>12</v>
      </c>
      <c r="BG45" s="1">
        <f t="shared" ca="1" si="21"/>
        <v>22</v>
      </c>
      <c r="BH45" s="1">
        <f t="shared" ca="1" si="106"/>
        <v>1</v>
      </c>
      <c r="BI45" s="1">
        <f t="shared" ca="1" si="107"/>
        <v>1</v>
      </c>
      <c r="BJ45" s="1">
        <f t="shared" ca="1" si="108"/>
        <v>9</v>
      </c>
      <c r="BK45" s="1" t="str">
        <f t="shared" ca="1" si="109"/>
        <v>Dominican Republic</v>
      </c>
      <c r="BL45" s="1">
        <f t="shared" ca="1" si="22"/>
        <v>58.996000000000002</v>
      </c>
      <c r="BM45" s="1">
        <f t="shared" ca="1" si="23"/>
        <v>2012</v>
      </c>
      <c r="BQ45" s="1">
        <f>MATCH(CONCATENATE($B45,"_",INDEX($C$4:$C40,BQ$34)),lu_DataCode,0)</f>
        <v>122</v>
      </c>
      <c r="BR45" s="1">
        <f t="shared" ca="1" si="24"/>
        <v>2012</v>
      </c>
      <c r="BS45" s="1">
        <f t="shared" ca="1" si="25"/>
        <v>58.822000000000003</v>
      </c>
      <c r="BT45" s="1">
        <f t="shared" ca="1" si="26"/>
        <v>1</v>
      </c>
      <c r="BU45" s="1">
        <f t="shared" ca="1" si="110"/>
        <v>58.822000000000003</v>
      </c>
      <c r="BV45" s="1">
        <f ca="1">RANK(BU45,BU$37:BU$62,BU$34)+COUNTIF(BU$37:BU45,BU45)-1</f>
        <v>11</v>
      </c>
      <c r="BW45" s="1">
        <f t="shared" ca="1" si="27"/>
        <v>22</v>
      </c>
      <c r="BX45" s="1">
        <f t="shared" ca="1" si="111"/>
        <v>1</v>
      </c>
      <c r="BY45" s="1">
        <f t="shared" ca="1" si="112"/>
        <v>1</v>
      </c>
      <c r="BZ45" s="1">
        <f t="shared" ca="1" si="113"/>
        <v>9</v>
      </c>
      <c r="CA45" s="1" t="str">
        <f t="shared" ca="1" si="114"/>
        <v>Dominican Republic</v>
      </c>
      <c r="CB45" s="1">
        <f t="shared" ca="1" si="28"/>
        <v>98.747</v>
      </c>
      <c r="CC45" s="1">
        <f t="shared" ca="1" si="29"/>
        <v>2012</v>
      </c>
      <c r="CG45" s="1">
        <f>MATCH(CONCATENATE($B45,"_",INDEX($C$4:$C40,CG$34)),lu_DataCode,0)</f>
        <v>148</v>
      </c>
      <c r="CH45" s="1">
        <f t="shared" ca="1" si="30"/>
        <v>2012</v>
      </c>
      <c r="CI45" s="1">
        <f t="shared" ca="1" si="31"/>
        <v>0.88429171746711699</v>
      </c>
      <c r="CJ45" s="1">
        <f t="shared" ca="1" si="32"/>
        <v>1</v>
      </c>
      <c r="CK45" s="1">
        <f t="shared" ca="1" si="115"/>
        <v>0.88429199999999997</v>
      </c>
      <c r="CL45" s="1">
        <f ca="1">RANK(CK45,CK$37:CK$62,CK$34)+COUNTIF(CK$37:CK45,CK45)-1</f>
        <v>13</v>
      </c>
      <c r="CM45" s="1">
        <f t="shared" ca="1" si="33"/>
        <v>19</v>
      </c>
      <c r="CN45" s="1">
        <f t="shared" ca="1" si="116"/>
        <v>1</v>
      </c>
      <c r="CO45" s="1">
        <f t="shared" ca="1" si="117"/>
        <v>1</v>
      </c>
      <c r="CP45" s="1">
        <f t="shared" ca="1" si="118"/>
        <v>9</v>
      </c>
      <c r="CQ45" s="1" t="str">
        <f t="shared" ca="1" si="119"/>
        <v>Panamá</v>
      </c>
      <c r="CR45" s="1">
        <f t="shared" ca="1" si="34"/>
        <v>1.9410000000000001</v>
      </c>
      <c r="CS45" s="1">
        <f t="shared" ca="1" si="35"/>
        <v>2012</v>
      </c>
      <c r="CW45" s="1">
        <f>MATCH(CONCATENATE($B45,"_",INDEX($C$4:$C40,CW$34)),lu_DataCode,0)</f>
        <v>173</v>
      </c>
      <c r="CX45" s="1">
        <f t="shared" ca="1" si="36"/>
        <v>2012</v>
      </c>
      <c r="CY45" s="1">
        <f t="shared" ca="1" si="37"/>
        <v>0.452263928883467</v>
      </c>
      <c r="CZ45" s="1">
        <f t="shared" ca="1" si="38"/>
        <v>1</v>
      </c>
      <c r="DA45" s="1">
        <f t="shared" ca="1" si="120"/>
        <v>0.452264</v>
      </c>
      <c r="DB45" s="1">
        <f ca="1">RANK(DA45,DA$37:DA$62,DA$34)+COUNTIF(DA$37:DA45,DA45)-1</f>
        <v>10</v>
      </c>
      <c r="DC45" s="1">
        <f t="shared" ca="1" si="39"/>
        <v>17</v>
      </c>
      <c r="DD45" s="1">
        <f t="shared" ca="1" si="121"/>
        <v>1</v>
      </c>
      <c r="DE45" s="1">
        <f t="shared" ca="1" si="122"/>
        <v>1</v>
      </c>
      <c r="DF45" s="1">
        <f t="shared" ca="1" si="123"/>
        <v>9</v>
      </c>
      <c r="DG45" s="1" t="str">
        <f t="shared" ca="1" si="124"/>
        <v>México</v>
      </c>
      <c r="DH45" s="1">
        <f t="shared" ca="1" si="40"/>
        <v>0.63758579999999998</v>
      </c>
      <c r="DI45" s="1">
        <f t="shared" ca="1" si="41"/>
        <v>2012</v>
      </c>
      <c r="DM45" s="1">
        <f>MATCH(CONCATENATE($B45,"_",INDEX($C$4:$C40,DM$34)),lu_DataCode,0)</f>
        <v>198</v>
      </c>
      <c r="DN45" s="1">
        <f t="shared" ca="1" si="42"/>
        <v>2012</v>
      </c>
      <c r="DO45" s="1">
        <f t="shared" ca="1" si="43"/>
        <v>11.4573</v>
      </c>
      <c r="DP45" s="1">
        <f t="shared" ca="1" si="44"/>
        <v>1</v>
      </c>
      <c r="DQ45" s="1">
        <f t="shared" ca="1" si="125"/>
        <v>11.4573</v>
      </c>
      <c r="DR45" s="1">
        <f ca="1">RANK(DQ45,DQ$37:DQ$62,DQ$34)+COUNTIF(DQ$37:DQ45,DQ45)-1</f>
        <v>11</v>
      </c>
      <c r="DS45" s="1">
        <f t="shared" ca="1" si="45"/>
        <v>19</v>
      </c>
      <c r="DT45" s="1">
        <f t="shared" ca="1" si="126"/>
        <v>1</v>
      </c>
      <c r="DU45" s="1">
        <f t="shared" ca="1" si="127"/>
        <v>1</v>
      </c>
      <c r="DV45" s="1">
        <f t="shared" ca="1" si="128"/>
        <v>9</v>
      </c>
      <c r="DW45" s="1" t="str">
        <f t="shared" ca="1" si="129"/>
        <v>Panamá</v>
      </c>
      <c r="DX45" s="1">
        <f t="shared" ca="1" si="46"/>
        <v>18.024983800000001</v>
      </c>
      <c r="DY45" s="1">
        <f t="shared" ca="1" si="47"/>
        <v>2012</v>
      </c>
      <c r="EC45" s="1">
        <f>MATCH(CONCATENATE($B45,"_",INDEX($C$4:$C40,EC$34)),lu_DataCode,0)</f>
        <v>223</v>
      </c>
      <c r="ED45" s="1">
        <f t="shared" ca="1" si="48"/>
        <v>2012</v>
      </c>
      <c r="EE45" s="1">
        <f t="shared" ca="1" si="49"/>
        <v>14320485.425000001</v>
      </c>
      <c r="EF45" s="1">
        <f t="shared" ca="1" si="50"/>
        <v>1</v>
      </c>
      <c r="EG45" s="1">
        <f t="shared" ca="1" si="130"/>
        <v>14320485.425000001</v>
      </c>
      <c r="EH45" s="1">
        <f ca="1">RANK(EG45,EG$37:EG$62,EG$34)+COUNTIF(EG$37:EG45,EG45)-1</f>
        <v>11</v>
      </c>
      <c r="EI45" s="1">
        <f t="shared" ca="1" si="51"/>
        <v>24</v>
      </c>
      <c r="EJ45" s="1">
        <f t="shared" ca="1" si="131"/>
        <v>1</v>
      </c>
      <c r="EK45" s="1">
        <f t="shared" ca="1" si="132"/>
        <v>1</v>
      </c>
      <c r="EL45" s="1">
        <f t="shared" ca="1" si="133"/>
        <v>9</v>
      </c>
      <c r="EM45" s="1" t="str">
        <f t="shared" ca="1" si="134"/>
        <v>Trinidad and Tobago</v>
      </c>
      <c r="EN45" s="1">
        <f t="shared" ca="1" si="52"/>
        <v>25518635.283</v>
      </c>
      <c r="EO45" s="1">
        <f t="shared" ca="1" si="53"/>
        <v>2012</v>
      </c>
      <c r="ES45" s="1">
        <f>MATCH(CONCATENATE($B45,"_",INDEX($C$4:$C40,ES$34)),lu_DataCode,0)</f>
        <v>249</v>
      </c>
      <c r="ET45" s="1">
        <f t="shared" ca="1" si="54"/>
        <v>2012</v>
      </c>
      <c r="EU45" s="1">
        <f t="shared" ca="1" si="55"/>
        <v>17.590800000000002</v>
      </c>
      <c r="EV45" s="1">
        <f t="shared" ca="1" si="56"/>
        <v>1</v>
      </c>
      <c r="EW45" s="1">
        <f t="shared" ca="1" si="135"/>
        <v>17.590800000000002</v>
      </c>
      <c r="EX45" s="1">
        <f ca="1">RANK(EW45,EW$37:EW$62,EW$34)+COUNTIF(EW$37:EW45,EW45)-1</f>
        <v>11</v>
      </c>
      <c r="EY45" s="1">
        <f t="shared" ca="1" si="57"/>
        <v>19</v>
      </c>
      <c r="EZ45" s="1">
        <f t="shared" ca="1" si="136"/>
        <v>1</v>
      </c>
      <c r="FA45" s="1">
        <f t="shared" ca="1" si="137"/>
        <v>1</v>
      </c>
      <c r="FB45" s="1">
        <f t="shared" ca="1" si="138"/>
        <v>9</v>
      </c>
      <c r="FC45" s="1" t="str">
        <f t="shared" ca="1" si="139"/>
        <v>Panamá</v>
      </c>
      <c r="FD45" s="1">
        <f t="shared" ca="1" si="58"/>
        <v>24.321147100000001</v>
      </c>
      <c r="FE45" s="1">
        <f t="shared" ca="1" si="59"/>
        <v>2012</v>
      </c>
      <c r="FI45" s="1">
        <f>MATCH(CONCATENATE($B45,"_",INDEX($C$4:$C40,FI$34)),lu_DataCode,0)</f>
        <v>273</v>
      </c>
      <c r="FJ45" s="1">
        <f t="shared" ca="1" si="60"/>
        <v>2012</v>
      </c>
      <c r="FK45" s="1">
        <f t="shared" ca="1" si="61"/>
        <v>13140756.194470899</v>
      </c>
      <c r="FL45" s="1">
        <f t="shared" ca="1" si="62"/>
        <v>1</v>
      </c>
      <c r="FM45" s="1">
        <f t="shared" ca="1" si="140"/>
        <v>13140756.194471</v>
      </c>
      <c r="FN45" s="1">
        <f ca="1">RANK(FM45,FM$37:FM$62,FM$34)+COUNTIF(FM$37:FM45,FM45)-1</f>
        <v>9</v>
      </c>
      <c r="FO45" s="1">
        <f t="shared" ca="1" si="63"/>
        <v>9</v>
      </c>
      <c r="FP45" s="1">
        <f t="shared" ca="1" si="141"/>
        <v>1</v>
      </c>
      <c r="FQ45" s="1">
        <f t="shared" ca="1" si="142"/>
        <v>1</v>
      </c>
      <c r="FR45" s="1">
        <f t="shared" ca="1" si="143"/>
        <v>9</v>
      </c>
      <c r="FS45" s="1" t="str">
        <f t="shared" ca="1" si="144"/>
        <v>Costa Rica</v>
      </c>
      <c r="FT45" s="1">
        <f t="shared" ca="1" si="64"/>
        <v>13140756.194470899</v>
      </c>
      <c r="FU45" s="1">
        <f t="shared" ca="1" si="65"/>
        <v>2012</v>
      </c>
      <c r="FY45" s="1" t="e">
        <f>MATCH(CONCATENATE($B45,"_",INDEX($C$4:$C40,FY$34)),lu_DataCode,0)</f>
        <v>#N/A</v>
      </c>
      <c r="FZ45" s="1" t="e">
        <f t="shared" ca="1" si="66"/>
        <v>#N/A</v>
      </c>
      <c r="GA45" s="1" t="e">
        <f t="shared" ca="1" si="67"/>
        <v>#N/A</v>
      </c>
      <c r="GB45" s="1">
        <f t="shared" ca="1" si="68"/>
        <v>0</v>
      </c>
      <c r="GC45" s="1">
        <f t="shared" ca="1" si="145"/>
        <v>-10000000000</v>
      </c>
      <c r="GD45" s="1">
        <f ca="1">RANK(GC45,GC$37:GC$62,GC$34)+COUNTIF(GC$37:GC45,GC45)-1</f>
        <v>9</v>
      </c>
      <c r="GE45" s="1">
        <f t="shared" ca="1" si="69"/>
        <v>9</v>
      </c>
      <c r="GF45" s="1">
        <f t="shared" ca="1" si="146"/>
        <v>0</v>
      </c>
      <c r="GG45" s="1">
        <f t="shared" ca="1" si="147"/>
        <v>1</v>
      </c>
      <c r="GH45" s="1" t="str">
        <f t="shared" ca="1" si="148"/>
        <v/>
      </c>
      <c r="GI45" s="1" t="str">
        <f t="shared" ca="1" si="149"/>
        <v/>
      </c>
      <c r="GJ45" s="1" t="str">
        <f t="shared" ca="1" si="70"/>
        <v/>
      </c>
      <c r="GK45" s="1" t="str">
        <f t="shared" ca="1" si="71"/>
        <v/>
      </c>
      <c r="GO45" s="1" t="e">
        <f>MATCH(CONCATENATE($B45,"_",INDEX($C$4:$C40,GO$34)),lu_DataCode,0)</f>
        <v>#N/A</v>
      </c>
      <c r="GP45" s="1" t="e">
        <f t="shared" ca="1" si="72"/>
        <v>#N/A</v>
      </c>
      <c r="GQ45" s="1" t="e">
        <f t="shared" ca="1" si="73"/>
        <v>#N/A</v>
      </c>
      <c r="GR45" s="1">
        <f t="shared" ca="1" si="74"/>
        <v>0</v>
      </c>
      <c r="GS45" s="1">
        <f t="shared" ca="1" si="150"/>
        <v>-10000000000</v>
      </c>
      <c r="GT45" s="1">
        <f ca="1">RANK(GS45,GS$37:GS$62,GS$34)+COUNTIF(GS$37:GS45,GS45)-1</f>
        <v>9</v>
      </c>
      <c r="GU45" s="1">
        <f t="shared" ca="1" si="75"/>
        <v>9</v>
      </c>
      <c r="GV45" s="1">
        <f t="shared" ca="1" si="151"/>
        <v>0</v>
      </c>
      <c r="GW45" s="1">
        <f t="shared" ca="1" si="152"/>
        <v>1</v>
      </c>
      <c r="GX45" s="1" t="str">
        <f t="shared" ca="1" si="153"/>
        <v/>
      </c>
      <c r="GY45" s="1" t="str">
        <f t="shared" ca="1" si="154"/>
        <v/>
      </c>
      <c r="GZ45" s="1" t="str">
        <f t="shared" ca="1" si="76"/>
        <v/>
      </c>
      <c r="HA45" s="1" t="str">
        <f t="shared" ca="1" si="77"/>
        <v/>
      </c>
      <c r="HE45" s="1" t="e">
        <f>MATCH(CONCATENATE($B45,"_",INDEX($C$4:$C40,HE$34)),lu_DataCode,0)</f>
        <v>#N/A</v>
      </c>
      <c r="HF45" s="1" t="e">
        <f t="shared" ca="1" si="78"/>
        <v>#N/A</v>
      </c>
      <c r="HG45" s="1" t="e">
        <f t="shared" ca="1" si="79"/>
        <v>#N/A</v>
      </c>
      <c r="HH45" s="1">
        <f t="shared" ca="1" si="80"/>
        <v>0</v>
      </c>
      <c r="HI45" s="1">
        <f t="shared" ca="1" si="155"/>
        <v>-10000000000</v>
      </c>
      <c r="HJ45" s="1">
        <f ca="1">RANK(HI45,HI$37:HI$62,HI$34)+COUNTIF(HI$37:HI45,HI45)-1</f>
        <v>9</v>
      </c>
      <c r="HK45" s="1">
        <f t="shared" ca="1" si="81"/>
        <v>9</v>
      </c>
      <c r="HL45" s="1">
        <f t="shared" ca="1" si="156"/>
        <v>0</v>
      </c>
      <c r="HM45" s="1">
        <f t="shared" ca="1" si="157"/>
        <v>1</v>
      </c>
      <c r="HN45" s="1" t="str">
        <f t="shared" ca="1" si="158"/>
        <v/>
      </c>
      <c r="HO45" s="1" t="str">
        <f t="shared" ca="1" si="159"/>
        <v/>
      </c>
      <c r="HP45" s="1" t="str">
        <f t="shared" ca="1" si="82"/>
        <v/>
      </c>
      <c r="HQ45" s="1" t="str">
        <f t="shared" ca="1" si="83"/>
        <v/>
      </c>
      <c r="HU45" s="1" t="e">
        <f>MATCH(CONCATENATE($B45,"_",INDEX($C$4:$C40,HU$34)),lu_DataCode,0)</f>
        <v>#N/A</v>
      </c>
      <c r="HV45" s="1" t="e">
        <f t="shared" ca="1" si="84"/>
        <v>#N/A</v>
      </c>
      <c r="HW45" s="1" t="e">
        <f t="shared" ca="1" si="85"/>
        <v>#N/A</v>
      </c>
      <c r="HX45" s="1">
        <f t="shared" ca="1" si="86"/>
        <v>0</v>
      </c>
      <c r="HY45" s="1">
        <f t="shared" ca="1" si="160"/>
        <v>-10000000000</v>
      </c>
      <c r="HZ45" s="1">
        <f ca="1">RANK(HY45,HY$37:HY$62,HY$34)+COUNTIF(HY$37:HY45,HY45)-1</f>
        <v>9</v>
      </c>
      <c r="IA45" s="1">
        <f t="shared" ca="1" si="87"/>
        <v>9</v>
      </c>
      <c r="IB45" s="1">
        <f t="shared" ca="1" si="161"/>
        <v>0</v>
      </c>
      <c r="IC45" s="1">
        <f t="shared" ca="1" si="162"/>
        <v>1</v>
      </c>
      <c r="ID45" s="1" t="str">
        <f t="shared" ca="1" si="163"/>
        <v/>
      </c>
      <c r="IE45" s="1" t="str">
        <f t="shared" ca="1" si="164"/>
        <v/>
      </c>
      <c r="IF45" s="1" t="str">
        <f t="shared" ca="1" si="88"/>
        <v/>
      </c>
      <c r="IG45" s="1" t="str">
        <f t="shared" ca="1" si="89"/>
        <v/>
      </c>
    </row>
    <row r="46" spans="1:241" ht="10.15" x14ac:dyDescent="0.2">
      <c r="A46" s="1">
        <v>10</v>
      </c>
      <c r="B46" s="1" t="str">
        <f>tblCountries!E12</f>
        <v>NAC_EC_1</v>
      </c>
      <c r="C46" s="1" t="str">
        <f>tblCountries!C12</f>
        <v>Ecuador</v>
      </c>
      <c r="D46" s="1">
        <f>tblCountries!D12</f>
        <v>1</v>
      </c>
      <c r="E46" s="1">
        <f>MATCH(CONCATENATE($B46,"_",INDEX($C$4:$C41,E$34)),lu_DataCode,0)</f>
        <v>7</v>
      </c>
      <c r="F46" s="1">
        <f t="shared" ref="F46:F62" ca="1" si="165">INDEX(OFFSET(lu_DataCode,0,3),E46)</f>
        <v>2012</v>
      </c>
      <c r="G46" s="1">
        <f t="shared" ref="G46:G62" ca="1" si="166">INDEX(OFFSET(lu_DataCode,0,4),E46)</f>
        <v>5.26505148816371</v>
      </c>
      <c r="H46" s="1">
        <f t="shared" ref="H46:H62" ca="1" si="167">IF(ISNUMBER(G46),1,0)</f>
        <v>1</v>
      </c>
      <c r="I46" s="1">
        <f t="shared" ca="1" si="90"/>
        <v>5.2650509999999997</v>
      </c>
      <c r="J46" s="1">
        <f ca="1">RANK(I46,I$37:I$62,I$34)+COUNTIF(I$37:I46,I46)-1</f>
        <v>17</v>
      </c>
      <c r="K46" s="1">
        <f t="shared" ref="K46:K62" ca="1" si="168">MATCH($A46,J$37:J$62,0)</f>
        <v>9</v>
      </c>
      <c r="L46" s="1">
        <f t="shared" ref="L46:L62" ca="1" si="169">INDEX(H$37:H$62,K46)</f>
        <v>1</v>
      </c>
      <c r="M46" s="1">
        <f t="shared" ca="1" si="92"/>
        <v>1</v>
      </c>
      <c r="N46" s="1">
        <f t="shared" ca="1" si="93"/>
        <v>10</v>
      </c>
      <c r="O46" s="1" t="str">
        <f t="shared" ca="1" si="94"/>
        <v>Costa Rica</v>
      </c>
      <c r="P46" s="1">
        <f t="shared" ref="P46:P62" ca="1" si="170">IF(L46=0,"",INDEX(G$37:G$62,K46))</f>
        <v>6.8641640540997191</v>
      </c>
      <c r="Q46" s="1">
        <f t="shared" ref="Q46:Q62" ca="1" si="171">IF(L46=0,"",INDEX(F$37:F$62,K46))</f>
        <v>2012</v>
      </c>
      <c r="U46" s="1">
        <f>MATCH(CONCATENATE($B46,"_",INDEX($C$4:$C41,U$34)),lu_DataCode,0)</f>
        <v>32</v>
      </c>
      <c r="V46" s="1">
        <f t="shared" ref="V46:V62" ca="1" si="172">INDEX(OFFSET(lu_DataCode,0,3),U46)</f>
        <v>2012</v>
      </c>
      <c r="W46" s="1">
        <f t="shared" ref="W46:W62" ca="1" si="173">INDEX(OFFSET(lu_DataCode,0,4),U46)</f>
        <v>14.867371</v>
      </c>
      <c r="X46" s="1">
        <f t="shared" ref="X46:X62" ca="1" si="174">IF(ISNUMBER(W46),1,0)</f>
        <v>1</v>
      </c>
      <c r="Y46" s="1">
        <f t="shared" ca="1" si="95"/>
        <v>14.867371</v>
      </c>
      <c r="Z46" s="1">
        <f ca="1">RANK(Y46,Y$37:Y$62,Y$34)+COUNTIF(Y$37:Y46,Y46)-1</f>
        <v>9</v>
      </c>
      <c r="AA46" s="1">
        <f t="shared" ref="AA46:AA62" ca="1" si="175">MATCH($A46,Z$37:Z$62,0)</f>
        <v>14</v>
      </c>
      <c r="AB46" s="1">
        <f t="shared" ref="AB46:AB62" ca="1" si="176">INDEX(X$37:X$62,AA46)</f>
        <v>1</v>
      </c>
      <c r="AC46" s="1">
        <f t="shared" ca="1" si="97"/>
        <v>1</v>
      </c>
      <c r="AD46" s="1">
        <f t="shared" ca="1" si="98"/>
        <v>10</v>
      </c>
      <c r="AE46" s="1" t="str">
        <f t="shared" ca="1" si="99"/>
        <v>Haiti</v>
      </c>
      <c r="AF46" s="1">
        <f t="shared" ref="AF46:AF62" ca="1" si="177">IF(AB46=0,"",INDEX(W$37:W$62,AA46))</f>
        <v>10.254327</v>
      </c>
      <c r="AG46" s="1">
        <f t="shared" ref="AG46:AG62" ca="1" si="178">IF(AB46=0,"",INDEX(V$37:V$62,AA46))</f>
        <v>2012</v>
      </c>
      <c r="AK46" s="1">
        <f>MATCH(CONCATENATE($B46,"_",INDEX($C$4:$C41,AK$34)),lu_DataCode,0)</f>
        <v>58</v>
      </c>
      <c r="AL46" s="1">
        <f t="shared" ca="1" si="12"/>
        <v>2012</v>
      </c>
      <c r="AM46" s="1">
        <f t="shared" ca="1" si="13"/>
        <v>256370</v>
      </c>
      <c r="AN46" s="1">
        <f t="shared" ca="1" si="14"/>
        <v>1</v>
      </c>
      <c r="AO46" s="1">
        <f t="shared" ca="1" si="100"/>
        <v>256370</v>
      </c>
      <c r="AP46" s="1">
        <f ca="1">RANK(AO46,AO$37:AO$62,AO$34)+COUNTIF(AO$37:AO46,AO46)-1</f>
        <v>10</v>
      </c>
      <c r="AQ46" s="1">
        <f t="shared" ca="1" si="15"/>
        <v>10</v>
      </c>
      <c r="AR46" s="1">
        <f t="shared" ca="1" si="101"/>
        <v>1</v>
      </c>
      <c r="AS46" s="1">
        <f t="shared" ca="1" si="102"/>
        <v>1</v>
      </c>
      <c r="AT46" s="1">
        <f t="shared" ca="1" si="103"/>
        <v>10</v>
      </c>
      <c r="AU46" s="1" t="str">
        <f t="shared" ca="1" si="104"/>
        <v>Ecuador</v>
      </c>
      <c r="AV46" s="1">
        <f t="shared" ca="1" si="16"/>
        <v>256370</v>
      </c>
      <c r="AW46" s="1">
        <f t="shared" ca="1" si="17"/>
        <v>2012</v>
      </c>
      <c r="BA46" s="1">
        <f>MATCH(CONCATENATE($B46,"_",INDEX($C$4:$C41,BA$34)),lu_DataCode,0)</f>
        <v>84</v>
      </c>
      <c r="BB46" s="1">
        <f t="shared" ca="1" si="18"/>
        <v>2012</v>
      </c>
      <c r="BC46" s="1">
        <f t="shared" ca="1" si="19"/>
        <v>86.166234503098195</v>
      </c>
      <c r="BD46" s="1">
        <f t="shared" ca="1" si="20"/>
        <v>1</v>
      </c>
      <c r="BE46" s="1">
        <f t="shared" ca="1" si="105"/>
        <v>86.166235</v>
      </c>
      <c r="BF46" s="1">
        <f ca="1">RANK(BE46,BE$37:BE$62,BE$34)+COUNTIF(BE$37:BE46,BE46)-1</f>
        <v>8</v>
      </c>
      <c r="BG46" s="1">
        <f t="shared" ca="1" si="21"/>
        <v>12</v>
      </c>
      <c r="BH46" s="1">
        <f t="shared" ca="1" si="106"/>
        <v>1</v>
      </c>
      <c r="BI46" s="1">
        <f t="shared" ca="1" si="107"/>
        <v>1</v>
      </c>
      <c r="BJ46" s="1">
        <f t="shared" ca="1" si="108"/>
        <v>10</v>
      </c>
      <c r="BK46" s="1" t="str">
        <f t="shared" ca="1" si="109"/>
        <v>Guatemala</v>
      </c>
      <c r="BL46" s="1">
        <f t="shared" ca="1" si="22"/>
        <v>49.88</v>
      </c>
      <c r="BM46" s="1">
        <f t="shared" ca="1" si="23"/>
        <v>2012</v>
      </c>
      <c r="BQ46" s="1">
        <f>MATCH(CONCATENATE($B46,"_",INDEX($C$4:$C41,BQ$34)),lu_DataCode,0)</f>
        <v>110</v>
      </c>
      <c r="BR46" s="1">
        <f t="shared" ca="1" si="24"/>
        <v>2012</v>
      </c>
      <c r="BS46" s="1">
        <f t="shared" ca="1" si="25"/>
        <v>142.04900000000001</v>
      </c>
      <c r="BT46" s="1">
        <f t="shared" ca="1" si="26"/>
        <v>1</v>
      </c>
      <c r="BU46" s="1">
        <f t="shared" ca="1" si="110"/>
        <v>142.04900000000001</v>
      </c>
      <c r="BV46" s="1">
        <f ca="1">RANK(BU46,BU$37:BU$62,BU$34)+COUNTIF(BU$37:BU46,BU46)-1</f>
        <v>8</v>
      </c>
      <c r="BW46" s="1">
        <f t="shared" ca="1" si="27"/>
        <v>12</v>
      </c>
      <c r="BX46" s="1">
        <f t="shared" ca="1" si="111"/>
        <v>1</v>
      </c>
      <c r="BY46" s="1">
        <f t="shared" ca="1" si="112"/>
        <v>1</v>
      </c>
      <c r="BZ46" s="1">
        <f t="shared" ca="1" si="113"/>
        <v>10</v>
      </c>
      <c r="CA46" s="1" t="str">
        <f t="shared" ca="1" si="114"/>
        <v>Guatemala</v>
      </c>
      <c r="CB46" s="1">
        <f t="shared" ca="1" si="28"/>
        <v>78.680999999999997</v>
      </c>
      <c r="CC46" s="1">
        <f t="shared" ca="1" si="29"/>
        <v>2012</v>
      </c>
      <c r="CG46" s="1">
        <f>MATCH(CONCATENATE($B46,"_",INDEX($C$4:$C41,CG$34)),lu_DataCode,0)</f>
        <v>136</v>
      </c>
      <c r="CH46" s="1">
        <f t="shared" ca="1" si="30"/>
        <v>2012</v>
      </c>
      <c r="CI46" s="1">
        <f t="shared" ca="1" si="31"/>
        <v>3.3943321000000002</v>
      </c>
      <c r="CJ46" s="1">
        <f t="shared" ca="1" si="32"/>
        <v>1</v>
      </c>
      <c r="CK46" s="1">
        <f t="shared" ca="1" si="115"/>
        <v>3.3943319999999999</v>
      </c>
      <c r="CL46" s="1">
        <f ca="1">RANK(CK46,CK$37:CK$62,CK$34)+COUNTIF(CK$37:CK46,CK46)-1</f>
        <v>7</v>
      </c>
      <c r="CM46" s="1">
        <f t="shared" ca="1" si="33"/>
        <v>12</v>
      </c>
      <c r="CN46" s="1">
        <f t="shared" ca="1" si="116"/>
        <v>1</v>
      </c>
      <c r="CO46" s="1">
        <f t="shared" ca="1" si="117"/>
        <v>1</v>
      </c>
      <c r="CP46" s="1">
        <f t="shared" ca="1" si="118"/>
        <v>10</v>
      </c>
      <c r="CQ46" s="1" t="str">
        <f t="shared" ca="1" si="119"/>
        <v>Guatemala</v>
      </c>
      <c r="CR46" s="1">
        <f t="shared" ca="1" si="34"/>
        <v>1.28566</v>
      </c>
      <c r="CS46" s="1">
        <f t="shared" ca="1" si="35"/>
        <v>2012</v>
      </c>
      <c r="CW46" s="1">
        <f>MATCH(CONCATENATE($B46,"_",INDEX($C$4:$C41,CW$34)),lu_DataCode,0)</f>
        <v>162</v>
      </c>
      <c r="CX46" s="1">
        <f t="shared" ca="1" si="36"/>
        <v>2012</v>
      </c>
      <c r="CY46" s="1">
        <f t="shared" ca="1" si="37"/>
        <v>1.7828835000000001</v>
      </c>
      <c r="CZ46" s="1">
        <f t="shared" ca="1" si="38"/>
        <v>1</v>
      </c>
      <c r="DA46" s="1">
        <f t="shared" ca="1" si="120"/>
        <v>1.7828839999999999</v>
      </c>
      <c r="DB46" s="1">
        <f ca="1">RANK(DA46,DA$37:DA$62,DA$34)+COUNTIF(DA$37:DA46,DA46)-1</f>
        <v>5</v>
      </c>
      <c r="DC46" s="1">
        <f t="shared" ca="1" si="39"/>
        <v>9</v>
      </c>
      <c r="DD46" s="1">
        <f t="shared" ca="1" si="121"/>
        <v>1</v>
      </c>
      <c r="DE46" s="1">
        <f t="shared" ca="1" si="122"/>
        <v>1</v>
      </c>
      <c r="DF46" s="1">
        <f t="shared" ca="1" si="123"/>
        <v>10</v>
      </c>
      <c r="DG46" s="1" t="str">
        <f t="shared" ca="1" si="124"/>
        <v>Costa Rica</v>
      </c>
      <c r="DH46" s="1">
        <f t="shared" ca="1" si="40"/>
        <v>0.452263928883467</v>
      </c>
      <c r="DI46" s="1">
        <f t="shared" ca="1" si="41"/>
        <v>2012</v>
      </c>
      <c r="DM46" s="1">
        <f>MATCH(CONCATENATE($B46,"_",INDEX($C$4:$C41,DM$34)),lu_DataCode,0)</f>
        <v>186</v>
      </c>
      <c r="DN46" s="1">
        <f t="shared" ca="1" si="42"/>
        <v>2012</v>
      </c>
      <c r="DO46" s="1">
        <f t="shared" ca="1" si="43"/>
        <v>24.922507499999998</v>
      </c>
      <c r="DP46" s="1">
        <f t="shared" ca="1" si="44"/>
        <v>1</v>
      </c>
      <c r="DQ46" s="1">
        <f t="shared" ca="1" si="125"/>
        <v>24.922508000000001</v>
      </c>
      <c r="DR46" s="1">
        <f ca="1">RANK(DQ46,DQ$37:DQ$62,DQ$34)+COUNTIF(DQ$37:DQ46,DQ46)-1</f>
        <v>8</v>
      </c>
      <c r="DS46" s="1">
        <f t="shared" ca="1" si="45"/>
        <v>24</v>
      </c>
      <c r="DT46" s="1">
        <f t="shared" ca="1" si="126"/>
        <v>1</v>
      </c>
      <c r="DU46" s="1">
        <f t="shared" ca="1" si="127"/>
        <v>1</v>
      </c>
      <c r="DV46" s="1">
        <f t="shared" ca="1" si="128"/>
        <v>10</v>
      </c>
      <c r="DW46" s="1" t="str">
        <f t="shared" ca="1" si="129"/>
        <v>Trinidad and Tobago</v>
      </c>
      <c r="DX46" s="1">
        <f t="shared" ca="1" si="46"/>
        <v>14.235201399999999</v>
      </c>
      <c r="DY46" s="1">
        <f t="shared" ca="1" si="47"/>
        <v>2012</v>
      </c>
      <c r="EC46" s="1">
        <f>MATCH(CONCATENATE($B46,"_",INDEX($C$4:$C41,EC$34)),lu_DataCode,0)</f>
        <v>212</v>
      </c>
      <c r="ED46" s="1">
        <f t="shared" ca="1" si="48"/>
        <v>2012</v>
      </c>
      <c r="EE46" s="1">
        <f t="shared" ca="1" si="49"/>
        <v>27849775.333000001</v>
      </c>
      <c r="EF46" s="1">
        <f t="shared" ca="1" si="50"/>
        <v>1</v>
      </c>
      <c r="EG46" s="1">
        <f t="shared" ca="1" si="130"/>
        <v>27849775.333000001</v>
      </c>
      <c r="EH46" s="1">
        <f ca="1">RANK(EG46,EG$37:EG$62,EG$34)+COUNTIF(EG$37:EG46,EG46)-1</f>
        <v>8</v>
      </c>
      <c r="EI46" s="1">
        <f t="shared" ca="1" si="51"/>
        <v>5</v>
      </c>
      <c r="EJ46" s="1">
        <f t="shared" ca="1" si="131"/>
        <v>1</v>
      </c>
      <c r="EK46" s="1">
        <f t="shared" ca="1" si="132"/>
        <v>1</v>
      </c>
      <c r="EL46" s="1">
        <f t="shared" ca="1" si="133"/>
        <v>10</v>
      </c>
      <c r="EM46" s="1" t="str">
        <f t="shared" ca="1" si="134"/>
        <v>Bolivia</v>
      </c>
      <c r="EN46" s="1">
        <f t="shared" ca="1" si="52"/>
        <v>15599157.466</v>
      </c>
      <c r="EO46" s="1">
        <f t="shared" ca="1" si="53"/>
        <v>2012</v>
      </c>
      <c r="ES46" s="1">
        <f>MATCH(CONCATENATE($B46,"_",INDEX($C$4:$C41,ES$34)),lu_DataCode,0)</f>
        <v>237</v>
      </c>
      <c r="ET46" s="1">
        <f t="shared" ca="1" si="54"/>
        <v>2012</v>
      </c>
      <c r="EU46" s="1">
        <f t="shared" ca="1" si="55"/>
        <v>24.904233000000001</v>
      </c>
      <c r="EV46" s="1">
        <f t="shared" ca="1" si="56"/>
        <v>1</v>
      </c>
      <c r="EW46" s="1">
        <f t="shared" ca="1" si="135"/>
        <v>24.904233000000001</v>
      </c>
      <c r="EX46" s="1">
        <f ca="1">RANK(EW46,EW$37:EW$62,EW$34)+COUNTIF(EW$37:EW46,EW46)-1</f>
        <v>8</v>
      </c>
      <c r="EY46" s="1">
        <f t="shared" ca="1" si="57"/>
        <v>22</v>
      </c>
      <c r="EZ46" s="1">
        <f t="shared" ca="1" si="136"/>
        <v>1</v>
      </c>
      <c r="FA46" s="1">
        <f t="shared" ca="1" si="137"/>
        <v>1</v>
      </c>
      <c r="FB46" s="1">
        <f t="shared" ca="1" si="138"/>
        <v>10</v>
      </c>
      <c r="FC46" s="1" t="str">
        <f t="shared" ca="1" si="139"/>
        <v>Dominican Republic</v>
      </c>
      <c r="FD46" s="1">
        <f t="shared" ca="1" si="58"/>
        <v>17.811321400000001</v>
      </c>
      <c r="FE46" s="1">
        <f t="shared" ca="1" si="59"/>
        <v>2012</v>
      </c>
      <c r="FI46" s="1">
        <f>MATCH(CONCATENATE($B46,"_",INDEX($C$4:$C41,FI$34)),lu_DataCode,0)</f>
        <v>263</v>
      </c>
      <c r="FJ46" s="1">
        <f t="shared" ca="1" si="60"/>
        <v>2012</v>
      </c>
      <c r="FK46" s="1">
        <f t="shared" ca="1" si="61"/>
        <v>14253231.348999999</v>
      </c>
      <c r="FL46" s="1">
        <f t="shared" ca="1" si="62"/>
        <v>1</v>
      </c>
      <c r="FM46" s="1">
        <f t="shared" ca="1" si="140"/>
        <v>14253231.348999999</v>
      </c>
      <c r="FN46" s="1">
        <f ca="1">RANK(FM46,FM$37:FM$62,FM$34)+COUNTIF(FM$37:FM46,FM46)-1</f>
        <v>8</v>
      </c>
      <c r="FO46" s="1">
        <f t="shared" ca="1" si="63"/>
        <v>12</v>
      </c>
      <c r="FP46" s="1">
        <f t="shared" ca="1" si="141"/>
        <v>1</v>
      </c>
      <c r="FQ46" s="1">
        <f t="shared" ca="1" si="142"/>
        <v>1</v>
      </c>
      <c r="FR46" s="1">
        <f t="shared" ca="1" si="143"/>
        <v>10</v>
      </c>
      <c r="FS46" s="1" t="str">
        <f t="shared" ca="1" si="144"/>
        <v>Guatemala</v>
      </c>
      <c r="FT46" s="1">
        <f t="shared" ca="1" si="64"/>
        <v>12275771.696</v>
      </c>
      <c r="FU46" s="1">
        <f t="shared" ca="1" si="65"/>
        <v>2012</v>
      </c>
      <c r="FY46" s="1" t="e">
        <f>MATCH(CONCATENATE($B46,"_",INDEX($C$4:$C41,FY$34)),lu_DataCode,0)</f>
        <v>#N/A</v>
      </c>
      <c r="FZ46" s="1" t="e">
        <f t="shared" ca="1" si="66"/>
        <v>#N/A</v>
      </c>
      <c r="GA46" s="1" t="e">
        <f t="shared" ca="1" si="67"/>
        <v>#N/A</v>
      </c>
      <c r="GB46" s="1">
        <f t="shared" ca="1" si="68"/>
        <v>0</v>
      </c>
      <c r="GC46" s="1">
        <f t="shared" ca="1" si="145"/>
        <v>-10000000000</v>
      </c>
      <c r="GD46" s="1">
        <f ca="1">RANK(GC46,GC$37:GC$62,GC$34)+COUNTIF(GC$37:GC46,GC46)-1</f>
        <v>10</v>
      </c>
      <c r="GE46" s="1">
        <f t="shared" ca="1" si="69"/>
        <v>10</v>
      </c>
      <c r="GF46" s="1">
        <f t="shared" ca="1" si="146"/>
        <v>0</v>
      </c>
      <c r="GG46" s="1">
        <f t="shared" ca="1" si="147"/>
        <v>1</v>
      </c>
      <c r="GH46" s="1" t="str">
        <f t="shared" ca="1" si="148"/>
        <v/>
      </c>
      <c r="GI46" s="1" t="str">
        <f t="shared" ca="1" si="149"/>
        <v/>
      </c>
      <c r="GJ46" s="1" t="str">
        <f t="shared" ca="1" si="70"/>
        <v/>
      </c>
      <c r="GK46" s="1" t="str">
        <f t="shared" ca="1" si="71"/>
        <v/>
      </c>
      <c r="GO46" s="1" t="e">
        <f>MATCH(CONCATENATE($B46,"_",INDEX($C$4:$C41,GO$34)),lu_DataCode,0)</f>
        <v>#N/A</v>
      </c>
      <c r="GP46" s="1" t="e">
        <f t="shared" ca="1" si="72"/>
        <v>#N/A</v>
      </c>
      <c r="GQ46" s="1" t="e">
        <f t="shared" ca="1" si="73"/>
        <v>#N/A</v>
      </c>
      <c r="GR46" s="1">
        <f t="shared" ca="1" si="74"/>
        <v>0</v>
      </c>
      <c r="GS46" s="1">
        <f t="shared" ca="1" si="150"/>
        <v>-10000000000</v>
      </c>
      <c r="GT46" s="1">
        <f ca="1">RANK(GS46,GS$37:GS$62,GS$34)+COUNTIF(GS$37:GS46,GS46)-1</f>
        <v>10</v>
      </c>
      <c r="GU46" s="1">
        <f t="shared" ca="1" si="75"/>
        <v>10</v>
      </c>
      <c r="GV46" s="1">
        <f t="shared" ca="1" si="151"/>
        <v>0</v>
      </c>
      <c r="GW46" s="1">
        <f t="shared" ca="1" si="152"/>
        <v>1</v>
      </c>
      <c r="GX46" s="1" t="str">
        <f t="shared" ca="1" si="153"/>
        <v/>
      </c>
      <c r="GY46" s="1" t="str">
        <f t="shared" ca="1" si="154"/>
        <v/>
      </c>
      <c r="GZ46" s="1" t="str">
        <f t="shared" ca="1" si="76"/>
        <v/>
      </c>
      <c r="HA46" s="1" t="str">
        <f t="shared" ca="1" si="77"/>
        <v/>
      </c>
      <c r="HE46" s="1" t="e">
        <f>MATCH(CONCATENATE($B46,"_",INDEX($C$4:$C41,HE$34)),lu_DataCode,0)</f>
        <v>#N/A</v>
      </c>
      <c r="HF46" s="1" t="e">
        <f t="shared" ca="1" si="78"/>
        <v>#N/A</v>
      </c>
      <c r="HG46" s="1" t="e">
        <f t="shared" ca="1" si="79"/>
        <v>#N/A</v>
      </c>
      <c r="HH46" s="1">
        <f t="shared" ca="1" si="80"/>
        <v>0</v>
      </c>
      <c r="HI46" s="1">
        <f t="shared" ca="1" si="155"/>
        <v>-10000000000</v>
      </c>
      <c r="HJ46" s="1">
        <f ca="1">RANK(HI46,HI$37:HI$62,HI$34)+COUNTIF(HI$37:HI46,HI46)-1</f>
        <v>10</v>
      </c>
      <c r="HK46" s="1">
        <f t="shared" ca="1" si="81"/>
        <v>10</v>
      </c>
      <c r="HL46" s="1">
        <f t="shared" ca="1" si="156"/>
        <v>0</v>
      </c>
      <c r="HM46" s="1">
        <f t="shared" ca="1" si="157"/>
        <v>1</v>
      </c>
      <c r="HN46" s="1" t="str">
        <f t="shared" ca="1" si="158"/>
        <v/>
      </c>
      <c r="HO46" s="1" t="str">
        <f t="shared" ca="1" si="159"/>
        <v/>
      </c>
      <c r="HP46" s="1" t="str">
        <f t="shared" ca="1" si="82"/>
        <v/>
      </c>
      <c r="HQ46" s="1" t="str">
        <f t="shared" ca="1" si="83"/>
        <v/>
      </c>
      <c r="HU46" s="1" t="e">
        <f>MATCH(CONCATENATE($B46,"_",INDEX($C$4:$C41,HU$34)),lu_DataCode,0)</f>
        <v>#N/A</v>
      </c>
      <c r="HV46" s="1" t="e">
        <f t="shared" ca="1" si="84"/>
        <v>#N/A</v>
      </c>
      <c r="HW46" s="1" t="e">
        <f t="shared" ca="1" si="85"/>
        <v>#N/A</v>
      </c>
      <c r="HX46" s="1">
        <f t="shared" ca="1" si="86"/>
        <v>0</v>
      </c>
      <c r="HY46" s="1">
        <f t="shared" ca="1" si="160"/>
        <v>-10000000000</v>
      </c>
      <c r="HZ46" s="1">
        <f ca="1">RANK(HY46,HY$37:HY$62,HY$34)+COUNTIF(HY$37:HY46,HY46)-1</f>
        <v>10</v>
      </c>
      <c r="IA46" s="1">
        <f t="shared" ca="1" si="87"/>
        <v>10</v>
      </c>
      <c r="IB46" s="1">
        <f t="shared" ca="1" si="161"/>
        <v>0</v>
      </c>
      <c r="IC46" s="1">
        <f t="shared" ca="1" si="162"/>
        <v>1</v>
      </c>
      <c r="ID46" s="1" t="str">
        <f t="shared" ca="1" si="163"/>
        <v/>
      </c>
      <c r="IE46" s="1" t="str">
        <f t="shared" ca="1" si="164"/>
        <v/>
      </c>
      <c r="IF46" s="1" t="str">
        <f t="shared" ca="1" si="88"/>
        <v/>
      </c>
      <c r="IG46" s="1" t="str">
        <f t="shared" ca="1" si="89"/>
        <v/>
      </c>
    </row>
    <row r="47" spans="1:241" ht="10.15" x14ac:dyDescent="0.2">
      <c r="A47" s="1">
        <v>11</v>
      </c>
      <c r="B47" s="1" t="str">
        <f>tblCountries!E13</f>
        <v>NAC_SV_1</v>
      </c>
      <c r="C47" s="1" t="str">
        <f>tblCountries!C13</f>
        <v>El Salvador</v>
      </c>
      <c r="D47" s="1">
        <f>tblCountries!D13</f>
        <v>1</v>
      </c>
      <c r="E47" s="1">
        <f>MATCH(CONCATENATE($B47,"_",INDEX($C$4:$C42,E$34)),lu_DataCode,0)</f>
        <v>20</v>
      </c>
      <c r="F47" s="1">
        <f t="shared" ca="1" si="165"/>
        <v>2012</v>
      </c>
      <c r="G47" s="1">
        <f t="shared" ca="1" si="166"/>
        <v>5.6016158710687201</v>
      </c>
      <c r="H47" s="1">
        <f t="shared" ca="1" si="167"/>
        <v>1</v>
      </c>
      <c r="I47" s="1">
        <f t="shared" ca="1" si="90"/>
        <v>5.6016159999999999</v>
      </c>
      <c r="J47" s="1">
        <f ca="1">RANK(I47,I$37:I$62,I$34)+COUNTIF(I$37:I47,I47)-1</f>
        <v>15</v>
      </c>
      <c r="K47" s="1">
        <f t="shared" ca="1" si="168"/>
        <v>3</v>
      </c>
      <c r="L47" s="1">
        <f t="shared" ca="1" si="169"/>
        <v>1</v>
      </c>
      <c r="M47" s="1">
        <f t="shared" ca="1" si="92"/>
        <v>1</v>
      </c>
      <c r="N47" s="1">
        <f t="shared" ca="1" si="93"/>
        <v>11</v>
      </c>
      <c r="O47" s="1" t="str">
        <f t="shared" ca="1" si="94"/>
        <v>Barbados</v>
      </c>
      <c r="P47" s="1">
        <f t="shared" ca="1" si="170"/>
        <v>6.6200117764503199</v>
      </c>
      <c r="Q47" s="1">
        <f t="shared" ca="1" si="171"/>
        <v>2012</v>
      </c>
      <c r="U47" s="1">
        <f>MATCH(CONCATENATE($B47,"_",INDEX($C$4:$C42,U$34)),lu_DataCode,0)</f>
        <v>45</v>
      </c>
      <c r="V47" s="1">
        <f t="shared" ca="1" si="172"/>
        <v>2012</v>
      </c>
      <c r="W47" s="1">
        <f t="shared" ca="1" si="173"/>
        <v>6.2492619999999999</v>
      </c>
      <c r="X47" s="1">
        <f t="shared" ca="1" si="174"/>
        <v>1</v>
      </c>
      <c r="Y47" s="1">
        <f t="shared" ca="1" si="95"/>
        <v>6.2492619999999999</v>
      </c>
      <c r="Z47" s="1">
        <f ca="1">RANK(Y47,Y$37:Y$62,Y$34)+COUNTIF(Y$37:Y47,Y47)-1</f>
        <v>15</v>
      </c>
      <c r="AA47" s="1">
        <f t="shared" ca="1" si="175"/>
        <v>22</v>
      </c>
      <c r="AB47" s="1">
        <f t="shared" ca="1" si="176"/>
        <v>1</v>
      </c>
      <c r="AC47" s="1">
        <f t="shared" ca="1" si="97"/>
        <v>1</v>
      </c>
      <c r="AD47" s="1">
        <f t="shared" ca="1" si="98"/>
        <v>11</v>
      </c>
      <c r="AE47" s="1" t="str">
        <f t="shared" ca="1" si="99"/>
        <v>Dominican Republic</v>
      </c>
      <c r="AF47" s="1">
        <f t="shared" ca="1" si="177"/>
        <v>10.237</v>
      </c>
      <c r="AG47" s="1">
        <f t="shared" ca="1" si="178"/>
        <v>2012</v>
      </c>
      <c r="AK47" s="1">
        <f>MATCH(CONCATENATE($B47,"_",INDEX($C$4:$C42,AK$34)),lu_DataCode,0)</f>
        <v>71</v>
      </c>
      <c r="AL47" s="1">
        <f t="shared" ca="1" si="12"/>
        <v>2012</v>
      </c>
      <c r="AM47" s="1">
        <f t="shared" ca="1" si="13"/>
        <v>21040</v>
      </c>
      <c r="AN47" s="1">
        <f t="shared" ca="1" si="14"/>
        <v>1</v>
      </c>
      <c r="AO47" s="1">
        <f t="shared" ca="1" si="100"/>
        <v>21040</v>
      </c>
      <c r="AP47" s="1">
        <f ca="1">RANK(AO47,AO$37:AO$62,AO$34)+COUNTIF(AO$37:AO47,AO47)-1</f>
        <v>22</v>
      </c>
      <c r="AQ47" s="1">
        <f t="shared" ca="1" si="15"/>
        <v>13</v>
      </c>
      <c r="AR47" s="1">
        <f t="shared" ca="1" si="101"/>
        <v>1</v>
      </c>
      <c r="AS47" s="1">
        <f t="shared" ca="1" si="102"/>
        <v>1</v>
      </c>
      <c r="AT47" s="1">
        <f t="shared" ca="1" si="103"/>
        <v>11</v>
      </c>
      <c r="AU47" s="1" t="str">
        <f t="shared" ca="1" si="104"/>
        <v>Guyana</v>
      </c>
      <c r="AV47" s="1">
        <f t="shared" ca="1" si="16"/>
        <v>214970</v>
      </c>
      <c r="AW47" s="1">
        <f t="shared" ca="1" si="17"/>
        <v>2012</v>
      </c>
      <c r="BA47" s="1">
        <f>MATCH(CONCATENATE($B47,"_",INDEX($C$4:$C42,BA$34)),lu_DataCode,0)</f>
        <v>97</v>
      </c>
      <c r="BB47" s="1">
        <f t="shared" ca="1" si="18"/>
        <v>2012</v>
      </c>
      <c r="BC47" s="1">
        <f t="shared" ca="1" si="19"/>
        <v>23.8644</v>
      </c>
      <c r="BD47" s="1">
        <f t="shared" ca="1" si="20"/>
        <v>1</v>
      </c>
      <c r="BE47" s="1">
        <f t="shared" ca="1" si="105"/>
        <v>23.8644</v>
      </c>
      <c r="BF47" s="1">
        <f ca="1">RANK(BE47,BE$37:BE$62,BE$34)+COUNTIF(BE$37:BE47,BE47)-1</f>
        <v>17</v>
      </c>
      <c r="BG47" s="1">
        <f t="shared" ca="1" si="21"/>
        <v>25</v>
      </c>
      <c r="BH47" s="1">
        <f t="shared" ca="1" si="106"/>
        <v>1</v>
      </c>
      <c r="BI47" s="1">
        <f t="shared" ca="1" si="107"/>
        <v>1</v>
      </c>
      <c r="BJ47" s="1">
        <f t="shared" ca="1" si="108"/>
        <v>11</v>
      </c>
      <c r="BK47" s="1" t="str">
        <f t="shared" ca="1" si="109"/>
        <v>Uruguay</v>
      </c>
      <c r="BL47" s="1">
        <f t="shared" ca="1" si="22"/>
        <v>49.404000000000003</v>
      </c>
      <c r="BM47" s="1">
        <f t="shared" ca="1" si="23"/>
        <v>2012</v>
      </c>
      <c r="BQ47" s="1">
        <f>MATCH(CONCATENATE($B47,"_",INDEX($C$4:$C42,BQ$34)),lu_DataCode,0)</f>
        <v>123</v>
      </c>
      <c r="BR47" s="1">
        <f t="shared" ca="1" si="24"/>
        <v>2012</v>
      </c>
      <c r="BS47" s="1">
        <f t="shared" ca="1" si="25"/>
        <v>46.329000000000001</v>
      </c>
      <c r="BT47" s="1">
        <f t="shared" ca="1" si="26"/>
        <v>1</v>
      </c>
      <c r="BU47" s="1">
        <f t="shared" ca="1" si="110"/>
        <v>46.329000000000001</v>
      </c>
      <c r="BV47" s="1">
        <f ca="1">RANK(BU47,BU$37:BU$62,BU$34)+COUNTIF(BU$37:BU47,BU47)-1</f>
        <v>15</v>
      </c>
      <c r="BW47" s="1">
        <f t="shared" ca="1" si="27"/>
        <v>9</v>
      </c>
      <c r="BX47" s="1">
        <f t="shared" ca="1" si="111"/>
        <v>1</v>
      </c>
      <c r="BY47" s="1">
        <f t="shared" ca="1" si="112"/>
        <v>1</v>
      </c>
      <c r="BZ47" s="1">
        <f t="shared" ca="1" si="113"/>
        <v>11</v>
      </c>
      <c r="CA47" s="1" t="str">
        <f t="shared" ca="1" si="114"/>
        <v>Costa Rica</v>
      </c>
      <c r="CB47" s="1">
        <f t="shared" ca="1" si="28"/>
        <v>58.822000000000003</v>
      </c>
      <c r="CC47" s="1">
        <f t="shared" ca="1" si="29"/>
        <v>2012</v>
      </c>
      <c r="CG47" s="1">
        <f>MATCH(CONCATENATE($B47,"_",INDEX($C$4:$C42,CG$34)),lu_DataCode,0)</f>
        <v>149</v>
      </c>
      <c r="CH47" s="1">
        <f t="shared" ca="1" si="30"/>
        <v>2012</v>
      </c>
      <c r="CI47" s="1">
        <f t="shared" ca="1" si="31"/>
        <v>0.53259999999999996</v>
      </c>
      <c r="CJ47" s="1">
        <f t="shared" ca="1" si="32"/>
        <v>1</v>
      </c>
      <c r="CK47" s="1">
        <f t="shared" ca="1" si="115"/>
        <v>0.53259999999999996</v>
      </c>
      <c r="CL47" s="1">
        <f ca="1">RANK(CK47,CK$37:CK$62,CK$34)+COUNTIF(CK$37:CK47,CK47)-1</f>
        <v>19</v>
      </c>
      <c r="CM47" s="1">
        <f t="shared" ca="1" si="33"/>
        <v>22</v>
      </c>
      <c r="CN47" s="1">
        <f t="shared" ca="1" si="116"/>
        <v>1</v>
      </c>
      <c r="CO47" s="1">
        <f t="shared" ca="1" si="117"/>
        <v>1</v>
      </c>
      <c r="CP47" s="1">
        <f t="shared" ca="1" si="118"/>
        <v>11</v>
      </c>
      <c r="CQ47" s="1" t="str">
        <f t="shared" ca="1" si="119"/>
        <v>Dominican Republic</v>
      </c>
      <c r="CR47" s="1">
        <f t="shared" ca="1" si="34"/>
        <v>0.97430000000000005</v>
      </c>
      <c r="CS47" s="1">
        <f t="shared" ca="1" si="35"/>
        <v>2012</v>
      </c>
      <c r="CW47" s="1">
        <f>MATCH(CONCATENATE($B47,"_",INDEX($C$4:$C42,CW$34)),lu_DataCode,0)</f>
        <v>174</v>
      </c>
      <c r="CX47" s="1">
        <f t="shared" ca="1" si="36"/>
        <v>2012</v>
      </c>
      <c r="CY47" s="1">
        <f t="shared" ca="1" si="37"/>
        <v>0.41239999999999999</v>
      </c>
      <c r="CZ47" s="1">
        <f t="shared" ca="1" si="38"/>
        <v>1</v>
      </c>
      <c r="DA47" s="1">
        <f t="shared" ca="1" si="120"/>
        <v>0.41239999999999999</v>
      </c>
      <c r="DB47" s="1">
        <f ca="1">RANK(DA47,DA$37:DA$62,DA$34)+COUNTIF(DA$37:DA47,DA47)-1</f>
        <v>11</v>
      </c>
      <c r="DC47" s="1">
        <f t="shared" ca="1" si="39"/>
        <v>11</v>
      </c>
      <c r="DD47" s="1">
        <f t="shared" ca="1" si="121"/>
        <v>1</v>
      </c>
      <c r="DE47" s="1">
        <f t="shared" ca="1" si="122"/>
        <v>1</v>
      </c>
      <c r="DF47" s="1">
        <f t="shared" ca="1" si="123"/>
        <v>11</v>
      </c>
      <c r="DG47" s="1" t="str">
        <f t="shared" ca="1" si="124"/>
        <v>El Salvador</v>
      </c>
      <c r="DH47" s="1">
        <f t="shared" ca="1" si="40"/>
        <v>0.41239999999999999</v>
      </c>
      <c r="DI47" s="1">
        <f t="shared" ca="1" si="41"/>
        <v>2012</v>
      </c>
      <c r="DM47" s="1">
        <f>MATCH(CONCATENATE($B47,"_",INDEX($C$4:$C42,DM$34)),lu_DataCode,0)</f>
        <v>199</v>
      </c>
      <c r="DN47" s="1">
        <f t="shared" ca="1" si="42"/>
        <v>2012</v>
      </c>
      <c r="DO47" s="1">
        <f t="shared" ca="1" si="43"/>
        <v>5.33908839331</v>
      </c>
      <c r="DP47" s="1">
        <f t="shared" ca="1" si="44"/>
        <v>1</v>
      </c>
      <c r="DQ47" s="1">
        <f t="shared" ca="1" si="125"/>
        <v>5.3390880000000003</v>
      </c>
      <c r="DR47" s="1">
        <f ca="1">RANK(DQ47,DQ$37:DQ$62,DQ$34)+COUNTIF(DQ$37:DQ47,DQ47)-1</f>
        <v>18</v>
      </c>
      <c r="DS47" s="1">
        <f t="shared" ca="1" si="45"/>
        <v>9</v>
      </c>
      <c r="DT47" s="1">
        <f t="shared" ca="1" si="126"/>
        <v>1</v>
      </c>
      <c r="DU47" s="1">
        <f t="shared" ca="1" si="127"/>
        <v>1</v>
      </c>
      <c r="DV47" s="1">
        <f t="shared" ca="1" si="128"/>
        <v>11</v>
      </c>
      <c r="DW47" s="1" t="str">
        <f t="shared" ca="1" si="129"/>
        <v>Costa Rica</v>
      </c>
      <c r="DX47" s="1">
        <f t="shared" ca="1" si="46"/>
        <v>11.4573</v>
      </c>
      <c r="DY47" s="1">
        <f t="shared" ca="1" si="47"/>
        <v>2012</v>
      </c>
      <c r="EC47" s="1">
        <f>MATCH(CONCATENATE($B47,"_",INDEX($C$4:$C42,EC$34)),lu_DataCode,0)</f>
        <v>224</v>
      </c>
      <c r="ED47" s="1">
        <f t="shared" ca="1" si="48"/>
        <v>2012</v>
      </c>
      <c r="EE47" s="1">
        <f t="shared" ca="1" si="49"/>
        <v>2838803.64756</v>
      </c>
      <c r="EF47" s="1">
        <f t="shared" ca="1" si="50"/>
        <v>1</v>
      </c>
      <c r="EG47" s="1">
        <f t="shared" ca="1" si="130"/>
        <v>2838803.64756</v>
      </c>
      <c r="EH47" s="1">
        <f ca="1">RANK(EG47,EG$37:EG$62,EG$34)+COUNTIF(EG$37:EG47,EG47)-1</f>
        <v>18</v>
      </c>
      <c r="EI47" s="1">
        <f t="shared" ca="1" si="51"/>
        <v>9</v>
      </c>
      <c r="EJ47" s="1">
        <f t="shared" ca="1" si="131"/>
        <v>1</v>
      </c>
      <c r="EK47" s="1">
        <f t="shared" ca="1" si="132"/>
        <v>1</v>
      </c>
      <c r="EL47" s="1">
        <f t="shared" ca="1" si="133"/>
        <v>11</v>
      </c>
      <c r="EM47" s="1" t="str">
        <f t="shared" ca="1" si="134"/>
        <v>Costa Rica</v>
      </c>
      <c r="EN47" s="1">
        <f t="shared" ca="1" si="52"/>
        <v>14320485.425000001</v>
      </c>
      <c r="EO47" s="1">
        <f t="shared" ca="1" si="53"/>
        <v>2012</v>
      </c>
      <c r="ES47" s="1">
        <f>MATCH(CONCATENATE($B47,"_",INDEX($C$4:$C42,ES$34)),lu_DataCode,0)</f>
        <v>250</v>
      </c>
      <c r="ET47" s="1">
        <f t="shared" ca="1" si="54"/>
        <v>2012</v>
      </c>
      <c r="EU47" s="1">
        <f t="shared" ca="1" si="55"/>
        <v>10.26962660621</v>
      </c>
      <c r="EV47" s="1">
        <f t="shared" ca="1" si="56"/>
        <v>1</v>
      </c>
      <c r="EW47" s="1">
        <f t="shared" ca="1" si="135"/>
        <v>10.269627</v>
      </c>
      <c r="EX47" s="1">
        <f ca="1">RANK(EW47,EW$37:EW$62,EW$34)+COUNTIF(EW$37:EW47,EW47)-1</f>
        <v>16</v>
      </c>
      <c r="EY47" s="1">
        <f t="shared" ca="1" si="57"/>
        <v>9</v>
      </c>
      <c r="EZ47" s="1">
        <f t="shared" ca="1" si="136"/>
        <v>1</v>
      </c>
      <c r="FA47" s="1">
        <f t="shared" ca="1" si="137"/>
        <v>1</v>
      </c>
      <c r="FB47" s="1">
        <f t="shared" ca="1" si="138"/>
        <v>11</v>
      </c>
      <c r="FC47" s="1" t="str">
        <f t="shared" ca="1" si="139"/>
        <v>Costa Rica</v>
      </c>
      <c r="FD47" s="1">
        <f t="shared" ca="1" si="58"/>
        <v>17.590800000000002</v>
      </c>
      <c r="FE47" s="1">
        <f t="shared" ca="1" si="59"/>
        <v>2012</v>
      </c>
      <c r="FI47" s="1">
        <f>MATCH(CONCATENATE($B47,"_",INDEX($C$4:$C42,FI$34)),lu_DataCode,0)</f>
        <v>274</v>
      </c>
      <c r="FJ47" s="1">
        <f t="shared" ca="1" si="60"/>
        <v>2012</v>
      </c>
      <c r="FK47" s="1">
        <f t="shared" ca="1" si="61"/>
        <v>7574949.6176000005</v>
      </c>
      <c r="FL47" s="1">
        <f t="shared" ca="1" si="62"/>
        <v>1</v>
      </c>
      <c r="FM47" s="1">
        <f t="shared" ca="1" si="140"/>
        <v>7574949.6176000005</v>
      </c>
      <c r="FN47" s="1">
        <f ca="1">RANK(FM47,FM$37:FM$62,FM$34)+COUNTIF(FM$37:FM47,FM47)-1</f>
        <v>13</v>
      </c>
      <c r="FO47" s="1">
        <f t="shared" ca="1" si="63"/>
        <v>19</v>
      </c>
      <c r="FP47" s="1">
        <f t="shared" ca="1" si="141"/>
        <v>1</v>
      </c>
      <c r="FQ47" s="1">
        <f t="shared" ca="1" si="142"/>
        <v>1</v>
      </c>
      <c r="FR47" s="1">
        <f t="shared" ca="1" si="143"/>
        <v>11</v>
      </c>
      <c r="FS47" s="1" t="str">
        <f t="shared" ca="1" si="144"/>
        <v>Panamá</v>
      </c>
      <c r="FT47" s="1">
        <f t="shared" ca="1" si="64"/>
        <v>8243321.2489999998</v>
      </c>
      <c r="FU47" s="1">
        <f t="shared" ca="1" si="65"/>
        <v>2012</v>
      </c>
      <c r="FY47" s="1" t="e">
        <f>MATCH(CONCATENATE($B47,"_",INDEX($C$4:$C42,FY$34)),lu_DataCode,0)</f>
        <v>#N/A</v>
      </c>
      <c r="FZ47" s="1" t="e">
        <f t="shared" ca="1" si="66"/>
        <v>#N/A</v>
      </c>
      <c r="GA47" s="1" t="e">
        <f t="shared" ca="1" si="67"/>
        <v>#N/A</v>
      </c>
      <c r="GB47" s="1">
        <f t="shared" ca="1" si="68"/>
        <v>0</v>
      </c>
      <c r="GC47" s="1">
        <f t="shared" ca="1" si="145"/>
        <v>-10000000000</v>
      </c>
      <c r="GD47" s="1">
        <f ca="1">RANK(GC47,GC$37:GC$62,GC$34)+COUNTIF(GC$37:GC47,GC47)-1</f>
        <v>11</v>
      </c>
      <c r="GE47" s="1">
        <f t="shared" ca="1" si="69"/>
        <v>11</v>
      </c>
      <c r="GF47" s="1">
        <f t="shared" ca="1" si="146"/>
        <v>0</v>
      </c>
      <c r="GG47" s="1">
        <f t="shared" ca="1" si="147"/>
        <v>1</v>
      </c>
      <c r="GH47" s="1" t="str">
        <f t="shared" ca="1" si="148"/>
        <v/>
      </c>
      <c r="GI47" s="1" t="str">
        <f t="shared" ca="1" si="149"/>
        <v/>
      </c>
      <c r="GJ47" s="1" t="str">
        <f t="shared" ca="1" si="70"/>
        <v/>
      </c>
      <c r="GK47" s="1" t="str">
        <f t="shared" ca="1" si="71"/>
        <v/>
      </c>
      <c r="GO47" s="1" t="e">
        <f>MATCH(CONCATENATE($B47,"_",INDEX($C$4:$C42,GO$34)),lu_DataCode,0)</f>
        <v>#N/A</v>
      </c>
      <c r="GP47" s="1" t="e">
        <f t="shared" ca="1" si="72"/>
        <v>#N/A</v>
      </c>
      <c r="GQ47" s="1" t="e">
        <f t="shared" ca="1" si="73"/>
        <v>#N/A</v>
      </c>
      <c r="GR47" s="1">
        <f t="shared" ca="1" si="74"/>
        <v>0</v>
      </c>
      <c r="GS47" s="1">
        <f t="shared" ca="1" si="150"/>
        <v>-10000000000</v>
      </c>
      <c r="GT47" s="1">
        <f ca="1">RANK(GS47,GS$37:GS$62,GS$34)+COUNTIF(GS$37:GS47,GS47)-1</f>
        <v>11</v>
      </c>
      <c r="GU47" s="1">
        <f t="shared" ca="1" si="75"/>
        <v>11</v>
      </c>
      <c r="GV47" s="1">
        <f t="shared" ca="1" si="151"/>
        <v>0</v>
      </c>
      <c r="GW47" s="1">
        <f t="shared" ca="1" si="152"/>
        <v>1</v>
      </c>
      <c r="GX47" s="1" t="str">
        <f t="shared" ca="1" si="153"/>
        <v/>
      </c>
      <c r="GY47" s="1" t="str">
        <f t="shared" ca="1" si="154"/>
        <v/>
      </c>
      <c r="GZ47" s="1" t="str">
        <f t="shared" ca="1" si="76"/>
        <v/>
      </c>
      <c r="HA47" s="1" t="str">
        <f t="shared" ca="1" si="77"/>
        <v/>
      </c>
      <c r="HE47" s="1" t="e">
        <f>MATCH(CONCATENATE($B47,"_",INDEX($C$4:$C42,HE$34)),lu_DataCode,0)</f>
        <v>#N/A</v>
      </c>
      <c r="HF47" s="1" t="e">
        <f t="shared" ca="1" si="78"/>
        <v>#N/A</v>
      </c>
      <c r="HG47" s="1" t="e">
        <f t="shared" ca="1" si="79"/>
        <v>#N/A</v>
      </c>
      <c r="HH47" s="1">
        <f t="shared" ca="1" si="80"/>
        <v>0</v>
      </c>
      <c r="HI47" s="1">
        <f t="shared" ca="1" si="155"/>
        <v>-10000000000</v>
      </c>
      <c r="HJ47" s="1">
        <f ca="1">RANK(HI47,HI$37:HI$62,HI$34)+COUNTIF(HI$37:HI47,HI47)-1</f>
        <v>11</v>
      </c>
      <c r="HK47" s="1">
        <f t="shared" ca="1" si="81"/>
        <v>11</v>
      </c>
      <c r="HL47" s="1">
        <f t="shared" ca="1" si="156"/>
        <v>0</v>
      </c>
      <c r="HM47" s="1">
        <f t="shared" ca="1" si="157"/>
        <v>1</v>
      </c>
      <c r="HN47" s="1" t="str">
        <f t="shared" ca="1" si="158"/>
        <v/>
      </c>
      <c r="HO47" s="1" t="str">
        <f t="shared" ca="1" si="159"/>
        <v/>
      </c>
      <c r="HP47" s="1" t="str">
        <f t="shared" ca="1" si="82"/>
        <v/>
      </c>
      <c r="HQ47" s="1" t="str">
        <f t="shared" ca="1" si="83"/>
        <v/>
      </c>
      <c r="HU47" s="1" t="e">
        <f>MATCH(CONCATENATE($B47,"_",INDEX($C$4:$C42,HU$34)),lu_DataCode,0)</f>
        <v>#N/A</v>
      </c>
      <c r="HV47" s="1" t="e">
        <f t="shared" ca="1" si="84"/>
        <v>#N/A</v>
      </c>
      <c r="HW47" s="1" t="e">
        <f t="shared" ca="1" si="85"/>
        <v>#N/A</v>
      </c>
      <c r="HX47" s="1">
        <f t="shared" ca="1" si="86"/>
        <v>0</v>
      </c>
      <c r="HY47" s="1">
        <f t="shared" ca="1" si="160"/>
        <v>-10000000000</v>
      </c>
      <c r="HZ47" s="1">
        <f ca="1">RANK(HY47,HY$37:HY$62,HY$34)+COUNTIF(HY$37:HY47,HY47)-1</f>
        <v>11</v>
      </c>
      <c r="IA47" s="1">
        <f t="shared" ca="1" si="87"/>
        <v>11</v>
      </c>
      <c r="IB47" s="1">
        <f t="shared" ca="1" si="161"/>
        <v>0</v>
      </c>
      <c r="IC47" s="1">
        <f t="shared" ca="1" si="162"/>
        <v>1</v>
      </c>
      <c r="ID47" s="1" t="str">
        <f t="shared" ca="1" si="163"/>
        <v/>
      </c>
      <c r="IE47" s="1" t="str">
        <f t="shared" ca="1" si="164"/>
        <v/>
      </c>
      <c r="IF47" s="1" t="str">
        <f t="shared" ca="1" si="88"/>
        <v/>
      </c>
      <c r="IG47" s="1" t="str">
        <f t="shared" ca="1" si="89"/>
        <v/>
      </c>
    </row>
    <row r="48" spans="1:241" ht="10.15" x14ac:dyDescent="0.2">
      <c r="A48" s="1">
        <v>12</v>
      </c>
      <c r="B48" s="1" t="str">
        <f>tblCountries!E14</f>
        <v>NAC_GT_1</v>
      </c>
      <c r="C48" s="1" t="str">
        <f>tblCountries!C14</f>
        <v>Guatemala</v>
      </c>
      <c r="D48" s="1">
        <f>tblCountries!D14</f>
        <v>1</v>
      </c>
      <c r="E48" s="1">
        <f>MATCH(CONCATENATE($B48,"_",INDEX($C$4:$C43,E$34)),lu_DataCode,0)</f>
        <v>21</v>
      </c>
      <c r="F48" s="1">
        <f t="shared" ca="1" si="165"/>
        <v>2012</v>
      </c>
      <c r="G48" s="1">
        <f t="shared" ca="1" si="166"/>
        <v>7.8</v>
      </c>
      <c r="H48" s="1">
        <f t="shared" ca="1" si="167"/>
        <v>1</v>
      </c>
      <c r="I48" s="1">
        <f t="shared" ca="1" si="90"/>
        <v>7.8</v>
      </c>
      <c r="J48" s="1">
        <f ca="1">RANK(I48,I$37:I$62,I$34)+COUNTIF(I$37:I48,I48)-1</f>
        <v>4</v>
      </c>
      <c r="K48" s="1">
        <f t="shared" ca="1" si="168"/>
        <v>13</v>
      </c>
      <c r="L48" s="1">
        <f t="shared" ca="1" si="169"/>
        <v>1</v>
      </c>
      <c r="M48" s="1">
        <f t="shared" ca="1" si="92"/>
        <v>1</v>
      </c>
      <c r="N48" s="1">
        <f t="shared" ca="1" si="93"/>
        <v>12</v>
      </c>
      <c r="O48" s="1" t="str">
        <f t="shared" ca="1" si="94"/>
        <v>Guyana</v>
      </c>
      <c r="P48" s="1">
        <f t="shared" ca="1" si="170"/>
        <v>6.2970213381781504</v>
      </c>
      <c r="Q48" s="1">
        <f t="shared" ca="1" si="171"/>
        <v>2012</v>
      </c>
      <c r="U48" s="1">
        <f>MATCH(CONCATENATE($B48,"_",INDEX($C$4:$C43,U$34)),lu_DataCode,0)</f>
        <v>46</v>
      </c>
      <c r="V48" s="1">
        <f t="shared" ca="1" si="172"/>
        <v>2012</v>
      </c>
      <c r="W48" s="1">
        <f t="shared" ca="1" si="173"/>
        <v>15.105</v>
      </c>
      <c r="X48" s="1">
        <f t="shared" ca="1" si="174"/>
        <v>1</v>
      </c>
      <c r="Y48" s="1">
        <f t="shared" ca="1" si="95"/>
        <v>15.105</v>
      </c>
      <c r="Z48" s="1">
        <f ca="1">RANK(Y48,Y$37:Y$62,Y$34)+COUNTIF(Y$37:Y48,Y48)-1</f>
        <v>8</v>
      </c>
      <c r="AA48" s="1">
        <f t="shared" ca="1" si="175"/>
        <v>5</v>
      </c>
      <c r="AB48" s="1">
        <f t="shared" ca="1" si="176"/>
        <v>1</v>
      </c>
      <c r="AC48" s="1">
        <f t="shared" ca="1" si="97"/>
        <v>1</v>
      </c>
      <c r="AD48" s="1">
        <f t="shared" ca="1" si="98"/>
        <v>12</v>
      </c>
      <c r="AE48" s="1" t="str">
        <f t="shared" ca="1" si="99"/>
        <v>Bolivia</v>
      </c>
      <c r="AF48" s="1">
        <f t="shared" ca="1" si="177"/>
        <v>10.029999999999999</v>
      </c>
      <c r="AG48" s="1">
        <f t="shared" ca="1" si="178"/>
        <v>2012</v>
      </c>
      <c r="AK48" s="1">
        <f>MATCH(CONCATENATE($B48,"_",INDEX($C$4:$C43,AK$34)),lu_DataCode,0)</f>
        <v>72</v>
      </c>
      <c r="AL48" s="1">
        <f t="shared" ca="1" si="12"/>
        <v>2012</v>
      </c>
      <c r="AM48" s="1">
        <f t="shared" ca="1" si="13"/>
        <v>108890</v>
      </c>
      <c r="AN48" s="1">
        <f t="shared" ca="1" si="14"/>
        <v>1</v>
      </c>
      <c r="AO48" s="1">
        <f t="shared" ca="1" si="100"/>
        <v>108890</v>
      </c>
      <c r="AP48" s="1">
        <f ca="1">RANK(AO48,AO$37:AO$62,AO$34)+COUNTIF(AO$37:AO48,AO48)-1</f>
        <v>16</v>
      </c>
      <c r="AQ48" s="1">
        <f t="shared" ca="1" si="15"/>
        <v>25</v>
      </c>
      <c r="AR48" s="1">
        <f t="shared" ca="1" si="101"/>
        <v>1</v>
      </c>
      <c r="AS48" s="1">
        <f t="shared" ca="1" si="102"/>
        <v>1</v>
      </c>
      <c r="AT48" s="1">
        <f t="shared" ca="1" si="103"/>
        <v>12</v>
      </c>
      <c r="AU48" s="1" t="str">
        <f t="shared" ca="1" si="104"/>
        <v>Uruguay</v>
      </c>
      <c r="AV48" s="1">
        <f t="shared" ca="1" si="16"/>
        <v>176220</v>
      </c>
      <c r="AW48" s="1">
        <f t="shared" ca="1" si="17"/>
        <v>2012</v>
      </c>
      <c r="BA48" s="1">
        <f>MATCH(CONCATENATE($B48,"_",INDEX($C$4:$C43,BA$34)),lu_DataCode,0)</f>
        <v>98</v>
      </c>
      <c r="BB48" s="1">
        <f t="shared" ca="1" si="18"/>
        <v>2012</v>
      </c>
      <c r="BC48" s="1">
        <f t="shared" ca="1" si="19"/>
        <v>49.88</v>
      </c>
      <c r="BD48" s="1">
        <f t="shared" ca="1" si="20"/>
        <v>1</v>
      </c>
      <c r="BE48" s="1">
        <f t="shared" ca="1" si="105"/>
        <v>49.88</v>
      </c>
      <c r="BF48" s="1">
        <f ca="1">RANK(BE48,BE$37:BE$62,BE$34)+COUNTIF(BE$37:BE48,BE48)-1</f>
        <v>10</v>
      </c>
      <c r="BG48" s="1">
        <f t="shared" ca="1" si="21"/>
        <v>9</v>
      </c>
      <c r="BH48" s="1">
        <f t="shared" ca="1" si="106"/>
        <v>1</v>
      </c>
      <c r="BI48" s="1">
        <f t="shared" ca="1" si="107"/>
        <v>1</v>
      </c>
      <c r="BJ48" s="1">
        <f t="shared" ca="1" si="108"/>
        <v>12</v>
      </c>
      <c r="BK48" s="1" t="str">
        <f t="shared" ca="1" si="109"/>
        <v>Costa Rica</v>
      </c>
      <c r="BL48" s="1">
        <f t="shared" ca="1" si="22"/>
        <v>45.107420042450002</v>
      </c>
      <c r="BM48" s="1">
        <f t="shared" ca="1" si="23"/>
        <v>2012</v>
      </c>
      <c r="BQ48" s="1">
        <f>MATCH(CONCATENATE($B48,"_",INDEX($C$4:$C43,BQ$34)),lu_DataCode,0)</f>
        <v>124</v>
      </c>
      <c r="BR48" s="1">
        <f t="shared" ca="1" si="24"/>
        <v>2012</v>
      </c>
      <c r="BS48" s="1">
        <f t="shared" ca="1" si="25"/>
        <v>78.680999999999997</v>
      </c>
      <c r="BT48" s="1">
        <f t="shared" ca="1" si="26"/>
        <v>1</v>
      </c>
      <c r="BU48" s="1">
        <f t="shared" ca="1" si="110"/>
        <v>78.680999999999997</v>
      </c>
      <c r="BV48" s="1">
        <f ca="1">RANK(BU48,BU$37:BU$62,BU$34)+COUNTIF(BU$37:BU48,BU48)-1</f>
        <v>10</v>
      </c>
      <c r="BW48" s="1">
        <f t="shared" ca="1" si="27"/>
        <v>19</v>
      </c>
      <c r="BX48" s="1">
        <f t="shared" ca="1" si="111"/>
        <v>1</v>
      </c>
      <c r="BY48" s="1">
        <f t="shared" ca="1" si="112"/>
        <v>1</v>
      </c>
      <c r="BZ48" s="1">
        <f t="shared" ca="1" si="113"/>
        <v>12</v>
      </c>
      <c r="CA48" s="1" t="str">
        <f t="shared" ca="1" si="114"/>
        <v>Panamá</v>
      </c>
      <c r="CB48" s="1">
        <f t="shared" ca="1" si="28"/>
        <v>57.079000000000001</v>
      </c>
      <c r="CC48" s="1">
        <f t="shared" ca="1" si="29"/>
        <v>2012</v>
      </c>
      <c r="CG48" s="1">
        <f>MATCH(CONCATENATE($B48,"_",INDEX($C$4:$C43,CG$34)),lu_DataCode,0)</f>
        <v>150</v>
      </c>
      <c r="CH48" s="1">
        <f t="shared" ca="1" si="30"/>
        <v>2012</v>
      </c>
      <c r="CI48" s="1">
        <f t="shared" ca="1" si="31"/>
        <v>1.28566</v>
      </c>
      <c r="CJ48" s="1">
        <f t="shared" ca="1" si="32"/>
        <v>1</v>
      </c>
      <c r="CK48" s="1">
        <f t="shared" ca="1" si="115"/>
        <v>1.28566</v>
      </c>
      <c r="CL48" s="1">
        <f ca="1">RANK(CK48,CK$37:CK$62,CK$34)+COUNTIF(CK$37:CK48,CK48)-1</f>
        <v>10</v>
      </c>
      <c r="CM48" s="1">
        <f t="shared" ca="1" si="33"/>
        <v>16</v>
      </c>
      <c r="CN48" s="1">
        <f t="shared" ca="1" si="116"/>
        <v>1</v>
      </c>
      <c r="CO48" s="1">
        <f t="shared" ca="1" si="117"/>
        <v>1</v>
      </c>
      <c r="CP48" s="1">
        <f t="shared" ca="1" si="118"/>
        <v>12</v>
      </c>
      <c r="CQ48" s="1" t="str">
        <f t="shared" ca="1" si="119"/>
        <v>Jamaica</v>
      </c>
      <c r="CR48" s="1">
        <f t="shared" ca="1" si="34"/>
        <v>0.97197560000000005</v>
      </c>
      <c r="CS48" s="1">
        <f t="shared" ca="1" si="35"/>
        <v>2012</v>
      </c>
      <c r="CW48" s="1">
        <f>MATCH(CONCATENATE($B48,"_",INDEX($C$4:$C43,CW$34)),lu_DataCode,0)</f>
        <v>175</v>
      </c>
      <c r="CX48" s="1">
        <f t="shared" ca="1" si="36"/>
        <v>2012</v>
      </c>
      <c r="CY48" s="1">
        <f t="shared" ca="1" si="37"/>
        <v>0.33935999999999999</v>
      </c>
      <c r="CZ48" s="1">
        <f t="shared" ca="1" si="38"/>
        <v>1</v>
      </c>
      <c r="DA48" s="1">
        <f t="shared" ca="1" si="120"/>
        <v>0.33935999999999999</v>
      </c>
      <c r="DB48" s="1">
        <f ca="1">RANK(DA48,DA$37:DA$62,DA$34)+COUNTIF(DA$37:DA48,DA48)-1</f>
        <v>13</v>
      </c>
      <c r="DC48" s="1">
        <f t="shared" ca="1" si="39"/>
        <v>20</v>
      </c>
      <c r="DD48" s="1">
        <f t="shared" ca="1" si="121"/>
        <v>1</v>
      </c>
      <c r="DE48" s="1">
        <f t="shared" ca="1" si="122"/>
        <v>1</v>
      </c>
      <c r="DF48" s="1">
        <f t="shared" ca="1" si="123"/>
        <v>12</v>
      </c>
      <c r="DG48" s="1" t="str">
        <f t="shared" ca="1" si="124"/>
        <v>Paraguay</v>
      </c>
      <c r="DH48" s="1">
        <f t="shared" ca="1" si="40"/>
        <v>0.35527150000000002</v>
      </c>
      <c r="DI48" s="1">
        <f t="shared" ca="1" si="41"/>
        <v>2012</v>
      </c>
      <c r="DM48" s="1">
        <f>MATCH(CONCATENATE($B48,"_",INDEX($C$4:$C43,DM$34)),lu_DataCode,0)</f>
        <v>200</v>
      </c>
      <c r="DN48" s="1">
        <f t="shared" ca="1" si="42"/>
        <v>2012</v>
      </c>
      <c r="DO48" s="1">
        <f t="shared" ca="1" si="43"/>
        <v>10.6265</v>
      </c>
      <c r="DP48" s="1">
        <f t="shared" ca="1" si="44"/>
        <v>1</v>
      </c>
      <c r="DQ48" s="1">
        <f t="shared" ca="1" si="125"/>
        <v>10.6265</v>
      </c>
      <c r="DR48" s="1">
        <f ca="1">RANK(DQ48,DQ$37:DQ$62,DQ$34)+COUNTIF(DQ$37:DQ48,DQ48)-1</f>
        <v>12</v>
      </c>
      <c r="DS48" s="1">
        <f t="shared" ca="1" si="45"/>
        <v>12</v>
      </c>
      <c r="DT48" s="1">
        <f t="shared" ca="1" si="126"/>
        <v>1</v>
      </c>
      <c r="DU48" s="1">
        <f t="shared" ca="1" si="127"/>
        <v>1</v>
      </c>
      <c r="DV48" s="1">
        <f t="shared" ca="1" si="128"/>
        <v>12</v>
      </c>
      <c r="DW48" s="1" t="str">
        <f t="shared" ca="1" si="129"/>
        <v>Guatemala</v>
      </c>
      <c r="DX48" s="1">
        <f t="shared" ca="1" si="46"/>
        <v>10.6265</v>
      </c>
      <c r="DY48" s="1">
        <f t="shared" ca="1" si="47"/>
        <v>2012</v>
      </c>
      <c r="EC48" s="1">
        <f>MATCH(CONCATENATE($B48,"_",INDEX($C$4:$C43,EC$34)),lu_DataCode,0)</f>
        <v>225</v>
      </c>
      <c r="ED48" s="1">
        <f t="shared" ca="1" si="48"/>
        <v>2012</v>
      </c>
      <c r="EE48" s="1">
        <f t="shared" ca="1" si="49"/>
        <v>9525017.4810000006</v>
      </c>
      <c r="EF48" s="1">
        <f t="shared" ca="1" si="50"/>
        <v>1</v>
      </c>
      <c r="EG48" s="1">
        <f t="shared" ca="1" si="130"/>
        <v>9525017.4810000006</v>
      </c>
      <c r="EH48" s="1">
        <f ca="1">RANK(EG48,EG$37:EG$62,EG$34)+COUNTIF(EG$37:EG48,EG48)-1</f>
        <v>14</v>
      </c>
      <c r="EI48" s="1">
        <f t="shared" ca="1" si="51"/>
        <v>25</v>
      </c>
      <c r="EJ48" s="1">
        <f t="shared" ca="1" si="131"/>
        <v>1</v>
      </c>
      <c r="EK48" s="1">
        <f t="shared" ca="1" si="132"/>
        <v>1</v>
      </c>
      <c r="EL48" s="1">
        <f t="shared" ca="1" si="133"/>
        <v>12</v>
      </c>
      <c r="EM48" s="1" t="str">
        <f t="shared" ca="1" si="134"/>
        <v>Uruguay</v>
      </c>
      <c r="EN48" s="1">
        <f t="shared" ca="1" si="52"/>
        <v>11953003.3525899</v>
      </c>
      <c r="EO48" s="1">
        <f t="shared" ca="1" si="53"/>
        <v>2012</v>
      </c>
      <c r="ES48" s="1">
        <f>MATCH(CONCATENATE($B48,"_",INDEX($C$4:$C43,ES$34)),lu_DataCode,0)</f>
        <v>251</v>
      </c>
      <c r="ET48" s="1">
        <f t="shared" ca="1" si="54"/>
        <v>2012</v>
      </c>
      <c r="EU48" s="1">
        <f t="shared" ca="1" si="55"/>
        <v>16.174189999999999</v>
      </c>
      <c r="EV48" s="1">
        <f t="shared" ca="1" si="56"/>
        <v>1</v>
      </c>
      <c r="EW48" s="1">
        <f t="shared" ca="1" si="135"/>
        <v>16.174189999999999</v>
      </c>
      <c r="EX48" s="1">
        <f ca="1">RANK(EW48,EW$37:EW$62,EW$34)+COUNTIF(EW$37:EW48,EW48)-1</f>
        <v>12</v>
      </c>
      <c r="EY48" s="1">
        <f t="shared" ca="1" si="57"/>
        <v>12</v>
      </c>
      <c r="EZ48" s="1">
        <f t="shared" ca="1" si="136"/>
        <v>1</v>
      </c>
      <c r="FA48" s="1">
        <f t="shared" ca="1" si="137"/>
        <v>1</v>
      </c>
      <c r="FB48" s="1">
        <f t="shared" ca="1" si="138"/>
        <v>12</v>
      </c>
      <c r="FC48" s="1" t="str">
        <f t="shared" ca="1" si="139"/>
        <v>Guatemala</v>
      </c>
      <c r="FD48" s="1">
        <f t="shared" ca="1" si="58"/>
        <v>16.174189999999999</v>
      </c>
      <c r="FE48" s="1">
        <f t="shared" ca="1" si="59"/>
        <v>2012</v>
      </c>
      <c r="FI48" s="1">
        <f>MATCH(CONCATENATE($B48,"_",INDEX($C$4:$C43,FI$34)),lu_DataCode,0)</f>
        <v>275</v>
      </c>
      <c r="FJ48" s="1">
        <f t="shared" ca="1" si="60"/>
        <v>2012</v>
      </c>
      <c r="FK48" s="1">
        <f t="shared" ca="1" si="61"/>
        <v>12275771.696</v>
      </c>
      <c r="FL48" s="1">
        <f t="shared" ca="1" si="62"/>
        <v>1</v>
      </c>
      <c r="FM48" s="1">
        <f t="shared" ca="1" si="140"/>
        <v>12275771.696</v>
      </c>
      <c r="FN48" s="1">
        <f ca="1">RANK(FM48,FM$37:FM$62,FM$34)+COUNTIF(FM$37:FM48,FM48)-1</f>
        <v>10</v>
      </c>
      <c r="FO48" s="1">
        <f t="shared" ca="1" si="63"/>
        <v>24</v>
      </c>
      <c r="FP48" s="1">
        <f t="shared" ca="1" si="141"/>
        <v>1</v>
      </c>
      <c r="FQ48" s="1">
        <f t="shared" ca="1" si="142"/>
        <v>1</v>
      </c>
      <c r="FR48" s="1">
        <f t="shared" ca="1" si="143"/>
        <v>12</v>
      </c>
      <c r="FS48" s="1" t="str">
        <f t="shared" ca="1" si="144"/>
        <v>Trinidad and Tobago</v>
      </c>
      <c r="FT48" s="1">
        <f t="shared" ca="1" si="64"/>
        <v>7706328.2539999997</v>
      </c>
      <c r="FU48" s="1">
        <f t="shared" ca="1" si="65"/>
        <v>2012</v>
      </c>
      <c r="FY48" s="1" t="e">
        <f>MATCH(CONCATENATE($B48,"_",INDEX($C$4:$C43,FY$34)),lu_DataCode,0)</f>
        <v>#N/A</v>
      </c>
      <c r="FZ48" s="1" t="e">
        <f t="shared" ca="1" si="66"/>
        <v>#N/A</v>
      </c>
      <c r="GA48" s="1" t="e">
        <f t="shared" ca="1" si="67"/>
        <v>#N/A</v>
      </c>
      <c r="GB48" s="1">
        <f t="shared" ca="1" si="68"/>
        <v>0</v>
      </c>
      <c r="GC48" s="1">
        <f t="shared" ca="1" si="145"/>
        <v>-10000000000</v>
      </c>
      <c r="GD48" s="1">
        <f ca="1">RANK(GC48,GC$37:GC$62,GC$34)+COUNTIF(GC$37:GC48,GC48)-1</f>
        <v>12</v>
      </c>
      <c r="GE48" s="1">
        <f t="shared" ca="1" si="69"/>
        <v>12</v>
      </c>
      <c r="GF48" s="1">
        <f t="shared" ca="1" si="146"/>
        <v>0</v>
      </c>
      <c r="GG48" s="1">
        <f t="shared" ca="1" si="147"/>
        <v>1</v>
      </c>
      <c r="GH48" s="1" t="str">
        <f t="shared" ca="1" si="148"/>
        <v/>
      </c>
      <c r="GI48" s="1" t="str">
        <f t="shared" ca="1" si="149"/>
        <v/>
      </c>
      <c r="GJ48" s="1" t="str">
        <f t="shared" ca="1" si="70"/>
        <v/>
      </c>
      <c r="GK48" s="1" t="str">
        <f t="shared" ca="1" si="71"/>
        <v/>
      </c>
      <c r="GO48" s="1" t="e">
        <f>MATCH(CONCATENATE($B48,"_",INDEX($C$4:$C43,GO$34)),lu_DataCode,0)</f>
        <v>#N/A</v>
      </c>
      <c r="GP48" s="1" t="e">
        <f t="shared" ca="1" si="72"/>
        <v>#N/A</v>
      </c>
      <c r="GQ48" s="1" t="e">
        <f t="shared" ca="1" si="73"/>
        <v>#N/A</v>
      </c>
      <c r="GR48" s="1">
        <f t="shared" ca="1" si="74"/>
        <v>0</v>
      </c>
      <c r="GS48" s="1">
        <f t="shared" ca="1" si="150"/>
        <v>-10000000000</v>
      </c>
      <c r="GT48" s="1">
        <f ca="1">RANK(GS48,GS$37:GS$62,GS$34)+COUNTIF(GS$37:GS48,GS48)-1</f>
        <v>12</v>
      </c>
      <c r="GU48" s="1">
        <f t="shared" ca="1" si="75"/>
        <v>12</v>
      </c>
      <c r="GV48" s="1">
        <f t="shared" ca="1" si="151"/>
        <v>0</v>
      </c>
      <c r="GW48" s="1">
        <f t="shared" ca="1" si="152"/>
        <v>1</v>
      </c>
      <c r="GX48" s="1" t="str">
        <f t="shared" ca="1" si="153"/>
        <v/>
      </c>
      <c r="GY48" s="1" t="str">
        <f t="shared" ca="1" si="154"/>
        <v/>
      </c>
      <c r="GZ48" s="1" t="str">
        <f t="shared" ca="1" si="76"/>
        <v/>
      </c>
      <c r="HA48" s="1" t="str">
        <f t="shared" ca="1" si="77"/>
        <v/>
      </c>
      <c r="HE48" s="1" t="e">
        <f>MATCH(CONCATENATE($B48,"_",INDEX($C$4:$C43,HE$34)),lu_DataCode,0)</f>
        <v>#N/A</v>
      </c>
      <c r="HF48" s="1" t="e">
        <f t="shared" ca="1" si="78"/>
        <v>#N/A</v>
      </c>
      <c r="HG48" s="1" t="e">
        <f t="shared" ca="1" si="79"/>
        <v>#N/A</v>
      </c>
      <c r="HH48" s="1">
        <f t="shared" ca="1" si="80"/>
        <v>0</v>
      </c>
      <c r="HI48" s="1">
        <f t="shared" ca="1" si="155"/>
        <v>-10000000000</v>
      </c>
      <c r="HJ48" s="1">
        <f ca="1">RANK(HI48,HI$37:HI$62,HI$34)+COUNTIF(HI$37:HI48,HI48)-1</f>
        <v>12</v>
      </c>
      <c r="HK48" s="1">
        <f t="shared" ca="1" si="81"/>
        <v>12</v>
      </c>
      <c r="HL48" s="1">
        <f t="shared" ca="1" si="156"/>
        <v>0</v>
      </c>
      <c r="HM48" s="1">
        <f t="shared" ca="1" si="157"/>
        <v>1</v>
      </c>
      <c r="HN48" s="1" t="str">
        <f t="shared" ca="1" si="158"/>
        <v/>
      </c>
      <c r="HO48" s="1" t="str">
        <f t="shared" ca="1" si="159"/>
        <v/>
      </c>
      <c r="HP48" s="1" t="str">
        <f t="shared" ca="1" si="82"/>
        <v/>
      </c>
      <c r="HQ48" s="1" t="str">
        <f t="shared" ca="1" si="83"/>
        <v/>
      </c>
      <c r="HU48" s="1" t="e">
        <f>MATCH(CONCATENATE($B48,"_",INDEX($C$4:$C43,HU$34)),lu_DataCode,0)</f>
        <v>#N/A</v>
      </c>
      <c r="HV48" s="1" t="e">
        <f t="shared" ca="1" si="84"/>
        <v>#N/A</v>
      </c>
      <c r="HW48" s="1" t="e">
        <f t="shared" ca="1" si="85"/>
        <v>#N/A</v>
      </c>
      <c r="HX48" s="1">
        <f t="shared" ca="1" si="86"/>
        <v>0</v>
      </c>
      <c r="HY48" s="1">
        <f t="shared" ca="1" si="160"/>
        <v>-10000000000</v>
      </c>
      <c r="HZ48" s="1">
        <f ca="1">RANK(HY48,HY$37:HY$62,HY$34)+COUNTIF(HY$37:HY48,HY48)-1</f>
        <v>12</v>
      </c>
      <c r="IA48" s="1">
        <f t="shared" ca="1" si="87"/>
        <v>12</v>
      </c>
      <c r="IB48" s="1">
        <f t="shared" ca="1" si="161"/>
        <v>0</v>
      </c>
      <c r="IC48" s="1">
        <f t="shared" ca="1" si="162"/>
        <v>1</v>
      </c>
      <c r="ID48" s="1" t="str">
        <f t="shared" ca="1" si="163"/>
        <v/>
      </c>
      <c r="IE48" s="1" t="str">
        <f t="shared" ca="1" si="164"/>
        <v/>
      </c>
      <c r="IF48" s="1" t="str">
        <f t="shared" ca="1" si="88"/>
        <v/>
      </c>
      <c r="IG48" s="1" t="str">
        <f t="shared" ca="1" si="89"/>
        <v/>
      </c>
    </row>
    <row r="49" spans="1:241" ht="10.15" x14ac:dyDescent="0.2">
      <c r="A49" s="1">
        <v>13</v>
      </c>
      <c r="B49" s="1" t="str">
        <f>tblCountries!E15</f>
        <v>NAC_GY_1</v>
      </c>
      <c r="C49" s="1" t="str">
        <f>tblCountries!C15</f>
        <v>Guyana</v>
      </c>
      <c r="D49" s="1">
        <f>tblCountries!D15</f>
        <v>1</v>
      </c>
      <c r="E49" s="1">
        <f>MATCH(CONCATENATE($B49,"_",INDEX($C$4:$C44,E$34)),lu_DataCode,0)</f>
        <v>8</v>
      </c>
      <c r="F49" s="1">
        <f t="shared" ca="1" si="165"/>
        <v>2012</v>
      </c>
      <c r="G49" s="1">
        <f t="shared" ca="1" si="166"/>
        <v>6.2970213381781504</v>
      </c>
      <c r="H49" s="1">
        <f t="shared" ca="1" si="167"/>
        <v>1</v>
      </c>
      <c r="I49" s="1">
        <f t="shared" ca="1" si="90"/>
        <v>6.297021</v>
      </c>
      <c r="J49" s="1">
        <f ca="1">RANK(I49,I$37:I$62,I$34)+COUNTIF(I$37:I49,I49)-1</f>
        <v>12</v>
      </c>
      <c r="K49" s="1">
        <f t="shared" ca="1" si="168"/>
        <v>23</v>
      </c>
      <c r="L49" s="1">
        <f t="shared" ca="1" si="169"/>
        <v>1</v>
      </c>
      <c r="M49" s="1">
        <f t="shared" ca="1" si="92"/>
        <v>1</v>
      </c>
      <c r="N49" s="1">
        <f t="shared" ca="1" si="93"/>
        <v>13</v>
      </c>
      <c r="O49" s="1" t="str">
        <f t="shared" ca="1" si="94"/>
        <v>Suriname</v>
      </c>
      <c r="P49" s="1">
        <f t="shared" ca="1" si="170"/>
        <v>6.0552171063273095</v>
      </c>
      <c r="Q49" s="1">
        <f t="shared" ca="1" si="171"/>
        <v>2012</v>
      </c>
      <c r="U49" s="1">
        <f>MATCH(CONCATENATE($B49,"_",INDEX($C$4:$C44,U$34)),lu_DataCode,0)</f>
        <v>33</v>
      </c>
      <c r="V49" s="1">
        <f t="shared" ca="1" si="172"/>
        <v>2012</v>
      </c>
      <c r="W49" s="1">
        <f t="shared" ca="1" si="173"/>
        <v>0.75758700000000001</v>
      </c>
      <c r="X49" s="1">
        <f t="shared" ca="1" si="174"/>
        <v>1</v>
      </c>
      <c r="Y49" s="1">
        <f t="shared" ca="1" si="95"/>
        <v>0.75758700000000001</v>
      </c>
      <c r="Z49" s="1">
        <f ca="1">RANK(Y49,Y$37:Y$62,Y$34)+COUNTIF(Y$37:Y49,Y49)-1</f>
        <v>22</v>
      </c>
      <c r="AA49" s="1">
        <f t="shared" ca="1" si="175"/>
        <v>15</v>
      </c>
      <c r="AB49" s="1">
        <f t="shared" ca="1" si="176"/>
        <v>1</v>
      </c>
      <c r="AC49" s="1">
        <f t="shared" ca="1" si="97"/>
        <v>1</v>
      </c>
      <c r="AD49" s="1">
        <f t="shared" ca="1" si="98"/>
        <v>13</v>
      </c>
      <c r="AE49" s="1" t="str">
        <f t="shared" ca="1" si="99"/>
        <v>Honduras</v>
      </c>
      <c r="AF49" s="1">
        <f t="shared" ca="1" si="177"/>
        <v>8.2010000000000005</v>
      </c>
      <c r="AG49" s="1">
        <f t="shared" ca="1" si="178"/>
        <v>2012</v>
      </c>
      <c r="AK49" s="1">
        <f>MATCH(CONCATENATE($B49,"_",INDEX($C$4:$C44,AK$34)),lu_DataCode,0)</f>
        <v>59</v>
      </c>
      <c r="AL49" s="1">
        <f t="shared" ca="1" si="12"/>
        <v>2012</v>
      </c>
      <c r="AM49" s="1">
        <f t="shared" ca="1" si="13"/>
        <v>214970</v>
      </c>
      <c r="AN49" s="1">
        <f t="shared" ca="1" si="14"/>
        <v>1</v>
      </c>
      <c r="AO49" s="1">
        <f t="shared" ca="1" si="100"/>
        <v>214970</v>
      </c>
      <c r="AP49" s="1">
        <f ca="1">RANK(AO49,AO$37:AO$62,AO$34)+COUNTIF(AO$37:AO49,AO49)-1</f>
        <v>11</v>
      </c>
      <c r="AQ49" s="1">
        <f t="shared" ca="1" si="15"/>
        <v>23</v>
      </c>
      <c r="AR49" s="1">
        <f t="shared" ca="1" si="101"/>
        <v>1</v>
      </c>
      <c r="AS49" s="1">
        <f t="shared" ca="1" si="102"/>
        <v>1</v>
      </c>
      <c r="AT49" s="1">
        <f t="shared" ca="1" si="103"/>
        <v>13</v>
      </c>
      <c r="AU49" s="1" t="str">
        <f t="shared" ca="1" si="104"/>
        <v>Suriname</v>
      </c>
      <c r="AV49" s="1">
        <f t="shared" ca="1" si="16"/>
        <v>163820</v>
      </c>
      <c r="AW49" s="1">
        <f t="shared" ca="1" si="17"/>
        <v>2012</v>
      </c>
      <c r="BA49" s="1">
        <f>MATCH(CONCATENATE($B49,"_",INDEX($C$4:$C44,BA$34)),lu_DataCode,0)</f>
        <v>85</v>
      </c>
      <c r="BB49" s="1">
        <f t="shared" ca="1" si="18"/>
        <v>2012</v>
      </c>
      <c r="BC49" s="1">
        <f t="shared" ca="1" si="19"/>
        <v>2.7879999999999998</v>
      </c>
      <c r="BD49" s="1">
        <f t="shared" ca="1" si="20"/>
        <v>1</v>
      </c>
      <c r="BE49" s="1">
        <f t="shared" ca="1" si="105"/>
        <v>2.7879999999999998</v>
      </c>
      <c r="BF49" s="1">
        <f ca="1">RANK(BE49,BE$37:BE$62,BE$34)+COUNTIF(BE$37:BE49,BE49)-1</f>
        <v>25</v>
      </c>
      <c r="BG49" s="1">
        <f t="shared" ca="1" si="21"/>
        <v>19</v>
      </c>
      <c r="BH49" s="1">
        <f t="shared" ca="1" si="106"/>
        <v>1</v>
      </c>
      <c r="BI49" s="1">
        <f t="shared" ca="1" si="107"/>
        <v>1</v>
      </c>
      <c r="BJ49" s="1">
        <f t="shared" ca="1" si="108"/>
        <v>13</v>
      </c>
      <c r="BK49" s="1" t="str">
        <f t="shared" ca="1" si="109"/>
        <v>Panamá</v>
      </c>
      <c r="BL49" s="1">
        <f t="shared" ca="1" si="22"/>
        <v>36.253</v>
      </c>
      <c r="BM49" s="1">
        <f t="shared" ca="1" si="23"/>
        <v>2012</v>
      </c>
      <c r="BQ49" s="1">
        <f>MATCH(CONCATENATE($B49,"_",INDEX($C$4:$C44,BQ$34)),lu_DataCode,0)</f>
        <v>111</v>
      </c>
      <c r="BR49" s="1">
        <f t="shared" ca="1" si="24"/>
        <v>2012</v>
      </c>
      <c r="BS49" s="1">
        <f t="shared" ca="1" si="25"/>
        <v>6.1639999999999997</v>
      </c>
      <c r="BT49" s="1">
        <f t="shared" ca="1" si="26"/>
        <v>1</v>
      </c>
      <c r="BU49" s="1">
        <f t="shared" ca="1" si="110"/>
        <v>6.1639999999999997</v>
      </c>
      <c r="BV49" s="1">
        <f ca="1">RANK(BU49,BU$37:BU$62,BU$34)+COUNTIF(BU$37:BU49,BU49)-1</f>
        <v>25</v>
      </c>
      <c r="BW49" s="1">
        <f t="shared" ca="1" si="27"/>
        <v>5</v>
      </c>
      <c r="BX49" s="1">
        <f t="shared" ca="1" si="111"/>
        <v>1</v>
      </c>
      <c r="BY49" s="1">
        <f t="shared" ca="1" si="112"/>
        <v>1</v>
      </c>
      <c r="BZ49" s="1">
        <f t="shared" ca="1" si="113"/>
        <v>13</v>
      </c>
      <c r="CA49" s="1" t="str">
        <f t="shared" ca="1" si="114"/>
        <v>Bolivia</v>
      </c>
      <c r="CB49" s="1">
        <f t="shared" ca="1" si="28"/>
        <v>54.360999999999997</v>
      </c>
      <c r="CC49" s="1">
        <f t="shared" ca="1" si="29"/>
        <v>2012</v>
      </c>
      <c r="CG49" s="1">
        <f>MATCH(CONCATENATE($B49,"_",INDEX($C$4:$C44,CG$34)),lu_DataCode,0)</f>
        <v>137</v>
      </c>
      <c r="CH49" s="1">
        <f t="shared" ca="1" si="30"/>
        <v>2012</v>
      </c>
      <c r="CI49" s="1">
        <f t="shared" ca="1" si="31"/>
        <v>0.2311281</v>
      </c>
      <c r="CJ49" s="1">
        <f t="shared" ca="1" si="32"/>
        <v>1</v>
      </c>
      <c r="CK49" s="1">
        <f t="shared" ca="1" si="115"/>
        <v>0.231128</v>
      </c>
      <c r="CL49" s="1">
        <f ca="1">RANK(CK49,CK$37:CK$62,CK$34)+COUNTIF(CK$37:CK49,CK49)-1</f>
        <v>22</v>
      </c>
      <c r="CM49" s="1">
        <f t="shared" ca="1" si="33"/>
        <v>9</v>
      </c>
      <c r="CN49" s="1">
        <f t="shared" ca="1" si="116"/>
        <v>1</v>
      </c>
      <c r="CO49" s="1">
        <f t="shared" ca="1" si="117"/>
        <v>1</v>
      </c>
      <c r="CP49" s="1">
        <f t="shared" ca="1" si="118"/>
        <v>13</v>
      </c>
      <c r="CQ49" s="1" t="str">
        <f t="shared" ca="1" si="119"/>
        <v>Costa Rica</v>
      </c>
      <c r="CR49" s="1">
        <f t="shared" ca="1" si="34"/>
        <v>0.88429171746711699</v>
      </c>
      <c r="CS49" s="1">
        <f t="shared" ca="1" si="35"/>
        <v>2012</v>
      </c>
      <c r="CW49" s="1">
        <f>MATCH(CONCATENATE($B49,"_",INDEX($C$4:$C44,CW$34)),lu_DataCode,0)</f>
        <v>163</v>
      </c>
      <c r="CX49" s="1">
        <f t="shared" ca="1" si="36"/>
        <v>2012</v>
      </c>
      <c r="CY49" s="1">
        <f t="shared" ca="1" si="37"/>
        <v>2.44628E-2</v>
      </c>
      <c r="CZ49" s="1">
        <f t="shared" ca="1" si="38"/>
        <v>1</v>
      </c>
      <c r="DA49" s="1">
        <f t="shared" ca="1" si="120"/>
        <v>2.4462999999999999E-2</v>
      </c>
      <c r="DB49" s="1">
        <f ca="1">RANK(DA49,DA$37:DA$62,DA$34)+COUNTIF(DA$37:DA49,DA49)-1</f>
        <v>22</v>
      </c>
      <c r="DC49" s="1">
        <f t="shared" ca="1" si="39"/>
        <v>12</v>
      </c>
      <c r="DD49" s="1">
        <f t="shared" ca="1" si="121"/>
        <v>1</v>
      </c>
      <c r="DE49" s="1">
        <f t="shared" ca="1" si="122"/>
        <v>1</v>
      </c>
      <c r="DF49" s="1">
        <f t="shared" ca="1" si="123"/>
        <v>13</v>
      </c>
      <c r="DG49" s="1" t="str">
        <f t="shared" ca="1" si="124"/>
        <v>Guatemala</v>
      </c>
      <c r="DH49" s="1">
        <f t="shared" ca="1" si="40"/>
        <v>0.33935999999999999</v>
      </c>
      <c r="DI49" s="1">
        <f t="shared" ca="1" si="41"/>
        <v>2012</v>
      </c>
      <c r="DM49" s="1">
        <f>MATCH(CONCATENATE($B49,"_",INDEX($C$4:$C44,DM$34)),lu_DataCode,0)</f>
        <v>187</v>
      </c>
      <c r="DN49" s="1">
        <f t="shared" ca="1" si="42"/>
        <v>2012</v>
      </c>
      <c r="DO49" s="1">
        <f t="shared" ca="1" si="43"/>
        <v>1.232</v>
      </c>
      <c r="DP49" s="1">
        <f t="shared" ca="1" si="44"/>
        <v>1</v>
      </c>
      <c r="DQ49" s="1">
        <f t="shared" ca="1" si="125"/>
        <v>1.232</v>
      </c>
      <c r="DR49" s="1">
        <f ca="1">RANK(DQ49,DQ$37:DQ$62,DQ$34)+COUNTIF(DQ$37:DQ49,DQ49)-1</f>
        <v>22</v>
      </c>
      <c r="DS49" s="1">
        <f t="shared" ca="1" si="45"/>
        <v>25</v>
      </c>
      <c r="DT49" s="1">
        <f t="shared" ca="1" si="126"/>
        <v>1</v>
      </c>
      <c r="DU49" s="1">
        <f t="shared" ca="1" si="127"/>
        <v>1</v>
      </c>
      <c r="DV49" s="1">
        <f t="shared" ca="1" si="128"/>
        <v>13</v>
      </c>
      <c r="DW49" s="1" t="str">
        <f t="shared" ca="1" si="129"/>
        <v>Uruguay</v>
      </c>
      <c r="DX49" s="1">
        <f t="shared" ca="1" si="46"/>
        <v>9.9065930590204303</v>
      </c>
      <c r="DY49" s="1">
        <f t="shared" ca="1" si="47"/>
        <v>2012</v>
      </c>
      <c r="EC49" s="1">
        <f>MATCH(CONCATENATE($B49,"_",INDEX($C$4:$C44,EC$34)),lu_DataCode,0)</f>
        <v>213</v>
      </c>
      <c r="ED49" s="1">
        <f t="shared" ca="1" si="48"/>
        <v>2012</v>
      </c>
      <c r="EE49" s="1">
        <f t="shared" ca="1" si="49"/>
        <v>2029466.226</v>
      </c>
      <c r="EF49" s="1">
        <f t="shared" ca="1" si="50"/>
        <v>1</v>
      </c>
      <c r="EG49" s="1">
        <f t="shared" ca="1" si="130"/>
        <v>2029466.226</v>
      </c>
      <c r="EH49" s="1">
        <f ca="1">RANK(EG49,EG$37:EG$62,EG$34)+COUNTIF(EG$37:EG49,EG49)-1</f>
        <v>21</v>
      </c>
      <c r="EI49" s="1">
        <f t="shared" ca="1" si="51"/>
        <v>20</v>
      </c>
      <c r="EJ49" s="1">
        <f t="shared" ca="1" si="131"/>
        <v>1</v>
      </c>
      <c r="EK49" s="1">
        <f t="shared" ca="1" si="132"/>
        <v>1</v>
      </c>
      <c r="EL49" s="1">
        <f t="shared" ca="1" si="133"/>
        <v>13</v>
      </c>
      <c r="EM49" s="1" t="str">
        <f t="shared" ca="1" si="134"/>
        <v>Paraguay</v>
      </c>
      <c r="EN49" s="1">
        <f t="shared" ca="1" si="52"/>
        <v>11816765.481977999</v>
      </c>
      <c r="EO49" s="1">
        <f t="shared" ca="1" si="53"/>
        <v>2012</v>
      </c>
      <c r="ES49" s="1">
        <f>MATCH(CONCATENATE($B49,"_",INDEX($C$4:$C44,ES$34)),lu_DataCode,0)</f>
        <v>238</v>
      </c>
      <c r="ET49" s="1">
        <f t="shared" ca="1" si="54"/>
        <v>2012</v>
      </c>
      <c r="EU49" s="1">
        <f t="shared" ca="1" si="55"/>
        <v>1.9390000000000001</v>
      </c>
      <c r="EV49" s="1">
        <f t="shared" ca="1" si="56"/>
        <v>1</v>
      </c>
      <c r="EW49" s="1">
        <f t="shared" ca="1" si="135"/>
        <v>1.9390000000000001</v>
      </c>
      <c r="EX49" s="1">
        <f ca="1">RANK(EW49,EW$37:EW$62,EW$34)+COUNTIF(EW$37:EW49,EW49)-1</f>
        <v>23</v>
      </c>
      <c r="EY49" s="1">
        <f t="shared" ca="1" si="57"/>
        <v>25</v>
      </c>
      <c r="EZ49" s="1">
        <f t="shared" ca="1" si="136"/>
        <v>1</v>
      </c>
      <c r="FA49" s="1">
        <f t="shared" ca="1" si="137"/>
        <v>1</v>
      </c>
      <c r="FB49" s="1">
        <f t="shared" ca="1" si="138"/>
        <v>13</v>
      </c>
      <c r="FC49" s="1" t="str">
        <f t="shared" ca="1" si="139"/>
        <v>Uruguay</v>
      </c>
      <c r="FD49" s="1">
        <f t="shared" ca="1" si="58"/>
        <v>12.217000623701001</v>
      </c>
      <c r="FE49" s="1">
        <f t="shared" ca="1" si="59"/>
        <v>2012</v>
      </c>
      <c r="FI49" s="1">
        <f>MATCH(CONCATENATE($B49,"_",INDEX($C$4:$C44,FI$34)),lu_DataCode,0)</f>
        <v>264</v>
      </c>
      <c r="FJ49" s="1">
        <f t="shared" ca="1" si="60"/>
        <v>2012</v>
      </c>
      <c r="FK49" s="1">
        <f t="shared" ca="1" si="61"/>
        <v>916122.44773120002</v>
      </c>
      <c r="FL49" s="1">
        <f t="shared" ca="1" si="62"/>
        <v>1</v>
      </c>
      <c r="FM49" s="1">
        <f t="shared" ca="1" si="140"/>
        <v>916122.44773100002</v>
      </c>
      <c r="FN49" s="1">
        <f ca="1">RANK(FM49,FM$37:FM$62,FM$34)+COUNTIF(FM$37:FM49,FM49)-1</f>
        <v>23</v>
      </c>
      <c r="FO49" s="1">
        <f t="shared" ca="1" si="63"/>
        <v>11</v>
      </c>
      <c r="FP49" s="1">
        <f t="shared" ca="1" si="141"/>
        <v>1</v>
      </c>
      <c r="FQ49" s="1">
        <f t="shared" ca="1" si="142"/>
        <v>1</v>
      </c>
      <c r="FR49" s="1">
        <f t="shared" ca="1" si="143"/>
        <v>13</v>
      </c>
      <c r="FS49" s="1" t="str">
        <f t="shared" ca="1" si="144"/>
        <v>El Salvador</v>
      </c>
      <c r="FT49" s="1">
        <f t="shared" ca="1" si="64"/>
        <v>7574949.6176000005</v>
      </c>
      <c r="FU49" s="1">
        <f t="shared" ca="1" si="65"/>
        <v>2012</v>
      </c>
      <c r="FY49" s="1" t="e">
        <f>MATCH(CONCATENATE($B49,"_",INDEX($C$4:$C44,FY$34)),lu_DataCode,0)</f>
        <v>#N/A</v>
      </c>
      <c r="FZ49" s="1" t="e">
        <f t="shared" ca="1" si="66"/>
        <v>#N/A</v>
      </c>
      <c r="GA49" s="1" t="e">
        <f t="shared" ca="1" si="67"/>
        <v>#N/A</v>
      </c>
      <c r="GB49" s="1">
        <f t="shared" ca="1" si="68"/>
        <v>0</v>
      </c>
      <c r="GC49" s="1">
        <f t="shared" ca="1" si="145"/>
        <v>-10000000000</v>
      </c>
      <c r="GD49" s="1">
        <f ca="1">RANK(GC49,GC$37:GC$62,GC$34)+COUNTIF(GC$37:GC49,GC49)-1</f>
        <v>13</v>
      </c>
      <c r="GE49" s="1">
        <f t="shared" ca="1" si="69"/>
        <v>13</v>
      </c>
      <c r="GF49" s="1">
        <f t="shared" ca="1" si="146"/>
        <v>0</v>
      </c>
      <c r="GG49" s="1">
        <f t="shared" ca="1" si="147"/>
        <v>1</v>
      </c>
      <c r="GH49" s="1" t="str">
        <f t="shared" ca="1" si="148"/>
        <v/>
      </c>
      <c r="GI49" s="1" t="str">
        <f t="shared" ca="1" si="149"/>
        <v/>
      </c>
      <c r="GJ49" s="1" t="str">
        <f t="shared" ca="1" si="70"/>
        <v/>
      </c>
      <c r="GK49" s="1" t="str">
        <f t="shared" ca="1" si="71"/>
        <v/>
      </c>
      <c r="GO49" s="1" t="e">
        <f>MATCH(CONCATENATE($B49,"_",INDEX($C$4:$C44,GO$34)),lu_DataCode,0)</f>
        <v>#N/A</v>
      </c>
      <c r="GP49" s="1" t="e">
        <f t="shared" ca="1" si="72"/>
        <v>#N/A</v>
      </c>
      <c r="GQ49" s="1" t="e">
        <f t="shared" ca="1" si="73"/>
        <v>#N/A</v>
      </c>
      <c r="GR49" s="1">
        <f t="shared" ca="1" si="74"/>
        <v>0</v>
      </c>
      <c r="GS49" s="1">
        <f t="shared" ca="1" si="150"/>
        <v>-10000000000</v>
      </c>
      <c r="GT49" s="1">
        <f ca="1">RANK(GS49,GS$37:GS$62,GS$34)+COUNTIF(GS$37:GS49,GS49)-1</f>
        <v>13</v>
      </c>
      <c r="GU49" s="1">
        <f t="shared" ca="1" si="75"/>
        <v>13</v>
      </c>
      <c r="GV49" s="1">
        <f t="shared" ca="1" si="151"/>
        <v>0</v>
      </c>
      <c r="GW49" s="1">
        <f t="shared" ca="1" si="152"/>
        <v>1</v>
      </c>
      <c r="GX49" s="1" t="str">
        <f t="shared" ca="1" si="153"/>
        <v/>
      </c>
      <c r="GY49" s="1" t="str">
        <f t="shared" ca="1" si="154"/>
        <v/>
      </c>
      <c r="GZ49" s="1" t="str">
        <f t="shared" ca="1" si="76"/>
        <v/>
      </c>
      <c r="HA49" s="1" t="str">
        <f t="shared" ca="1" si="77"/>
        <v/>
      </c>
      <c r="HE49" s="1" t="e">
        <f>MATCH(CONCATENATE($B49,"_",INDEX($C$4:$C44,HE$34)),lu_DataCode,0)</f>
        <v>#N/A</v>
      </c>
      <c r="HF49" s="1" t="e">
        <f t="shared" ca="1" si="78"/>
        <v>#N/A</v>
      </c>
      <c r="HG49" s="1" t="e">
        <f t="shared" ca="1" si="79"/>
        <v>#N/A</v>
      </c>
      <c r="HH49" s="1">
        <f t="shared" ca="1" si="80"/>
        <v>0</v>
      </c>
      <c r="HI49" s="1">
        <f t="shared" ca="1" si="155"/>
        <v>-10000000000</v>
      </c>
      <c r="HJ49" s="1">
        <f ca="1">RANK(HI49,HI$37:HI$62,HI$34)+COUNTIF(HI$37:HI49,HI49)-1</f>
        <v>13</v>
      </c>
      <c r="HK49" s="1">
        <f t="shared" ca="1" si="81"/>
        <v>13</v>
      </c>
      <c r="HL49" s="1">
        <f t="shared" ca="1" si="156"/>
        <v>0</v>
      </c>
      <c r="HM49" s="1">
        <f t="shared" ca="1" si="157"/>
        <v>1</v>
      </c>
      <c r="HN49" s="1" t="str">
        <f t="shared" ca="1" si="158"/>
        <v/>
      </c>
      <c r="HO49" s="1" t="str">
        <f t="shared" ca="1" si="159"/>
        <v/>
      </c>
      <c r="HP49" s="1" t="str">
        <f t="shared" ca="1" si="82"/>
        <v/>
      </c>
      <c r="HQ49" s="1" t="str">
        <f t="shared" ca="1" si="83"/>
        <v/>
      </c>
      <c r="HU49" s="1" t="e">
        <f>MATCH(CONCATENATE($B49,"_",INDEX($C$4:$C44,HU$34)),lu_DataCode,0)</f>
        <v>#N/A</v>
      </c>
      <c r="HV49" s="1" t="e">
        <f t="shared" ca="1" si="84"/>
        <v>#N/A</v>
      </c>
      <c r="HW49" s="1" t="e">
        <f t="shared" ca="1" si="85"/>
        <v>#N/A</v>
      </c>
      <c r="HX49" s="1">
        <f t="shared" ca="1" si="86"/>
        <v>0</v>
      </c>
      <c r="HY49" s="1">
        <f t="shared" ca="1" si="160"/>
        <v>-10000000000</v>
      </c>
      <c r="HZ49" s="1">
        <f ca="1">RANK(HY49,HY$37:HY$62,HY$34)+COUNTIF(HY$37:HY49,HY49)-1</f>
        <v>13</v>
      </c>
      <c r="IA49" s="1">
        <f t="shared" ca="1" si="87"/>
        <v>13</v>
      </c>
      <c r="IB49" s="1">
        <f t="shared" ca="1" si="161"/>
        <v>0</v>
      </c>
      <c r="IC49" s="1">
        <f t="shared" ca="1" si="162"/>
        <v>1</v>
      </c>
      <c r="ID49" s="1" t="str">
        <f t="shared" ca="1" si="163"/>
        <v/>
      </c>
      <c r="IE49" s="1" t="str">
        <f t="shared" ca="1" si="164"/>
        <v/>
      </c>
      <c r="IF49" s="1" t="str">
        <f t="shared" ca="1" si="88"/>
        <v/>
      </c>
      <c r="IG49" s="1" t="str">
        <f t="shared" ca="1" si="89"/>
        <v/>
      </c>
    </row>
    <row r="50" spans="1:241" ht="10.15" x14ac:dyDescent="0.2">
      <c r="A50" s="1">
        <v>14</v>
      </c>
      <c r="B50" s="1" t="str">
        <f>tblCountries!E16</f>
        <v>NAC_HT_1</v>
      </c>
      <c r="C50" s="1" t="str">
        <f>tblCountries!C16</f>
        <v>Haiti</v>
      </c>
      <c r="D50" s="1">
        <f>tblCountries!D16</f>
        <v>1</v>
      </c>
      <c r="E50" s="1">
        <f>MATCH(CONCATENATE($B50,"_",INDEX($C$4:$C45,E$34)),lu_DataCode,0)</f>
        <v>9</v>
      </c>
      <c r="F50" s="1">
        <f t="shared" ca="1" si="165"/>
        <v>2012</v>
      </c>
      <c r="G50" s="1">
        <f t="shared" ca="1" si="166"/>
        <v>7.6910436445216401</v>
      </c>
      <c r="H50" s="1">
        <f t="shared" ca="1" si="167"/>
        <v>1</v>
      </c>
      <c r="I50" s="1">
        <f t="shared" ca="1" si="90"/>
        <v>7.6910439999999998</v>
      </c>
      <c r="J50" s="1">
        <f ca="1">RANK(I50,I$37:I$62,I$34)+COUNTIF(I$37:I50,I50)-1</f>
        <v>6</v>
      </c>
      <c r="K50" s="1">
        <f t="shared" ca="1" si="168"/>
        <v>17</v>
      </c>
      <c r="L50" s="1">
        <f t="shared" ca="1" si="169"/>
        <v>1</v>
      </c>
      <c r="M50" s="1">
        <f t="shared" ca="1" si="92"/>
        <v>1</v>
      </c>
      <c r="N50" s="1">
        <f t="shared" ca="1" si="93"/>
        <v>14</v>
      </c>
      <c r="O50" s="1" t="str">
        <f t="shared" ca="1" si="94"/>
        <v>México</v>
      </c>
      <c r="P50" s="1">
        <f t="shared" ca="1" si="170"/>
        <v>5.9218808907268796</v>
      </c>
      <c r="Q50" s="1">
        <f t="shared" ca="1" si="171"/>
        <v>2012</v>
      </c>
      <c r="U50" s="1">
        <f>MATCH(CONCATENATE($B50,"_",INDEX($C$4:$C45,U$34)),lu_DataCode,0)</f>
        <v>34</v>
      </c>
      <c r="V50" s="1">
        <f t="shared" ca="1" si="172"/>
        <v>2012</v>
      </c>
      <c r="W50" s="1">
        <f t="shared" ca="1" si="173"/>
        <v>10.254327</v>
      </c>
      <c r="X50" s="1">
        <f t="shared" ca="1" si="174"/>
        <v>1</v>
      </c>
      <c r="Y50" s="1">
        <f t="shared" ca="1" si="95"/>
        <v>10.254327</v>
      </c>
      <c r="Z50" s="1">
        <f ca="1">RANK(Y50,Y$37:Y$62,Y$34)+COUNTIF(Y$37:Y50,Y50)-1</f>
        <v>10</v>
      </c>
      <c r="AA50" s="1">
        <f t="shared" ca="1" si="175"/>
        <v>20</v>
      </c>
      <c r="AB50" s="1">
        <f t="shared" ca="1" si="176"/>
        <v>1</v>
      </c>
      <c r="AC50" s="1">
        <f t="shared" ca="1" si="97"/>
        <v>1</v>
      </c>
      <c r="AD50" s="1">
        <f t="shared" ca="1" si="98"/>
        <v>14</v>
      </c>
      <c r="AE50" s="1" t="str">
        <f t="shared" ca="1" si="99"/>
        <v>Paraguay</v>
      </c>
      <c r="AF50" s="1">
        <f t="shared" ca="1" si="177"/>
        <v>6.6820320000000004</v>
      </c>
      <c r="AG50" s="1">
        <f t="shared" ca="1" si="178"/>
        <v>2012</v>
      </c>
      <c r="AK50" s="1">
        <f>MATCH(CONCATENATE($B50,"_",INDEX($C$4:$C45,AK$34)),lu_DataCode,0)</f>
        <v>60</v>
      </c>
      <c r="AL50" s="1">
        <f t="shared" ca="1" si="12"/>
        <v>2012</v>
      </c>
      <c r="AM50" s="1">
        <f t="shared" ca="1" si="13"/>
        <v>27750</v>
      </c>
      <c r="AN50" s="1">
        <f t="shared" ca="1" si="14"/>
        <v>1</v>
      </c>
      <c r="AO50" s="1">
        <f t="shared" ca="1" si="100"/>
        <v>27750</v>
      </c>
      <c r="AP50" s="1">
        <f ca="1">RANK(AO50,AO$37:AO$62,AO$34)+COUNTIF(AO$37:AO50,AO50)-1</f>
        <v>20</v>
      </c>
      <c r="AQ50" s="1">
        <f t="shared" ca="1" si="15"/>
        <v>18</v>
      </c>
      <c r="AR50" s="1">
        <f t="shared" ca="1" si="101"/>
        <v>1</v>
      </c>
      <c r="AS50" s="1">
        <f t="shared" ca="1" si="102"/>
        <v>1</v>
      </c>
      <c r="AT50" s="1">
        <f t="shared" ca="1" si="103"/>
        <v>14</v>
      </c>
      <c r="AU50" s="1" t="str">
        <f t="shared" ca="1" si="104"/>
        <v>Nicaragua</v>
      </c>
      <c r="AV50" s="1">
        <f t="shared" ca="1" si="16"/>
        <v>130370</v>
      </c>
      <c r="AW50" s="1">
        <f t="shared" ca="1" si="17"/>
        <v>2012</v>
      </c>
      <c r="BA50" s="1">
        <f>MATCH(CONCATENATE($B50,"_",INDEX($C$4:$C45,BA$34)),lu_DataCode,0)</f>
        <v>86</v>
      </c>
      <c r="BB50" s="1">
        <f t="shared" ca="1" si="18"/>
        <v>2012</v>
      </c>
      <c r="BC50" s="1">
        <f t="shared" ca="1" si="19"/>
        <v>7.8949999999999996</v>
      </c>
      <c r="BD50" s="1">
        <f t="shared" ca="1" si="20"/>
        <v>1</v>
      </c>
      <c r="BE50" s="1">
        <f t="shared" ca="1" si="105"/>
        <v>7.8949999999999996</v>
      </c>
      <c r="BF50" s="1">
        <f ca="1">RANK(BE50,BE$37:BE$62,BE$34)+COUNTIF(BE$37:BE50,BE50)-1</f>
        <v>22</v>
      </c>
      <c r="BG50" s="1">
        <f t="shared" ca="1" si="21"/>
        <v>5</v>
      </c>
      <c r="BH50" s="1">
        <f t="shared" ca="1" si="106"/>
        <v>1</v>
      </c>
      <c r="BI50" s="1">
        <f t="shared" ca="1" si="107"/>
        <v>1</v>
      </c>
      <c r="BJ50" s="1">
        <f t="shared" ca="1" si="108"/>
        <v>14</v>
      </c>
      <c r="BK50" s="1" t="str">
        <f t="shared" ca="1" si="109"/>
        <v>Bolivia</v>
      </c>
      <c r="BL50" s="1">
        <f t="shared" ca="1" si="22"/>
        <v>27.04</v>
      </c>
      <c r="BM50" s="1">
        <f t="shared" ca="1" si="23"/>
        <v>2012</v>
      </c>
      <c r="BQ50" s="1">
        <f>MATCH(CONCATENATE($B50,"_",INDEX($C$4:$C45,BQ$34)),lu_DataCode,0)</f>
        <v>112</v>
      </c>
      <c r="BR50" s="1">
        <f t="shared" ca="1" si="24"/>
        <v>2012</v>
      </c>
      <c r="BS50" s="1">
        <f t="shared" ca="1" si="25"/>
        <v>13.132</v>
      </c>
      <c r="BT50" s="1">
        <f t="shared" ca="1" si="26"/>
        <v>1</v>
      </c>
      <c r="BU50" s="1">
        <f t="shared" ca="1" si="110"/>
        <v>13.132</v>
      </c>
      <c r="BV50" s="1">
        <f ca="1">RANK(BU50,BU$37:BU$62,BU$34)+COUNTIF(BU$37:BU50,BU50)-1</f>
        <v>21</v>
      </c>
      <c r="BW50" s="1">
        <f t="shared" ca="1" si="27"/>
        <v>25</v>
      </c>
      <c r="BX50" s="1">
        <f t="shared" ca="1" si="111"/>
        <v>1</v>
      </c>
      <c r="BY50" s="1">
        <f t="shared" ca="1" si="112"/>
        <v>1</v>
      </c>
      <c r="BZ50" s="1">
        <f t="shared" ca="1" si="113"/>
        <v>14</v>
      </c>
      <c r="CA50" s="1" t="str">
        <f t="shared" ca="1" si="114"/>
        <v>Uruguay</v>
      </c>
      <c r="CB50" s="1">
        <f t="shared" ca="1" si="28"/>
        <v>53.786999999999999</v>
      </c>
      <c r="CC50" s="1">
        <f t="shared" ca="1" si="29"/>
        <v>2012</v>
      </c>
      <c r="CG50" s="1">
        <f>MATCH(CONCATENATE($B50,"_",INDEX($C$4:$C45,CG$34)),lu_DataCode,0)</f>
        <v>138</v>
      </c>
      <c r="CH50" s="1">
        <f t="shared" ca="1" si="30"/>
        <v>2012</v>
      </c>
      <c r="CI50" s="1">
        <f t="shared" ca="1" si="31"/>
        <v>0.69539200000000001</v>
      </c>
      <c r="CJ50" s="1">
        <f t="shared" ca="1" si="32"/>
        <v>1</v>
      </c>
      <c r="CK50" s="1">
        <f t="shared" ca="1" si="115"/>
        <v>0.69539200000000001</v>
      </c>
      <c r="CL50" s="1">
        <f ca="1">RANK(CK50,CK$37:CK$62,CK$34)+COUNTIF(CK$37:CK50,CK50)-1</f>
        <v>16</v>
      </c>
      <c r="CM50" s="1">
        <f t="shared" ca="1" si="33"/>
        <v>15</v>
      </c>
      <c r="CN50" s="1">
        <f t="shared" ca="1" si="116"/>
        <v>1</v>
      </c>
      <c r="CO50" s="1">
        <f t="shared" ca="1" si="117"/>
        <v>1</v>
      </c>
      <c r="CP50" s="1">
        <f t="shared" ca="1" si="118"/>
        <v>14</v>
      </c>
      <c r="CQ50" s="1" t="str">
        <f t="shared" ca="1" si="119"/>
        <v>Honduras</v>
      </c>
      <c r="CR50" s="1">
        <f t="shared" ca="1" si="34"/>
        <v>0.80289999999999995</v>
      </c>
      <c r="CS50" s="1">
        <f t="shared" ca="1" si="35"/>
        <v>2012</v>
      </c>
      <c r="CW50" s="1" t="e">
        <f>MATCH(CONCATENATE($B50,"_",INDEX($C$4:$C45,CW$34)),lu_DataCode,0)</f>
        <v>#N/A</v>
      </c>
      <c r="CX50" s="1" t="e">
        <f t="shared" ca="1" si="36"/>
        <v>#N/A</v>
      </c>
      <c r="CY50" s="1" t="e">
        <f t="shared" ca="1" si="37"/>
        <v>#N/A</v>
      </c>
      <c r="CZ50" s="1">
        <f t="shared" ca="1" si="38"/>
        <v>0</v>
      </c>
      <c r="DA50" s="1">
        <f t="shared" ca="1" si="120"/>
        <v>-10000000000</v>
      </c>
      <c r="DB50" s="1">
        <f ca="1">RANK(DA50,DA$37:DA$62,DA$34)+COUNTIF(DA$37:DA50,DA50)-1</f>
        <v>25</v>
      </c>
      <c r="DC50" s="1">
        <f t="shared" ca="1" si="39"/>
        <v>16</v>
      </c>
      <c r="DD50" s="1">
        <f t="shared" ca="1" si="121"/>
        <v>1</v>
      </c>
      <c r="DE50" s="1">
        <f t="shared" ca="1" si="122"/>
        <v>1</v>
      </c>
      <c r="DF50" s="1">
        <f t="shared" ca="1" si="123"/>
        <v>14</v>
      </c>
      <c r="DG50" s="1" t="str">
        <f t="shared" ca="1" si="124"/>
        <v>Jamaica</v>
      </c>
      <c r="DH50" s="1">
        <f t="shared" ca="1" si="40"/>
        <v>0.29434460000000001</v>
      </c>
      <c r="DI50" s="1">
        <f t="shared" ca="1" si="41"/>
        <v>2012</v>
      </c>
      <c r="DM50" s="1">
        <f>MATCH(CONCATENATE($B50,"_",INDEX($C$4:$C45,DM$34)),lu_DataCode,0)</f>
        <v>188</v>
      </c>
      <c r="DN50" s="1">
        <f t="shared" ca="1" si="42"/>
        <v>2012</v>
      </c>
      <c r="DO50" s="1">
        <f t="shared" ca="1" si="43"/>
        <v>0.78622999999999998</v>
      </c>
      <c r="DP50" s="1">
        <f t="shared" ca="1" si="44"/>
        <v>1</v>
      </c>
      <c r="DQ50" s="1">
        <f t="shared" ca="1" si="125"/>
        <v>0.78622999999999998</v>
      </c>
      <c r="DR50" s="1">
        <f ca="1">RANK(DQ50,DQ$37:DQ$62,DQ$34)+COUNTIF(DQ$37:DQ50,DQ50)-1</f>
        <v>24</v>
      </c>
      <c r="DS50" s="1">
        <f t="shared" ca="1" si="45"/>
        <v>5</v>
      </c>
      <c r="DT50" s="1">
        <f t="shared" ca="1" si="126"/>
        <v>1</v>
      </c>
      <c r="DU50" s="1">
        <f t="shared" ca="1" si="127"/>
        <v>1</v>
      </c>
      <c r="DV50" s="1">
        <f t="shared" ca="1" si="128"/>
        <v>14</v>
      </c>
      <c r="DW50" s="1" t="str">
        <f t="shared" ca="1" si="129"/>
        <v>Bolivia</v>
      </c>
      <c r="DX50" s="1">
        <f t="shared" ca="1" si="46"/>
        <v>9.6820997999999996</v>
      </c>
      <c r="DY50" s="1">
        <f t="shared" ca="1" si="47"/>
        <v>2012</v>
      </c>
      <c r="EC50" s="1" t="e">
        <f>MATCH(CONCATENATE($B50,"_",INDEX($C$4:$C45,EC$34)),lu_DataCode,0)</f>
        <v>#N/A</v>
      </c>
      <c r="ED50" s="1" t="e">
        <f t="shared" ca="1" si="48"/>
        <v>#N/A</v>
      </c>
      <c r="EE50" s="1" t="e">
        <f t="shared" ca="1" si="49"/>
        <v>#N/A</v>
      </c>
      <c r="EF50" s="1">
        <f t="shared" ca="1" si="50"/>
        <v>0</v>
      </c>
      <c r="EG50" s="1">
        <f t="shared" ca="1" si="130"/>
        <v>-10000000000</v>
      </c>
      <c r="EH50" s="1">
        <f ca="1">RANK(EG50,EG$37:EG$62,EG$34)+COUNTIF(EG$37:EG50,EG50)-1</f>
        <v>26</v>
      </c>
      <c r="EI50" s="1">
        <f t="shared" ca="1" si="51"/>
        <v>12</v>
      </c>
      <c r="EJ50" s="1">
        <f t="shared" ca="1" si="131"/>
        <v>1</v>
      </c>
      <c r="EK50" s="1">
        <f t="shared" ca="1" si="132"/>
        <v>1</v>
      </c>
      <c r="EL50" s="1">
        <f t="shared" ca="1" si="133"/>
        <v>14</v>
      </c>
      <c r="EM50" s="1" t="str">
        <f t="shared" ca="1" si="134"/>
        <v>Guatemala</v>
      </c>
      <c r="EN50" s="1">
        <f t="shared" ca="1" si="52"/>
        <v>9525017.4810000006</v>
      </c>
      <c r="EO50" s="1">
        <f t="shared" ca="1" si="53"/>
        <v>2012</v>
      </c>
      <c r="ES50" s="1">
        <f>MATCH(CONCATENATE($B50,"_",INDEX($C$4:$C45,ES$34)),lu_DataCode,0)</f>
        <v>239</v>
      </c>
      <c r="ET50" s="1">
        <f t="shared" ca="1" si="54"/>
        <v>2012</v>
      </c>
      <c r="EU50" s="1">
        <f t="shared" ca="1" si="55"/>
        <v>2.7906300000000002</v>
      </c>
      <c r="EV50" s="1">
        <f t="shared" ca="1" si="56"/>
        <v>1</v>
      </c>
      <c r="EW50" s="1">
        <f t="shared" ca="1" si="135"/>
        <v>2.7906300000000002</v>
      </c>
      <c r="EX50" s="1">
        <f ca="1">RANK(EW50,EW$37:EW$62,EW$34)+COUNTIF(EW$37:EW50,EW50)-1</f>
        <v>22</v>
      </c>
      <c r="EY50" s="1">
        <f t="shared" ca="1" si="57"/>
        <v>20</v>
      </c>
      <c r="EZ50" s="1">
        <f t="shared" ca="1" si="136"/>
        <v>1</v>
      </c>
      <c r="FA50" s="1">
        <f t="shared" ca="1" si="137"/>
        <v>1</v>
      </c>
      <c r="FB50" s="1">
        <f t="shared" ca="1" si="138"/>
        <v>14</v>
      </c>
      <c r="FC50" s="1" t="str">
        <f t="shared" ca="1" si="139"/>
        <v>Paraguay</v>
      </c>
      <c r="FD50" s="1">
        <f t="shared" ca="1" si="58"/>
        <v>11.1228345</v>
      </c>
      <c r="FE50" s="1">
        <f t="shared" ca="1" si="59"/>
        <v>2012</v>
      </c>
      <c r="FI50" s="1" t="e">
        <f>MATCH(CONCATENATE($B50,"_",INDEX($C$4:$C45,FI$34)),lu_DataCode,0)</f>
        <v>#N/A</v>
      </c>
      <c r="FJ50" s="1" t="e">
        <f t="shared" ca="1" si="60"/>
        <v>#N/A</v>
      </c>
      <c r="FK50" s="1" t="e">
        <f t="shared" ca="1" si="61"/>
        <v>#N/A</v>
      </c>
      <c r="FL50" s="1">
        <f t="shared" ca="1" si="62"/>
        <v>0</v>
      </c>
      <c r="FM50" s="1">
        <f t="shared" ca="1" si="140"/>
        <v>-10000000000</v>
      </c>
      <c r="FN50" s="1">
        <f ca="1">RANK(FM50,FM$37:FM$62,FM$34)+COUNTIF(FM$37:FM50,FM50)-1</f>
        <v>25</v>
      </c>
      <c r="FO50" s="1">
        <f t="shared" ca="1" si="63"/>
        <v>16</v>
      </c>
      <c r="FP50" s="1">
        <f t="shared" ca="1" si="141"/>
        <v>1</v>
      </c>
      <c r="FQ50" s="1">
        <f t="shared" ca="1" si="142"/>
        <v>1</v>
      </c>
      <c r="FR50" s="1">
        <f t="shared" ca="1" si="143"/>
        <v>14</v>
      </c>
      <c r="FS50" s="1" t="str">
        <f t="shared" ca="1" si="144"/>
        <v>Jamaica</v>
      </c>
      <c r="FT50" s="1">
        <f t="shared" ca="1" si="64"/>
        <v>6850561.3870000001</v>
      </c>
      <c r="FU50" s="1">
        <f t="shared" ca="1" si="65"/>
        <v>2012</v>
      </c>
      <c r="FY50" s="1" t="e">
        <f>MATCH(CONCATENATE($B50,"_",INDEX($C$4:$C45,FY$34)),lu_DataCode,0)</f>
        <v>#N/A</v>
      </c>
      <c r="FZ50" s="1" t="e">
        <f t="shared" ca="1" si="66"/>
        <v>#N/A</v>
      </c>
      <c r="GA50" s="1" t="e">
        <f t="shared" ca="1" si="67"/>
        <v>#N/A</v>
      </c>
      <c r="GB50" s="1">
        <f t="shared" ca="1" si="68"/>
        <v>0</v>
      </c>
      <c r="GC50" s="1">
        <f t="shared" ca="1" si="145"/>
        <v>-10000000000</v>
      </c>
      <c r="GD50" s="1">
        <f ca="1">RANK(GC50,GC$37:GC$62,GC$34)+COUNTIF(GC$37:GC50,GC50)-1</f>
        <v>14</v>
      </c>
      <c r="GE50" s="1">
        <f t="shared" ca="1" si="69"/>
        <v>14</v>
      </c>
      <c r="GF50" s="1">
        <f t="shared" ca="1" si="146"/>
        <v>0</v>
      </c>
      <c r="GG50" s="1">
        <f t="shared" ca="1" si="147"/>
        <v>1</v>
      </c>
      <c r="GH50" s="1" t="str">
        <f t="shared" ca="1" si="148"/>
        <v/>
      </c>
      <c r="GI50" s="1" t="str">
        <f t="shared" ca="1" si="149"/>
        <v/>
      </c>
      <c r="GJ50" s="1" t="str">
        <f t="shared" ca="1" si="70"/>
        <v/>
      </c>
      <c r="GK50" s="1" t="str">
        <f t="shared" ca="1" si="71"/>
        <v/>
      </c>
      <c r="GO50" s="1" t="e">
        <f>MATCH(CONCATENATE($B50,"_",INDEX($C$4:$C45,GO$34)),lu_DataCode,0)</f>
        <v>#N/A</v>
      </c>
      <c r="GP50" s="1" t="e">
        <f t="shared" ca="1" si="72"/>
        <v>#N/A</v>
      </c>
      <c r="GQ50" s="1" t="e">
        <f t="shared" ca="1" si="73"/>
        <v>#N/A</v>
      </c>
      <c r="GR50" s="1">
        <f t="shared" ca="1" si="74"/>
        <v>0</v>
      </c>
      <c r="GS50" s="1">
        <f t="shared" ca="1" si="150"/>
        <v>-10000000000</v>
      </c>
      <c r="GT50" s="1">
        <f ca="1">RANK(GS50,GS$37:GS$62,GS$34)+COUNTIF(GS$37:GS50,GS50)-1</f>
        <v>14</v>
      </c>
      <c r="GU50" s="1">
        <f t="shared" ca="1" si="75"/>
        <v>14</v>
      </c>
      <c r="GV50" s="1">
        <f t="shared" ca="1" si="151"/>
        <v>0</v>
      </c>
      <c r="GW50" s="1">
        <f t="shared" ca="1" si="152"/>
        <v>1</v>
      </c>
      <c r="GX50" s="1" t="str">
        <f t="shared" ca="1" si="153"/>
        <v/>
      </c>
      <c r="GY50" s="1" t="str">
        <f t="shared" ca="1" si="154"/>
        <v/>
      </c>
      <c r="GZ50" s="1" t="str">
        <f t="shared" ca="1" si="76"/>
        <v/>
      </c>
      <c r="HA50" s="1" t="str">
        <f t="shared" ca="1" si="77"/>
        <v/>
      </c>
      <c r="HE50" s="1" t="e">
        <f>MATCH(CONCATENATE($B50,"_",INDEX($C$4:$C45,HE$34)),lu_DataCode,0)</f>
        <v>#N/A</v>
      </c>
      <c r="HF50" s="1" t="e">
        <f t="shared" ca="1" si="78"/>
        <v>#N/A</v>
      </c>
      <c r="HG50" s="1" t="e">
        <f t="shared" ca="1" si="79"/>
        <v>#N/A</v>
      </c>
      <c r="HH50" s="1">
        <f t="shared" ca="1" si="80"/>
        <v>0</v>
      </c>
      <c r="HI50" s="1">
        <f t="shared" ca="1" si="155"/>
        <v>-10000000000</v>
      </c>
      <c r="HJ50" s="1">
        <f ca="1">RANK(HI50,HI$37:HI$62,HI$34)+COUNTIF(HI$37:HI50,HI50)-1</f>
        <v>14</v>
      </c>
      <c r="HK50" s="1">
        <f t="shared" ca="1" si="81"/>
        <v>14</v>
      </c>
      <c r="HL50" s="1">
        <f t="shared" ca="1" si="156"/>
        <v>0</v>
      </c>
      <c r="HM50" s="1">
        <f t="shared" ca="1" si="157"/>
        <v>1</v>
      </c>
      <c r="HN50" s="1" t="str">
        <f t="shared" ca="1" si="158"/>
        <v/>
      </c>
      <c r="HO50" s="1" t="str">
        <f t="shared" ca="1" si="159"/>
        <v/>
      </c>
      <c r="HP50" s="1" t="str">
        <f t="shared" ca="1" si="82"/>
        <v/>
      </c>
      <c r="HQ50" s="1" t="str">
        <f t="shared" ca="1" si="83"/>
        <v/>
      </c>
      <c r="HU50" s="1" t="e">
        <f>MATCH(CONCATENATE($B50,"_",INDEX($C$4:$C45,HU$34)),lu_DataCode,0)</f>
        <v>#N/A</v>
      </c>
      <c r="HV50" s="1" t="e">
        <f t="shared" ca="1" si="84"/>
        <v>#N/A</v>
      </c>
      <c r="HW50" s="1" t="e">
        <f t="shared" ca="1" si="85"/>
        <v>#N/A</v>
      </c>
      <c r="HX50" s="1">
        <f t="shared" ca="1" si="86"/>
        <v>0</v>
      </c>
      <c r="HY50" s="1">
        <f t="shared" ca="1" si="160"/>
        <v>-10000000000</v>
      </c>
      <c r="HZ50" s="1">
        <f ca="1">RANK(HY50,HY$37:HY$62,HY$34)+COUNTIF(HY$37:HY50,HY50)-1</f>
        <v>14</v>
      </c>
      <c r="IA50" s="1">
        <f t="shared" ca="1" si="87"/>
        <v>14</v>
      </c>
      <c r="IB50" s="1">
        <f t="shared" ca="1" si="161"/>
        <v>0</v>
      </c>
      <c r="IC50" s="1">
        <f t="shared" ca="1" si="162"/>
        <v>1</v>
      </c>
      <c r="ID50" s="1" t="str">
        <f t="shared" ca="1" si="163"/>
        <v/>
      </c>
      <c r="IE50" s="1" t="str">
        <f t="shared" ca="1" si="164"/>
        <v/>
      </c>
      <c r="IF50" s="1" t="str">
        <f t="shared" ca="1" si="88"/>
        <v/>
      </c>
      <c r="IG50" s="1" t="str">
        <f t="shared" ca="1" si="89"/>
        <v/>
      </c>
    </row>
    <row r="51" spans="1:241" ht="10.15" x14ac:dyDescent="0.2">
      <c r="A51" s="1">
        <v>15</v>
      </c>
      <c r="B51" s="1" t="str">
        <f>tblCountries!E17</f>
        <v>NAC_HN_1</v>
      </c>
      <c r="C51" s="1" t="str">
        <f>tblCountries!C17</f>
        <v>Honduras</v>
      </c>
      <c r="D51" s="1">
        <f>tblCountries!D17</f>
        <v>1</v>
      </c>
      <c r="E51" s="1" t="e">
        <f>MATCH(CONCATENATE($B51,"_",INDEX($C$4:$C46,E$34)),lu_DataCode,0)</f>
        <v>#N/A</v>
      </c>
      <c r="F51" s="1" t="e">
        <f t="shared" ca="1" si="165"/>
        <v>#N/A</v>
      </c>
      <c r="G51" s="1" t="e">
        <f t="shared" ca="1" si="166"/>
        <v>#N/A</v>
      </c>
      <c r="H51" s="1">
        <f t="shared" ca="1" si="167"/>
        <v>0</v>
      </c>
      <c r="I51" s="1">
        <f t="shared" ca="1" si="90"/>
        <v>-10000000000</v>
      </c>
      <c r="J51" s="1">
        <f ca="1">RANK(I51,I$37:I$62,I$34)+COUNTIF(I$37:I51,I51)-1</f>
        <v>26</v>
      </c>
      <c r="K51" s="1">
        <f t="shared" ca="1" si="168"/>
        <v>11</v>
      </c>
      <c r="L51" s="1">
        <f t="shared" ca="1" si="169"/>
        <v>1</v>
      </c>
      <c r="M51" s="1">
        <f t="shared" ca="1" si="92"/>
        <v>1</v>
      </c>
      <c r="N51" s="1">
        <f t="shared" ca="1" si="93"/>
        <v>15</v>
      </c>
      <c r="O51" s="1" t="str">
        <f t="shared" ca="1" si="94"/>
        <v>El Salvador</v>
      </c>
      <c r="P51" s="1">
        <f t="shared" ca="1" si="170"/>
        <v>5.6016158710687201</v>
      </c>
      <c r="Q51" s="1">
        <f t="shared" ca="1" si="171"/>
        <v>2012</v>
      </c>
      <c r="U51" s="1">
        <f>MATCH(CONCATENATE($B51,"_",INDEX($C$4:$C46,U$34)),lu_DataCode,0)</f>
        <v>47</v>
      </c>
      <c r="V51" s="1">
        <f t="shared" ca="1" si="172"/>
        <v>2012</v>
      </c>
      <c r="W51" s="1">
        <f t="shared" ca="1" si="173"/>
        <v>8.2010000000000005</v>
      </c>
      <c r="X51" s="1">
        <f t="shared" ca="1" si="174"/>
        <v>1</v>
      </c>
      <c r="Y51" s="1">
        <f t="shared" ca="1" si="95"/>
        <v>8.2010000000000005</v>
      </c>
      <c r="Z51" s="1">
        <f ca="1">RANK(Y51,Y$37:Y$62,Y$34)+COUNTIF(Y$37:Y51,Y51)-1</f>
        <v>13</v>
      </c>
      <c r="AA51" s="1">
        <f t="shared" ca="1" si="175"/>
        <v>11</v>
      </c>
      <c r="AB51" s="1">
        <f t="shared" ca="1" si="176"/>
        <v>1</v>
      </c>
      <c r="AC51" s="1">
        <f t="shared" ca="1" si="97"/>
        <v>1</v>
      </c>
      <c r="AD51" s="1">
        <f t="shared" ca="1" si="98"/>
        <v>15</v>
      </c>
      <c r="AE51" s="1" t="str">
        <f t="shared" ca="1" si="99"/>
        <v>El Salvador</v>
      </c>
      <c r="AF51" s="1">
        <f t="shared" ca="1" si="177"/>
        <v>6.2492619999999999</v>
      </c>
      <c r="AG51" s="1">
        <f t="shared" ca="1" si="178"/>
        <v>2012</v>
      </c>
      <c r="AK51" s="1">
        <f>MATCH(CONCATENATE($B51,"_",INDEX($C$4:$C46,AK$34)),lu_DataCode,0)</f>
        <v>73</v>
      </c>
      <c r="AL51" s="1">
        <f t="shared" ca="1" si="12"/>
        <v>2012</v>
      </c>
      <c r="AM51" s="1">
        <f t="shared" ca="1" si="13"/>
        <v>112490</v>
      </c>
      <c r="AN51" s="1">
        <f t="shared" ca="1" si="14"/>
        <v>1</v>
      </c>
      <c r="AO51" s="1">
        <f t="shared" ca="1" si="100"/>
        <v>112490</v>
      </c>
      <c r="AP51" s="1">
        <f ca="1">RANK(AO51,AO$37:AO$62,AO$34)+COUNTIF(AO$37:AO51,AO51)-1</f>
        <v>15</v>
      </c>
      <c r="AQ51" s="1">
        <f t="shared" ca="1" si="15"/>
        <v>15</v>
      </c>
      <c r="AR51" s="1">
        <f t="shared" ca="1" si="101"/>
        <v>1</v>
      </c>
      <c r="AS51" s="1">
        <f t="shared" ca="1" si="102"/>
        <v>1</v>
      </c>
      <c r="AT51" s="1">
        <f t="shared" ca="1" si="103"/>
        <v>15</v>
      </c>
      <c r="AU51" s="1" t="str">
        <f t="shared" ca="1" si="104"/>
        <v>Honduras</v>
      </c>
      <c r="AV51" s="1">
        <f t="shared" ca="1" si="16"/>
        <v>112490</v>
      </c>
      <c r="AW51" s="1">
        <f t="shared" ca="1" si="17"/>
        <v>2012</v>
      </c>
      <c r="BA51" s="1">
        <f>MATCH(CONCATENATE($B51,"_",INDEX($C$4:$C46,BA$34)),lu_DataCode,0)</f>
        <v>99</v>
      </c>
      <c r="BB51" s="1">
        <f t="shared" ca="1" si="18"/>
        <v>2012</v>
      </c>
      <c r="BC51" s="1">
        <f t="shared" ca="1" si="19"/>
        <v>18.388000000000002</v>
      </c>
      <c r="BD51" s="1">
        <f t="shared" ca="1" si="20"/>
        <v>1</v>
      </c>
      <c r="BE51" s="1">
        <f t="shared" ca="1" si="105"/>
        <v>18.388000000000002</v>
      </c>
      <c r="BF51" s="1">
        <f ca="1">RANK(BE51,BE$37:BE$62,BE$34)+COUNTIF(BE$37:BE51,BE51)-1</f>
        <v>18</v>
      </c>
      <c r="BG51" s="1">
        <f t="shared" ca="1" si="21"/>
        <v>20</v>
      </c>
      <c r="BH51" s="1">
        <f t="shared" ca="1" si="106"/>
        <v>1</v>
      </c>
      <c r="BI51" s="1">
        <f t="shared" ca="1" si="107"/>
        <v>1</v>
      </c>
      <c r="BJ51" s="1">
        <f t="shared" ca="1" si="108"/>
        <v>15</v>
      </c>
      <c r="BK51" s="1" t="str">
        <f t="shared" ca="1" si="109"/>
        <v>Paraguay</v>
      </c>
      <c r="BL51" s="1">
        <f t="shared" ca="1" si="22"/>
        <v>26.088999999999999</v>
      </c>
      <c r="BM51" s="1">
        <f t="shared" ca="1" si="23"/>
        <v>2012</v>
      </c>
      <c r="BQ51" s="1">
        <f>MATCH(CONCATENATE($B51,"_",INDEX($C$4:$C46,BQ$34)),lu_DataCode,0)</f>
        <v>125</v>
      </c>
      <c r="BR51" s="1">
        <f t="shared" ca="1" si="24"/>
        <v>2012</v>
      </c>
      <c r="BS51" s="1">
        <f t="shared" ca="1" si="25"/>
        <v>37.802</v>
      </c>
      <c r="BT51" s="1">
        <f t="shared" ca="1" si="26"/>
        <v>1</v>
      </c>
      <c r="BU51" s="1">
        <f t="shared" ca="1" si="110"/>
        <v>37.802</v>
      </c>
      <c r="BV51" s="1">
        <f ca="1">RANK(BU51,BU$37:BU$62,BU$34)+COUNTIF(BU$37:BU51,BU51)-1</f>
        <v>17</v>
      </c>
      <c r="BW51" s="1">
        <f t="shared" ca="1" si="27"/>
        <v>11</v>
      </c>
      <c r="BX51" s="1">
        <f t="shared" ca="1" si="111"/>
        <v>1</v>
      </c>
      <c r="BY51" s="1">
        <f t="shared" ca="1" si="112"/>
        <v>1</v>
      </c>
      <c r="BZ51" s="1">
        <f t="shared" ca="1" si="113"/>
        <v>15</v>
      </c>
      <c r="CA51" s="1" t="str">
        <f t="shared" ca="1" si="114"/>
        <v>El Salvador</v>
      </c>
      <c r="CB51" s="1">
        <f t="shared" ca="1" si="28"/>
        <v>46.329000000000001</v>
      </c>
      <c r="CC51" s="1">
        <f t="shared" ca="1" si="29"/>
        <v>2012</v>
      </c>
      <c r="CG51" s="1">
        <f>MATCH(CONCATENATE($B51,"_",INDEX($C$4:$C46,CG$34)),lu_DataCode,0)</f>
        <v>151</v>
      </c>
      <c r="CH51" s="1">
        <f t="shared" ca="1" si="30"/>
        <v>2012</v>
      </c>
      <c r="CI51" s="1">
        <f t="shared" ca="1" si="31"/>
        <v>0.80289999999999995</v>
      </c>
      <c r="CJ51" s="1">
        <f t="shared" ca="1" si="32"/>
        <v>1</v>
      </c>
      <c r="CK51" s="1">
        <f t="shared" ca="1" si="115"/>
        <v>0.80289999999999995</v>
      </c>
      <c r="CL51" s="1">
        <f ca="1">RANK(CK51,CK$37:CK$62,CK$34)+COUNTIF(CK$37:CK51,CK51)-1</f>
        <v>14</v>
      </c>
      <c r="CM51" s="1">
        <f t="shared" ca="1" si="33"/>
        <v>20</v>
      </c>
      <c r="CN51" s="1">
        <f t="shared" ca="1" si="116"/>
        <v>1</v>
      </c>
      <c r="CO51" s="1">
        <f t="shared" ca="1" si="117"/>
        <v>1</v>
      </c>
      <c r="CP51" s="1">
        <f t="shared" ca="1" si="118"/>
        <v>15</v>
      </c>
      <c r="CQ51" s="1" t="str">
        <f t="shared" ca="1" si="119"/>
        <v>Paraguay</v>
      </c>
      <c r="CR51" s="1">
        <f t="shared" ca="1" si="34"/>
        <v>0.70270149999999998</v>
      </c>
      <c r="CS51" s="1">
        <f t="shared" ca="1" si="35"/>
        <v>2012</v>
      </c>
      <c r="CW51" s="1">
        <f>MATCH(CONCATENATE($B51,"_",INDEX($C$4:$C46,CW$34)),lu_DataCode,0)</f>
        <v>176</v>
      </c>
      <c r="CX51" s="1">
        <f t="shared" ca="1" si="36"/>
        <v>2012</v>
      </c>
      <c r="CY51" s="1">
        <f t="shared" ca="1" si="37"/>
        <v>8.2199999999999995E-2</v>
      </c>
      <c r="CZ51" s="1">
        <f t="shared" ca="1" si="38"/>
        <v>1</v>
      </c>
      <c r="DA51" s="1">
        <f t="shared" ca="1" si="120"/>
        <v>8.2199999999999995E-2</v>
      </c>
      <c r="DB51" s="1">
        <f ca="1">RANK(DA51,DA$37:DA$62,DA$34)+COUNTIF(DA$37:DA51,DA51)-1</f>
        <v>18</v>
      </c>
      <c r="DC51" s="1">
        <f t="shared" ca="1" si="39"/>
        <v>26</v>
      </c>
      <c r="DD51" s="1">
        <f t="shared" ca="1" si="121"/>
        <v>1</v>
      </c>
      <c r="DE51" s="1">
        <f t="shared" ca="1" si="122"/>
        <v>1</v>
      </c>
      <c r="DF51" s="1">
        <f t="shared" ca="1" si="123"/>
        <v>15</v>
      </c>
      <c r="DG51" s="1" t="str">
        <f t="shared" ca="1" si="124"/>
        <v>Venezuela</v>
      </c>
      <c r="DH51" s="1">
        <f t="shared" ca="1" si="40"/>
        <v>0.28100000000000003</v>
      </c>
      <c r="DI51" s="1">
        <f t="shared" ca="1" si="41"/>
        <v>2012</v>
      </c>
      <c r="DM51" s="1">
        <f>MATCH(CONCATENATE($B51,"_",INDEX($C$4:$C46,DM$34)),lu_DataCode,0)</f>
        <v>201</v>
      </c>
      <c r="DN51" s="1">
        <f t="shared" ca="1" si="42"/>
        <v>2012</v>
      </c>
      <c r="DO51" s="1">
        <f t="shared" ca="1" si="43"/>
        <v>7.4744000000000002</v>
      </c>
      <c r="DP51" s="1">
        <f t="shared" ca="1" si="44"/>
        <v>1</v>
      </c>
      <c r="DQ51" s="1">
        <f t="shared" ca="1" si="125"/>
        <v>7.4744000000000002</v>
      </c>
      <c r="DR51" s="1">
        <f ca="1">RANK(DQ51,DQ$37:DQ$62,DQ$34)+COUNTIF(DQ$37:DQ51,DQ51)-1</f>
        <v>17</v>
      </c>
      <c r="DS51" s="1">
        <f t="shared" ca="1" si="45"/>
        <v>20</v>
      </c>
      <c r="DT51" s="1">
        <f t="shared" ca="1" si="126"/>
        <v>1</v>
      </c>
      <c r="DU51" s="1">
        <f t="shared" ca="1" si="127"/>
        <v>1</v>
      </c>
      <c r="DV51" s="1">
        <f t="shared" ca="1" si="128"/>
        <v>15</v>
      </c>
      <c r="DW51" s="1" t="str">
        <f t="shared" ca="1" si="129"/>
        <v>Paraguay</v>
      </c>
      <c r="DX51" s="1">
        <f t="shared" ca="1" si="46"/>
        <v>9.2874298</v>
      </c>
      <c r="DY51" s="1">
        <f t="shared" ca="1" si="47"/>
        <v>2012</v>
      </c>
      <c r="EC51" s="1">
        <f>MATCH(CONCATENATE($B51,"_",INDEX($C$4:$C46,EC$34)),lu_DataCode,0)</f>
        <v>226</v>
      </c>
      <c r="ED51" s="1">
        <f t="shared" ca="1" si="48"/>
        <v>2012</v>
      </c>
      <c r="EE51" s="1">
        <f t="shared" ca="1" si="49"/>
        <v>3286099</v>
      </c>
      <c r="EF51" s="1">
        <f t="shared" ca="1" si="50"/>
        <v>1</v>
      </c>
      <c r="EG51" s="1">
        <f t="shared" ca="1" si="130"/>
        <v>3286099</v>
      </c>
      <c r="EH51" s="1">
        <f ca="1">RANK(EG51,EG$37:EG$62,EG$34)+COUNTIF(EG$37:EG51,EG51)-1</f>
        <v>17</v>
      </c>
      <c r="EI51" s="1">
        <f t="shared" ca="1" si="51"/>
        <v>16</v>
      </c>
      <c r="EJ51" s="1">
        <f t="shared" ca="1" si="131"/>
        <v>1</v>
      </c>
      <c r="EK51" s="1">
        <f t="shared" ca="1" si="132"/>
        <v>1</v>
      </c>
      <c r="EL51" s="1">
        <f t="shared" ca="1" si="133"/>
        <v>15</v>
      </c>
      <c r="EM51" s="1" t="str">
        <f t="shared" ca="1" si="134"/>
        <v>Jamaica</v>
      </c>
      <c r="EN51" s="1">
        <f t="shared" ca="1" si="52"/>
        <v>7537315.4819999998</v>
      </c>
      <c r="EO51" s="1">
        <f t="shared" ca="1" si="53"/>
        <v>2012</v>
      </c>
      <c r="ES51" s="1">
        <f>MATCH(CONCATENATE($B51,"_",INDEX($C$4:$C46,ES$34)),lu_DataCode,0)</f>
        <v>252</v>
      </c>
      <c r="ET51" s="1">
        <f t="shared" ca="1" si="54"/>
        <v>2012</v>
      </c>
      <c r="EU51" s="1">
        <f t="shared" ca="1" si="55"/>
        <v>10.882300000000001</v>
      </c>
      <c r="EV51" s="1">
        <f t="shared" ca="1" si="56"/>
        <v>1</v>
      </c>
      <c r="EW51" s="1">
        <f t="shared" ca="1" si="135"/>
        <v>10.882300000000001</v>
      </c>
      <c r="EX51" s="1">
        <f ca="1">RANK(EW51,EW$37:EW$62,EW$34)+COUNTIF(EW$37:EW51,EW51)-1</f>
        <v>15</v>
      </c>
      <c r="EY51" s="1">
        <f t="shared" ca="1" si="57"/>
        <v>15</v>
      </c>
      <c r="EZ51" s="1">
        <f t="shared" ca="1" si="136"/>
        <v>1</v>
      </c>
      <c r="FA51" s="1">
        <f t="shared" ca="1" si="137"/>
        <v>1</v>
      </c>
      <c r="FB51" s="1">
        <f t="shared" ca="1" si="138"/>
        <v>15</v>
      </c>
      <c r="FC51" s="1" t="str">
        <f t="shared" ca="1" si="139"/>
        <v>Honduras</v>
      </c>
      <c r="FD51" s="1">
        <f t="shared" ca="1" si="58"/>
        <v>10.882300000000001</v>
      </c>
      <c r="FE51" s="1">
        <f t="shared" ca="1" si="59"/>
        <v>2012</v>
      </c>
      <c r="FI51" s="1">
        <f>MATCH(CONCATENATE($B51,"_",INDEX($C$4:$C46,FI$34)),lu_DataCode,0)</f>
        <v>276</v>
      </c>
      <c r="FJ51" s="1">
        <f t="shared" ca="1" si="60"/>
        <v>2012</v>
      </c>
      <c r="FK51" s="1">
        <f t="shared" ca="1" si="61"/>
        <v>5245343.7580000004</v>
      </c>
      <c r="FL51" s="1">
        <f t="shared" ca="1" si="62"/>
        <v>1</v>
      </c>
      <c r="FM51" s="1">
        <f t="shared" ca="1" si="140"/>
        <v>5245343.7580000004</v>
      </c>
      <c r="FN51" s="1">
        <f ca="1">RANK(FM51,FM$37:FM$62,FM$34)+COUNTIF(FM$37:FM51,FM51)-1</f>
        <v>17</v>
      </c>
      <c r="FO51" s="1">
        <f t="shared" ca="1" si="63"/>
        <v>20</v>
      </c>
      <c r="FP51" s="1">
        <f t="shared" ca="1" si="141"/>
        <v>1</v>
      </c>
      <c r="FQ51" s="1">
        <f t="shared" ca="1" si="142"/>
        <v>1</v>
      </c>
      <c r="FR51" s="1">
        <f t="shared" ca="1" si="143"/>
        <v>15</v>
      </c>
      <c r="FS51" s="1" t="str">
        <f t="shared" ca="1" si="144"/>
        <v>Paraguay</v>
      </c>
      <c r="FT51" s="1">
        <f t="shared" ca="1" si="64"/>
        <v>6752616.1527020195</v>
      </c>
      <c r="FU51" s="1">
        <f t="shared" ca="1" si="65"/>
        <v>2012</v>
      </c>
      <c r="FY51" s="1" t="e">
        <f>MATCH(CONCATENATE($B51,"_",INDEX($C$4:$C46,FY$34)),lu_DataCode,0)</f>
        <v>#N/A</v>
      </c>
      <c r="FZ51" s="1" t="e">
        <f t="shared" ca="1" si="66"/>
        <v>#N/A</v>
      </c>
      <c r="GA51" s="1" t="e">
        <f t="shared" ca="1" si="67"/>
        <v>#N/A</v>
      </c>
      <c r="GB51" s="1">
        <f t="shared" ca="1" si="68"/>
        <v>0</v>
      </c>
      <c r="GC51" s="1">
        <f t="shared" ca="1" si="145"/>
        <v>-10000000000</v>
      </c>
      <c r="GD51" s="1">
        <f ca="1">RANK(GC51,GC$37:GC$62,GC$34)+COUNTIF(GC$37:GC51,GC51)-1</f>
        <v>15</v>
      </c>
      <c r="GE51" s="1">
        <f t="shared" ca="1" si="69"/>
        <v>15</v>
      </c>
      <c r="GF51" s="1">
        <f t="shared" ca="1" si="146"/>
        <v>0</v>
      </c>
      <c r="GG51" s="1">
        <f t="shared" ca="1" si="147"/>
        <v>1</v>
      </c>
      <c r="GH51" s="1" t="str">
        <f t="shared" ca="1" si="148"/>
        <v/>
      </c>
      <c r="GI51" s="1" t="str">
        <f t="shared" ca="1" si="149"/>
        <v/>
      </c>
      <c r="GJ51" s="1" t="str">
        <f t="shared" ca="1" si="70"/>
        <v/>
      </c>
      <c r="GK51" s="1" t="str">
        <f t="shared" ca="1" si="71"/>
        <v/>
      </c>
      <c r="GO51" s="1" t="e">
        <f>MATCH(CONCATENATE($B51,"_",INDEX($C$4:$C46,GO$34)),lu_DataCode,0)</f>
        <v>#N/A</v>
      </c>
      <c r="GP51" s="1" t="e">
        <f t="shared" ca="1" si="72"/>
        <v>#N/A</v>
      </c>
      <c r="GQ51" s="1" t="e">
        <f t="shared" ca="1" si="73"/>
        <v>#N/A</v>
      </c>
      <c r="GR51" s="1">
        <f t="shared" ca="1" si="74"/>
        <v>0</v>
      </c>
      <c r="GS51" s="1">
        <f t="shared" ca="1" si="150"/>
        <v>-10000000000</v>
      </c>
      <c r="GT51" s="1">
        <f ca="1">RANK(GS51,GS$37:GS$62,GS$34)+COUNTIF(GS$37:GS51,GS51)-1</f>
        <v>15</v>
      </c>
      <c r="GU51" s="1">
        <f t="shared" ca="1" si="75"/>
        <v>15</v>
      </c>
      <c r="GV51" s="1">
        <f t="shared" ca="1" si="151"/>
        <v>0</v>
      </c>
      <c r="GW51" s="1">
        <f t="shared" ca="1" si="152"/>
        <v>1</v>
      </c>
      <c r="GX51" s="1" t="str">
        <f t="shared" ca="1" si="153"/>
        <v/>
      </c>
      <c r="GY51" s="1" t="str">
        <f t="shared" ca="1" si="154"/>
        <v/>
      </c>
      <c r="GZ51" s="1" t="str">
        <f t="shared" ca="1" si="76"/>
        <v/>
      </c>
      <c r="HA51" s="1" t="str">
        <f t="shared" ca="1" si="77"/>
        <v/>
      </c>
      <c r="HE51" s="1" t="e">
        <f>MATCH(CONCATENATE($B51,"_",INDEX($C$4:$C46,HE$34)),lu_DataCode,0)</f>
        <v>#N/A</v>
      </c>
      <c r="HF51" s="1" t="e">
        <f t="shared" ca="1" si="78"/>
        <v>#N/A</v>
      </c>
      <c r="HG51" s="1" t="e">
        <f t="shared" ca="1" si="79"/>
        <v>#N/A</v>
      </c>
      <c r="HH51" s="1">
        <f t="shared" ca="1" si="80"/>
        <v>0</v>
      </c>
      <c r="HI51" s="1">
        <f t="shared" ca="1" si="155"/>
        <v>-10000000000</v>
      </c>
      <c r="HJ51" s="1">
        <f ca="1">RANK(HI51,HI$37:HI$62,HI$34)+COUNTIF(HI$37:HI51,HI51)-1</f>
        <v>15</v>
      </c>
      <c r="HK51" s="1">
        <f t="shared" ca="1" si="81"/>
        <v>15</v>
      </c>
      <c r="HL51" s="1">
        <f t="shared" ca="1" si="156"/>
        <v>0</v>
      </c>
      <c r="HM51" s="1">
        <f t="shared" ca="1" si="157"/>
        <v>1</v>
      </c>
      <c r="HN51" s="1" t="str">
        <f t="shared" ca="1" si="158"/>
        <v/>
      </c>
      <c r="HO51" s="1" t="str">
        <f t="shared" ca="1" si="159"/>
        <v/>
      </c>
      <c r="HP51" s="1" t="str">
        <f t="shared" ca="1" si="82"/>
        <v/>
      </c>
      <c r="HQ51" s="1" t="str">
        <f t="shared" ca="1" si="83"/>
        <v/>
      </c>
      <c r="HU51" s="1" t="e">
        <f>MATCH(CONCATENATE($B51,"_",INDEX($C$4:$C46,HU$34)),lu_DataCode,0)</f>
        <v>#N/A</v>
      </c>
      <c r="HV51" s="1" t="e">
        <f t="shared" ca="1" si="84"/>
        <v>#N/A</v>
      </c>
      <c r="HW51" s="1" t="e">
        <f t="shared" ca="1" si="85"/>
        <v>#N/A</v>
      </c>
      <c r="HX51" s="1">
        <f t="shared" ca="1" si="86"/>
        <v>0</v>
      </c>
      <c r="HY51" s="1">
        <f t="shared" ca="1" si="160"/>
        <v>-10000000000</v>
      </c>
      <c r="HZ51" s="1">
        <f ca="1">RANK(HY51,HY$37:HY$62,HY$34)+COUNTIF(HY$37:HY51,HY51)-1</f>
        <v>15</v>
      </c>
      <c r="IA51" s="1">
        <f t="shared" ca="1" si="87"/>
        <v>15</v>
      </c>
      <c r="IB51" s="1">
        <f t="shared" ca="1" si="161"/>
        <v>0</v>
      </c>
      <c r="IC51" s="1">
        <f t="shared" ca="1" si="162"/>
        <v>1</v>
      </c>
      <c r="ID51" s="1" t="str">
        <f t="shared" ca="1" si="163"/>
        <v/>
      </c>
      <c r="IE51" s="1" t="str">
        <f t="shared" ca="1" si="164"/>
        <v/>
      </c>
      <c r="IF51" s="1" t="str">
        <f t="shared" ca="1" si="88"/>
        <v/>
      </c>
      <c r="IG51" s="1" t="str">
        <f t="shared" ca="1" si="89"/>
        <v/>
      </c>
    </row>
    <row r="52" spans="1:241" ht="10.15" x14ac:dyDescent="0.2">
      <c r="A52" s="1">
        <v>16</v>
      </c>
      <c r="B52" s="1" t="str">
        <f>tblCountries!E18</f>
        <v>NAC_JM_1</v>
      </c>
      <c r="C52" s="1" t="str">
        <f>tblCountries!C18</f>
        <v>Jamaica</v>
      </c>
      <c r="D52" s="1">
        <f>tblCountries!D18</f>
        <v>1</v>
      </c>
      <c r="E52" s="1">
        <f>MATCH(CONCATENATE($B52,"_",INDEX($C$4:$C47,E$34)),lu_DataCode,0)</f>
        <v>10</v>
      </c>
      <c r="F52" s="1">
        <f t="shared" ca="1" si="165"/>
        <v>2012</v>
      </c>
      <c r="G52" s="1">
        <f t="shared" ca="1" si="166"/>
        <v>8.0450017908396898</v>
      </c>
      <c r="H52" s="1">
        <f t="shared" ca="1" si="167"/>
        <v>1</v>
      </c>
      <c r="I52" s="1">
        <f t="shared" ca="1" si="90"/>
        <v>8.0450020000000002</v>
      </c>
      <c r="J52" s="1">
        <f ca="1">RANK(I52,I$37:I$62,I$34)+COUNTIF(I$37:I52,I52)-1</f>
        <v>3</v>
      </c>
      <c r="K52" s="1">
        <f t="shared" ca="1" si="168"/>
        <v>24</v>
      </c>
      <c r="L52" s="1">
        <f t="shared" ca="1" si="169"/>
        <v>1</v>
      </c>
      <c r="M52" s="1">
        <f t="shared" ca="1" si="92"/>
        <v>1</v>
      </c>
      <c r="N52" s="1">
        <f t="shared" ca="1" si="93"/>
        <v>16</v>
      </c>
      <c r="O52" s="1" t="str">
        <f t="shared" ca="1" si="94"/>
        <v>Trinidad and Tobago</v>
      </c>
      <c r="P52" s="1">
        <f t="shared" ca="1" si="170"/>
        <v>5.3618877032470706</v>
      </c>
      <c r="Q52" s="1">
        <f t="shared" ca="1" si="171"/>
        <v>2012</v>
      </c>
      <c r="U52" s="1">
        <f>MATCH(CONCATENATE($B52,"_",INDEX($C$4:$C47,U$34)),lu_DataCode,0)</f>
        <v>35</v>
      </c>
      <c r="V52" s="1">
        <f t="shared" ca="1" si="172"/>
        <v>2012</v>
      </c>
      <c r="W52" s="1">
        <f t="shared" ca="1" si="173"/>
        <v>2.7114760000000002</v>
      </c>
      <c r="X52" s="1">
        <f t="shared" ca="1" si="174"/>
        <v>1</v>
      </c>
      <c r="Y52" s="1">
        <f t="shared" ca="1" si="95"/>
        <v>2.7114760000000002</v>
      </c>
      <c r="Z52" s="1">
        <f ca="1">RANK(Y52,Y$37:Y$62,Y$34)+COUNTIF(Y$37:Y52,Y52)-1</f>
        <v>20</v>
      </c>
      <c r="AA52" s="1">
        <f t="shared" ca="1" si="175"/>
        <v>18</v>
      </c>
      <c r="AB52" s="1">
        <f t="shared" ca="1" si="176"/>
        <v>1</v>
      </c>
      <c r="AC52" s="1">
        <f t="shared" ca="1" si="97"/>
        <v>1</v>
      </c>
      <c r="AD52" s="1">
        <f t="shared" ca="1" si="98"/>
        <v>16</v>
      </c>
      <c r="AE52" s="1" t="str">
        <f t="shared" ca="1" si="99"/>
        <v>Nicaragua</v>
      </c>
      <c r="AF52" s="1">
        <f t="shared" ca="1" si="177"/>
        <v>5.9809999999999999</v>
      </c>
      <c r="AG52" s="1">
        <f t="shared" ca="1" si="178"/>
        <v>2012</v>
      </c>
      <c r="AK52" s="1">
        <f>MATCH(CONCATENATE($B52,"_",INDEX($C$4:$C47,AK$34)),lu_DataCode,0)</f>
        <v>61</v>
      </c>
      <c r="AL52" s="1">
        <f t="shared" ca="1" si="12"/>
        <v>2012</v>
      </c>
      <c r="AM52" s="1">
        <f t="shared" ca="1" si="13"/>
        <v>10990</v>
      </c>
      <c r="AN52" s="1">
        <f t="shared" ca="1" si="14"/>
        <v>1</v>
      </c>
      <c r="AO52" s="1">
        <f t="shared" ca="1" si="100"/>
        <v>10990</v>
      </c>
      <c r="AP52" s="1">
        <f ca="1">RANK(AO52,AO$37:AO$62,AO$34)+COUNTIF(AO$37:AO52,AO52)-1</f>
        <v>24</v>
      </c>
      <c r="AQ52" s="1">
        <f t="shared" ca="1" si="15"/>
        <v>12</v>
      </c>
      <c r="AR52" s="1">
        <f t="shared" ca="1" si="101"/>
        <v>1</v>
      </c>
      <c r="AS52" s="1">
        <f t="shared" ca="1" si="102"/>
        <v>1</v>
      </c>
      <c r="AT52" s="1">
        <f t="shared" ca="1" si="103"/>
        <v>16</v>
      </c>
      <c r="AU52" s="1" t="str">
        <f t="shared" ca="1" si="104"/>
        <v>Guatemala</v>
      </c>
      <c r="AV52" s="1">
        <f t="shared" ca="1" si="16"/>
        <v>108890</v>
      </c>
      <c r="AW52" s="1">
        <f t="shared" ca="1" si="17"/>
        <v>2012</v>
      </c>
      <c r="BA52" s="1">
        <f>MATCH(CONCATENATE($B52,"_",INDEX($C$4:$C47,BA$34)),lu_DataCode,0)</f>
        <v>87</v>
      </c>
      <c r="BB52" s="1">
        <f t="shared" ca="1" si="18"/>
        <v>2012</v>
      </c>
      <c r="BC52" s="1">
        <f t="shared" ca="1" si="19"/>
        <v>15.262</v>
      </c>
      <c r="BD52" s="1">
        <f t="shared" ca="1" si="20"/>
        <v>1</v>
      </c>
      <c r="BE52" s="1">
        <f t="shared" ca="1" si="105"/>
        <v>15.262</v>
      </c>
      <c r="BF52" s="1">
        <f ca="1">RANK(BE52,BE$37:BE$62,BE$34)+COUNTIF(BE$37:BE52,BE52)-1</f>
        <v>19</v>
      </c>
      <c r="BG52" s="1">
        <f t="shared" ca="1" si="21"/>
        <v>24</v>
      </c>
      <c r="BH52" s="1">
        <f t="shared" ca="1" si="106"/>
        <v>1</v>
      </c>
      <c r="BI52" s="1">
        <f t="shared" ca="1" si="107"/>
        <v>1</v>
      </c>
      <c r="BJ52" s="1">
        <f t="shared" ca="1" si="108"/>
        <v>16</v>
      </c>
      <c r="BK52" s="1" t="str">
        <f t="shared" ca="1" si="109"/>
        <v>Trinidad and Tobago</v>
      </c>
      <c r="BL52" s="1">
        <f t="shared" ca="1" si="22"/>
        <v>25.277000000000001</v>
      </c>
      <c r="BM52" s="1">
        <f t="shared" ca="1" si="23"/>
        <v>2012</v>
      </c>
      <c r="BQ52" s="1">
        <f>MATCH(CONCATENATE($B52,"_",INDEX($C$4:$C47,BQ$34)),lu_DataCode,0)</f>
        <v>113</v>
      </c>
      <c r="BR52" s="1">
        <f t="shared" ca="1" si="24"/>
        <v>2012</v>
      </c>
      <c r="BS52" s="1">
        <f t="shared" ca="1" si="25"/>
        <v>25.184000000000001</v>
      </c>
      <c r="BT52" s="1">
        <f t="shared" ca="1" si="26"/>
        <v>1</v>
      </c>
      <c r="BU52" s="1">
        <f t="shared" ca="1" si="110"/>
        <v>25.184000000000001</v>
      </c>
      <c r="BV52" s="1">
        <f ca="1">RANK(BU52,BU$37:BU$62,BU$34)+COUNTIF(BU$37:BU52,BU52)-1</f>
        <v>20</v>
      </c>
      <c r="BW52" s="1">
        <f t="shared" ca="1" si="27"/>
        <v>20</v>
      </c>
      <c r="BX52" s="1">
        <f t="shared" ca="1" si="111"/>
        <v>1</v>
      </c>
      <c r="BY52" s="1">
        <f t="shared" ca="1" si="112"/>
        <v>1</v>
      </c>
      <c r="BZ52" s="1">
        <f t="shared" ca="1" si="113"/>
        <v>16</v>
      </c>
      <c r="CA52" s="1" t="str">
        <f t="shared" ca="1" si="114"/>
        <v>Paraguay</v>
      </c>
      <c r="CB52" s="1">
        <f t="shared" ca="1" si="28"/>
        <v>40.685000000000002</v>
      </c>
      <c r="CC52" s="1">
        <f t="shared" ca="1" si="29"/>
        <v>2012</v>
      </c>
      <c r="CG52" s="1">
        <f>MATCH(CONCATENATE($B52,"_",INDEX($C$4:$C47,CG$34)),lu_DataCode,0)</f>
        <v>139</v>
      </c>
      <c r="CH52" s="1">
        <f t="shared" ca="1" si="30"/>
        <v>2012</v>
      </c>
      <c r="CI52" s="1">
        <f t="shared" ca="1" si="31"/>
        <v>0.97197560000000005</v>
      </c>
      <c r="CJ52" s="1">
        <f t="shared" ca="1" si="32"/>
        <v>1</v>
      </c>
      <c r="CK52" s="1">
        <f t="shared" ca="1" si="115"/>
        <v>0.97197599999999995</v>
      </c>
      <c r="CL52" s="1">
        <f ca="1">RANK(CK52,CK$37:CK$62,CK$34)+COUNTIF(CK$37:CK52,CK52)-1</f>
        <v>12</v>
      </c>
      <c r="CM52" s="1">
        <f t="shared" ca="1" si="33"/>
        <v>14</v>
      </c>
      <c r="CN52" s="1">
        <f t="shared" ca="1" si="116"/>
        <v>1</v>
      </c>
      <c r="CO52" s="1">
        <f t="shared" ca="1" si="117"/>
        <v>1</v>
      </c>
      <c r="CP52" s="1">
        <f t="shared" ca="1" si="118"/>
        <v>16</v>
      </c>
      <c r="CQ52" s="1" t="str">
        <f t="shared" ca="1" si="119"/>
        <v>Haiti</v>
      </c>
      <c r="CR52" s="1">
        <f t="shared" ca="1" si="34"/>
        <v>0.69539200000000001</v>
      </c>
      <c r="CS52" s="1">
        <f t="shared" ca="1" si="35"/>
        <v>2012</v>
      </c>
      <c r="CW52" s="1">
        <f>MATCH(CONCATENATE($B52,"_",INDEX($C$4:$C47,CW$34)),lu_DataCode,0)</f>
        <v>164</v>
      </c>
      <c r="CX52" s="1">
        <f t="shared" ca="1" si="36"/>
        <v>2012</v>
      </c>
      <c r="CY52" s="1">
        <f t="shared" ca="1" si="37"/>
        <v>0.29434460000000001</v>
      </c>
      <c r="CZ52" s="1">
        <f t="shared" ca="1" si="38"/>
        <v>1</v>
      </c>
      <c r="DA52" s="1">
        <f t="shared" ca="1" si="120"/>
        <v>0.29434500000000002</v>
      </c>
      <c r="DB52" s="1">
        <f ca="1">RANK(DA52,DA$37:DA$62,DA$34)+COUNTIF(DA$37:DA52,DA52)-1</f>
        <v>14</v>
      </c>
      <c r="DC52" s="1">
        <f t="shared" ca="1" si="39"/>
        <v>24</v>
      </c>
      <c r="DD52" s="1">
        <f t="shared" ca="1" si="121"/>
        <v>1</v>
      </c>
      <c r="DE52" s="1">
        <f t="shared" ca="1" si="122"/>
        <v>1</v>
      </c>
      <c r="DF52" s="1">
        <f t="shared" ca="1" si="123"/>
        <v>16</v>
      </c>
      <c r="DG52" s="1" t="str">
        <f t="shared" ca="1" si="124"/>
        <v>Trinidad and Tobago</v>
      </c>
      <c r="DH52" s="1">
        <f t="shared" ca="1" si="40"/>
        <v>0.23949999999999999</v>
      </c>
      <c r="DI52" s="1">
        <f t="shared" ca="1" si="41"/>
        <v>2012</v>
      </c>
      <c r="DM52" s="1">
        <f>MATCH(CONCATENATE($B52,"_",INDEX($C$4:$C47,DM$34)),lu_DataCode,0)</f>
        <v>189</v>
      </c>
      <c r="DN52" s="1">
        <f t="shared" ca="1" si="42"/>
        <v>2012</v>
      </c>
      <c r="DO52" s="1">
        <f t="shared" ca="1" si="43"/>
        <v>1.7322</v>
      </c>
      <c r="DP52" s="1">
        <f t="shared" ca="1" si="44"/>
        <v>1</v>
      </c>
      <c r="DQ52" s="1">
        <f t="shared" ca="1" si="125"/>
        <v>1.7322</v>
      </c>
      <c r="DR52" s="1">
        <f ca="1">RANK(DQ52,DQ$37:DQ$62,DQ$34)+COUNTIF(DQ$37:DQ52,DQ52)-1</f>
        <v>21</v>
      </c>
      <c r="DS52" s="1">
        <f t="shared" ca="1" si="45"/>
        <v>22</v>
      </c>
      <c r="DT52" s="1">
        <f t="shared" ca="1" si="126"/>
        <v>1</v>
      </c>
      <c r="DU52" s="1">
        <f t="shared" ca="1" si="127"/>
        <v>1</v>
      </c>
      <c r="DV52" s="1">
        <f t="shared" ca="1" si="128"/>
        <v>16</v>
      </c>
      <c r="DW52" s="1" t="str">
        <f t="shared" ca="1" si="129"/>
        <v>Dominican Republic</v>
      </c>
      <c r="DX52" s="1">
        <f t="shared" ca="1" si="46"/>
        <v>9.0161134999999994</v>
      </c>
      <c r="DY52" s="1">
        <f t="shared" ca="1" si="47"/>
        <v>2012</v>
      </c>
      <c r="EC52" s="1">
        <f>MATCH(CONCATENATE($B52,"_",INDEX($C$4:$C47,EC$34)),lu_DataCode,0)</f>
        <v>214</v>
      </c>
      <c r="ED52" s="1">
        <f t="shared" ca="1" si="48"/>
        <v>2012</v>
      </c>
      <c r="EE52" s="1">
        <f t="shared" ca="1" si="49"/>
        <v>7537315.4819999998</v>
      </c>
      <c r="EF52" s="1">
        <f t="shared" ca="1" si="50"/>
        <v>1</v>
      </c>
      <c r="EG52" s="1">
        <f t="shared" ca="1" si="130"/>
        <v>7537315.4819999998</v>
      </c>
      <c r="EH52" s="1">
        <f ca="1">RANK(EG52,EG$37:EG$62,EG$34)+COUNTIF(EG$37:EG52,EG52)-1</f>
        <v>15</v>
      </c>
      <c r="EI52" s="1">
        <f t="shared" ca="1" si="51"/>
        <v>22</v>
      </c>
      <c r="EJ52" s="1">
        <f t="shared" ca="1" si="131"/>
        <v>1</v>
      </c>
      <c r="EK52" s="1">
        <f t="shared" ca="1" si="132"/>
        <v>1</v>
      </c>
      <c r="EL52" s="1">
        <f t="shared" ca="1" si="133"/>
        <v>16</v>
      </c>
      <c r="EM52" s="1" t="str">
        <f t="shared" ca="1" si="134"/>
        <v>Dominican Republic</v>
      </c>
      <c r="EN52" s="1">
        <f t="shared" ca="1" si="52"/>
        <v>5487326.78623203</v>
      </c>
      <c r="EO52" s="1">
        <f t="shared" ca="1" si="53"/>
        <v>2012</v>
      </c>
      <c r="ES52" s="1">
        <f>MATCH(CONCATENATE($B52,"_",INDEX($C$4:$C47,ES$34)),lu_DataCode,0)</f>
        <v>240</v>
      </c>
      <c r="ET52" s="1">
        <f t="shared" ca="1" si="54"/>
        <v>2012</v>
      </c>
      <c r="EU52" s="1">
        <f t="shared" ca="1" si="55"/>
        <v>5.6</v>
      </c>
      <c r="EV52" s="1">
        <f t="shared" ca="1" si="56"/>
        <v>1</v>
      </c>
      <c r="EW52" s="1">
        <f t="shared" ca="1" si="135"/>
        <v>5.6</v>
      </c>
      <c r="EX52" s="1">
        <f ca="1">RANK(EW52,EW$37:EW$62,EW$34)+COUNTIF(EW$37:EW52,EW52)-1</f>
        <v>20</v>
      </c>
      <c r="EY52" s="1">
        <f t="shared" ca="1" si="57"/>
        <v>11</v>
      </c>
      <c r="EZ52" s="1">
        <f t="shared" ca="1" si="136"/>
        <v>1</v>
      </c>
      <c r="FA52" s="1">
        <f t="shared" ca="1" si="137"/>
        <v>1</v>
      </c>
      <c r="FB52" s="1">
        <f t="shared" ca="1" si="138"/>
        <v>16</v>
      </c>
      <c r="FC52" s="1" t="str">
        <f t="shared" ca="1" si="139"/>
        <v>El Salvador</v>
      </c>
      <c r="FD52" s="1">
        <f t="shared" ca="1" si="58"/>
        <v>10.26962660621</v>
      </c>
      <c r="FE52" s="1">
        <f t="shared" ca="1" si="59"/>
        <v>2012</v>
      </c>
      <c r="FI52" s="1">
        <f>MATCH(CONCATENATE($B52,"_",INDEX($C$4:$C47,FI$34)),lu_DataCode,0)</f>
        <v>265</v>
      </c>
      <c r="FJ52" s="1">
        <f t="shared" ca="1" si="60"/>
        <v>2012</v>
      </c>
      <c r="FK52" s="1">
        <f t="shared" ca="1" si="61"/>
        <v>6850561.3870000001</v>
      </c>
      <c r="FL52" s="1">
        <f t="shared" ca="1" si="62"/>
        <v>1</v>
      </c>
      <c r="FM52" s="1">
        <f t="shared" ca="1" si="140"/>
        <v>6850561.3870000001</v>
      </c>
      <c r="FN52" s="1">
        <f ca="1">RANK(FM52,FM$37:FM$62,FM$34)+COUNTIF(FM$37:FM52,FM52)-1</f>
        <v>14</v>
      </c>
      <c r="FO52" s="1">
        <f t="shared" ca="1" si="63"/>
        <v>25</v>
      </c>
      <c r="FP52" s="1">
        <f t="shared" ca="1" si="141"/>
        <v>1</v>
      </c>
      <c r="FQ52" s="1">
        <f t="shared" ca="1" si="142"/>
        <v>1</v>
      </c>
      <c r="FR52" s="1">
        <f t="shared" ca="1" si="143"/>
        <v>16</v>
      </c>
      <c r="FS52" s="1" t="str">
        <f t="shared" ca="1" si="144"/>
        <v>Uruguay</v>
      </c>
      <c r="FT52" s="1">
        <f t="shared" ca="1" si="64"/>
        <v>5859956.7151799798</v>
      </c>
      <c r="FU52" s="1">
        <f t="shared" ca="1" si="65"/>
        <v>2012</v>
      </c>
      <c r="FY52" s="1" t="e">
        <f>MATCH(CONCATENATE($B52,"_",INDEX($C$4:$C47,FY$34)),lu_DataCode,0)</f>
        <v>#N/A</v>
      </c>
      <c r="FZ52" s="1" t="e">
        <f t="shared" ca="1" si="66"/>
        <v>#N/A</v>
      </c>
      <c r="GA52" s="1" t="e">
        <f t="shared" ca="1" si="67"/>
        <v>#N/A</v>
      </c>
      <c r="GB52" s="1">
        <f t="shared" ca="1" si="68"/>
        <v>0</v>
      </c>
      <c r="GC52" s="1">
        <f t="shared" ca="1" si="145"/>
        <v>-10000000000</v>
      </c>
      <c r="GD52" s="1">
        <f ca="1">RANK(GC52,GC$37:GC$62,GC$34)+COUNTIF(GC$37:GC52,GC52)-1</f>
        <v>16</v>
      </c>
      <c r="GE52" s="1">
        <f t="shared" ca="1" si="69"/>
        <v>16</v>
      </c>
      <c r="GF52" s="1">
        <f t="shared" ca="1" si="146"/>
        <v>0</v>
      </c>
      <c r="GG52" s="1">
        <f t="shared" ca="1" si="147"/>
        <v>1</v>
      </c>
      <c r="GH52" s="1" t="str">
        <f t="shared" ca="1" si="148"/>
        <v/>
      </c>
      <c r="GI52" s="1" t="str">
        <f t="shared" ca="1" si="149"/>
        <v/>
      </c>
      <c r="GJ52" s="1" t="str">
        <f t="shared" ca="1" si="70"/>
        <v/>
      </c>
      <c r="GK52" s="1" t="str">
        <f t="shared" ca="1" si="71"/>
        <v/>
      </c>
      <c r="GO52" s="1" t="e">
        <f>MATCH(CONCATENATE($B52,"_",INDEX($C$4:$C47,GO$34)),lu_DataCode,0)</f>
        <v>#N/A</v>
      </c>
      <c r="GP52" s="1" t="e">
        <f t="shared" ca="1" si="72"/>
        <v>#N/A</v>
      </c>
      <c r="GQ52" s="1" t="e">
        <f t="shared" ca="1" si="73"/>
        <v>#N/A</v>
      </c>
      <c r="GR52" s="1">
        <f t="shared" ca="1" si="74"/>
        <v>0</v>
      </c>
      <c r="GS52" s="1">
        <f t="shared" ca="1" si="150"/>
        <v>-10000000000</v>
      </c>
      <c r="GT52" s="1">
        <f ca="1">RANK(GS52,GS$37:GS$62,GS$34)+COUNTIF(GS$37:GS52,GS52)-1</f>
        <v>16</v>
      </c>
      <c r="GU52" s="1">
        <f t="shared" ca="1" si="75"/>
        <v>16</v>
      </c>
      <c r="GV52" s="1">
        <f t="shared" ca="1" si="151"/>
        <v>0</v>
      </c>
      <c r="GW52" s="1">
        <f t="shared" ca="1" si="152"/>
        <v>1</v>
      </c>
      <c r="GX52" s="1" t="str">
        <f t="shared" ca="1" si="153"/>
        <v/>
      </c>
      <c r="GY52" s="1" t="str">
        <f t="shared" ca="1" si="154"/>
        <v/>
      </c>
      <c r="GZ52" s="1" t="str">
        <f t="shared" ca="1" si="76"/>
        <v/>
      </c>
      <c r="HA52" s="1" t="str">
        <f t="shared" ca="1" si="77"/>
        <v/>
      </c>
      <c r="HE52" s="1" t="e">
        <f>MATCH(CONCATENATE($B52,"_",INDEX($C$4:$C47,HE$34)),lu_DataCode,0)</f>
        <v>#N/A</v>
      </c>
      <c r="HF52" s="1" t="e">
        <f t="shared" ca="1" si="78"/>
        <v>#N/A</v>
      </c>
      <c r="HG52" s="1" t="e">
        <f t="shared" ca="1" si="79"/>
        <v>#N/A</v>
      </c>
      <c r="HH52" s="1">
        <f t="shared" ca="1" si="80"/>
        <v>0</v>
      </c>
      <c r="HI52" s="1">
        <f t="shared" ca="1" si="155"/>
        <v>-10000000000</v>
      </c>
      <c r="HJ52" s="1">
        <f ca="1">RANK(HI52,HI$37:HI$62,HI$34)+COUNTIF(HI$37:HI52,HI52)-1</f>
        <v>16</v>
      </c>
      <c r="HK52" s="1">
        <f t="shared" ca="1" si="81"/>
        <v>16</v>
      </c>
      <c r="HL52" s="1">
        <f t="shared" ca="1" si="156"/>
        <v>0</v>
      </c>
      <c r="HM52" s="1">
        <f t="shared" ca="1" si="157"/>
        <v>1</v>
      </c>
      <c r="HN52" s="1" t="str">
        <f t="shared" ca="1" si="158"/>
        <v/>
      </c>
      <c r="HO52" s="1" t="str">
        <f t="shared" ca="1" si="159"/>
        <v/>
      </c>
      <c r="HP52" s="1" t="str">
        <f t="shared" ca="1" si="82"/>
        <v/>
      </c>
      <c r="HQ52" s="1" t="str">
        <f t="shared" ca="1" si="83"/>
        <v/>
      </c>
      <c r="HU52" s="1" t="e">
        <f>MATCH(CONCATENATE($B52,"_",INDEX($C$4:$C47,HU$34)),lu_DataCode,0)</f>
        <v>#N/A</v>
      </c>
      <c r="HV52" s="1" t="e">
        <f t="shared" ca="1" si="84"/>
        <v>#N/A</v>
      </c>
      <c r="HW52" s="1" t="e">
        <f t="shared" ca="1" si="85"/>
        <v>#N/A</v>
      </c>
      <c r="HX52" s="1">
        <f t="shared" ca="1" si="86"/>
        <v>0</v>
      </c>
      <c r="HY52" s="1">
        <f t="shared" ca="1" si="160"/>
        <v>-10000000000</v>
      </c>
      <c r="HZ52" s="1">
        <f ca="1">RANK(HY52,HY$37:HY$62,HY$34)+COUNTIF(HY$37:HY52,HY52)-1</f>
        <v>16</v>
      </c>
      <c r="IA52" s="1">
        <f t="shared" ca="1" si="87"/>
        <v>16</v>
      </c>
      <c r="IB52" s="1">
        <f t="shared" ca="1" si="161"/>
        <v>0</v>
      </c>
      <c r="IC52" s="1">
        <f t="shared" ca="1" si="162"/>
        <v>1</v>
      </c>
      <c r="ID52" s="1" t="str">
        <f t="shared" ca="1" si="163"/>
        <v/>
      </c>
      <c r="IE52" s="1" t="str">
        <f t="shared" ca="1" si="164"/>
        <v/>
      </c>
      <c r="IF52" s="1" t="str">
        <f t="shared" ca="1" si="88"/>
        <v/>
      </c>
      <c r="IG52" s="1" t="str">
        <f t="shared" ca="1" si="89"/>
        <v/>
      </c>
    </row>
    <row r="53" spans="1:241" ht="10.15" x14ac:dyDescent="0.2">
      <c r="A53" s="1">
        <v>17</v>
      </c>
      <c r="B53" s="1" t="str">
        <f>tblCountries!E19</f>
        <v>NAC_MX_1</v>
      </c>
      <c r="C53" s="1" t="str">
        <f>tblCountries!C19</f>
        <v>México</v>
      </c>
      <c r="D53" s="1">
        <f>tblCountries!D19</f>
        <v>1</v>
      </c>
      <c r="E53" s="1">
        <f>MATCH(CONCATENATE($B53,"_",INDEX($C$4:$C48,E$34)),lu_DataCode,0)</f>
        <v>22</v>
      </c>
      <c r="F53" s="1">
        <f t="shared" ca="1" si="165"/>
        <v>2012</v>
      </c>
      <c r="G53" s="1">
        <f t="shared" ca="1" si="166"/>
        <v>5.9218808907268796</v>
      </c>
      <c r="H53" s="1">
        <f t="shared" ca="1" si="167"/>
        <v>1</v>
      </c>
      <c r="I53" s="1">
        <f t="shared" ca="1" si="90"/>
        <v>5.921881</v>
      </c>
      <c r="J53" s="1">
        <f ca="1">RANK(I53,I$37:I$62,I$34)+COUNTIF(I$37:I53,I53)-1</f>
        <v>14</v>
      </c>
      <c r="K53" s="1">
        <f t="shared" ca="1" si="168"/>
        <v>10</v>
      </c>
      <c r="L53" s="1">
        <f t="shared" ca="1" si="169"/>
        <v>1</v>
      </c>
      <c r="M53" s="1">
        <f t="shared" ca="1" si="92"/>
        <v>1</v>
      </c>
      <c r="N53" s="1">
        <f t="shared" ca="1" si="93"/>
        <v>17</v>
      </c>
      <c r="O53" s="1" t="str">
        <f t="shared" ca="1" si="94"/>
        <v>Ecuador</v>
      </c>
      <c r="P53" s="1">
        <f t="shared" ca="1" si="170"/>
        <v>5.26505148816371</v>
      </c>
      <c r="Q53" s="1">
        <f t="shared" ca="1" si="171"/>
        <v>2012</v>
      </c>
      <c r="U53" s="1">
        <f>MATCH(CONCATENATE($B53,"_",INDEX($C$4:$C48,U$34)),lu_DataCode,0)</f>
        <v>48</v>
      </c>
      <c r="V53" s="1">
        <f t="shared" ca="1" si="172"/>
        <v>2012</v>
      </c>
      <c r="W53" s="1">
        <f t="shared" ca="1" si="173"/>
        <v>114.872</v>
      </c>
      <c r="X53" s="1">
        <f t="shared" ca="1" si="174"/>
        <v>1</v>
      </c>
      <c r="Y53" s="1">
        <f t="shared" ca="1" si="95"/>
        <v>114.872</v>
      </c>
      <c r="Z53" s="1">
        <f ca="1">RANK(Y53,Y$37:Y$62,Y$34)+COUNTIF(Y$37:Y53,Y53)-1</f>
        <v>2</v>
      </c>
      <c r="AA53" s="1">
        <f t="shared" ca="1" si="175"/>
        <v>9</v>
      </c>
      <c r="AB53" s="1">
        <f t="shared" ca="1" si="176"/>
        <v>1</v>
      </c>
      <c r="AC53" s="1">
        <f t="shared" ca="1" si="97"/>
        <v>1</v>
      </c>
      <c r="AD53" s="1">
        <f t="shared" ca="1" si="98"/>
        <v>17</v>
      </c>
      <c r="AE53" s="1" t="str">
        <f t="shared" ca="1" si="99"/>
        <v>Costa Rica</v>
      </c>
      <c r="AF53" s="1">
        <f t="shared" ca="1" si="177"/>
        <v>4.782</v>
      </c>
      <c r="AG53" s="1">
        <f t="shared" ca="1" si="178"/>
        <v>2012</v>
      </c>
      <c r="AK53" s="1">
        <f>MATCH(CONCATENATE($B53,"_",INDEX($C$4:$C48,AK$34)),lu_DataCode,0)</f>
        <v>74</v>
      </c>
      <c r="AL53" s="1">
        <f t="shared" ca="1" si="12"/>
        <v>2012</v>
      </c>
      <c r="AM53" s="1">
        <f t="shared" ca="1" si="13"/>
        <v>1964380</v>
      </c>
      <c r="AN53" s="1">
        <f t="shared" ca="1" si="14"/>
        <v>1</v>
      </c>
      <c r="AO53" s="1">
        <f t="shared" ca="1" si="100"/>
        <v>1964380</v>
      </c>
      <c r="AP53" s="1">
        <f ca="1">RANK(AO53,AO$37:AO$62,AO$34)+COUNTIF(AO$37:AO53,AO53)-1</f>
        <v>3</v>
      </c>
      <c r="AQ53" s="1">
        <f t="shared" ca="1" si="15"/>
        <v>19</v>
      </c>
      <c r="AR53" s="1">
        <f t="shared" ca="1" si="101"/>
        <v>1</v>
      </c>
      <c r="AS53" s="1">
        <f t="shared" ca="1" si="102"/>
        <v>1</v>
      </c>
      <c r="AT53" s="1">
        <f t="shared" ca="1" si="103"/>
        <v>17</v>
      </c>
      <c r="AU53" s="1" t="str">
        <f t="shared" ca="1" si="104"/>
        <v>Panamá</v>
      </c>
      <c r="AV53" s="1">
        <f t="shared" ca="1" si="16"/>
        <v>75420</v>
      </c>
      <c r="AW53" s="1">
        <f t="shared" ca="1" si="17"/>
        <v>2012</v>
      </c>
      <c r="BA53" s="1">
        <f>MATCH(CONCATENATE($B53,"_",INDEX($C$4:$C48,BA$34)),lu_DataCode,0)</f>
        <v>100</v>
      </c>
      <c r="BB53" s="1">
        <f t="shared" ca="1" si="18"/>
        <v>2012</v>
      </c>
      <c r="BC53" s="1">
        <f t="shared" ca="1" si="19"/>
        <v>1177.116</v>
      </c>
      <c r="BD53" s="1">
        <f t="shared" ca="1" si="20"/>
        <v>1</v>
      </c>
      <c r="BE53" s="1">
        <f t="shared" ca="1" si="105"/>
        <v>1177.116</v>
      </c>
      <c r="BF53" s="1">
        <f ca="1">RANK(BE53,BE$37:BE$62,BE$34)+COUNTIF(BE$37:BE53,BE53)-1</f>
        <v>2</v>
      </c>
      <c r="BG53" s="1">
        <f t="shared" ca="1" si="21"/>
        <v>11</v>
      </c>
      <c r="BH53" s="1">
        <f t="shared" ca="1" si="106"/>
        <v>1</v>
      </c>
      <c r="BI53" s="1">
        <f t="shared" ca="1" si="107"/>
        <v>1</v>
      </c>
      <c r="BJ53" s="1">
        <f t="shared" ca="1" si="108"/>
        <v>17</v>
      </c>
      <c r="BK53" s="1" t="str">
        <f t="shared" ca="1" si="109"/>
        <v>El Salvador</v>
      </c>
      <c r="BL53" s="1">
        <f t="shared" ca="1" si="22"/>
        <v>23.8644</v>
      </c>
      <c r="BM53" s="1">
        <f t="shared" ca="1" si="23"/>
        <v>2012</v>
      </c>
      <c r="BQ53" s="1">
        <f>MATCH(CONCATENATE($B53,"_",INDEX($C$4:$C48,BQ$34)),lu_DataCode,0)</f>
        <v>126</v>
      </c>
      <c r="BR53" s="1">
        <f t="shared" ca="1" si="24"/>
        <v>2012</v>
      </c>
      <c r="BS53" s="1">
        <f t="shared" ca="1" si="25"/>
        <v>1758.896</v>
      </c>
      <c r="BT53" s="1">
        <f t="shared" ca="1" si="26"/>
        <v>1</v>
      </c>
      <c r="BU53" s="1">
        <f t="shared" ca="1" si="110"/>
        <v>1758.896</v>
      </c>
      <c r="BV53" s="1">
        <f ca="1">RANK(BU53,BU$37:BU$62,BU$34)+COUNTIF(BU$37:BU53,BU53)-1</f>
        <v>2</v>
      </c>
      <c r="BW53" s="1">
        <f t="shared" ca="1" si="27"/>
        <v>15</v>
      </c>
      <c r="BX53" s="1">
        <f t="shared" ca="1" si="111"/>
        <v>1</v>
      </c>
      <c r="BY53" s="1">
        <f t="shared" ca="1" si="112"/>
        <v>1</v>
      </c>
      <c r="BZ53" s="1">
        <f t="shared" ca="1" si="113"/>
        <v>17</v>
      </c>
      <c r="CA53" s="1" t="str">
        <f t="shared" ca="1" si="114"/>
        <v>Honduras</v>
      </c>
      <c r="CB53" s="1">
        <f t="shared" ca="1" si="28"/>
        <v>37.802</v>
      </c>
      <c r="CC53" s="1">
        <f t="shared" ca="1" si="29"/>
        <v>2012</v>
      </c>
      <c r="CG53" s="1">
        <f>MATCH(CONCATENATE($B53,"_",INDEX($C$4:$C48,CG$34)),lu_DataCode,0)</f>
        <v>152</v>
      </c>
      <c r="CH53" s="1">
        <f t="shared" ca="1" si="30"/>
        <v>2012</v>
      </c>
      <c r="CI53" s="1">
        <f t="shared" ca="1" si="31"/>
        <v>14.015862500000001</v>
      </c>
      <c r="CJ53" s="1">
        <f t="shared" ca="1" si="32"/>
        <v>1</v>
      </c>
      <c r="CK53" s="1">
        <f t="shared" ca="1" si="115"/>
        <v>14.015863</v>
      </c>
      <c r="CL53" s="1">
        <f ca="1">RANK(CK53,CK$37:CK$62,CK$34)+COUNTIF(CK$37:CK53,CK53)-1</f>
        <v>2</v>
      </c>
      <c r="CM53" s="1">
        <f t="shared" ca="1" si="33"/>
        <v>5</v>
      </c>
      <c r="CN53" s="1">
        <f t="shared" ca="1" si="116"/>
        <v>1</v>
      </c>
      <c r="CO53" s="1">
        <f t="shared" ca="1" si="117"/>
        <v>1</v>
      </c>
      <c r="CP53" s="1">
        <f t="shared" ca="1" si="118"/>
        <v>17</v>
      </c>
      <c r="CQ53" s="1" t="str">
        <f t="shared" ca="1" si="119"/>
        <v>Bolivia</v>
      </c>
      <c r="CR53" s="1">
        <f t="shared" ca="1" si="34"/>
        <v>0.63114000000000003</v>
      </c>
      <c r="CS53" s="1">
        <f t="shared" ca="1" si="35"/>
        <v>2012</v>
      </c>
      <c r="CW53" s="1">
        <f>MATCH(CONCATENATE($B53,"_",INDEX($C$4:$C48,CW$34)),lu_DataCode,0)</f>
        <v>177</v>
      </c>
      <c r="CX53" s="1">
        <f t="shared" ca="1" si="36"/>
        <v>2012</v>
      </c>
      <c r="CY53" s="1">
        <f t="shared" ca="1" si="37"/>
        <v>0.63758579999999998</v>
      </c>
      <c r="CZ53" s="1">
        <f t="shared" ca="1" si="38"/>
        <v>1</v>
      </c>
      <c r="DA53" s="1">
        <f t="shared" ca="1" si="120"/>
        <v>0.63758599999999999</v>
      </c>
      <c r="DB53" s="1">
        <f ca="1">RANK(DA53,DA$37:DA$62,DA$34)+COUNTIF(DA$37:DA53,DA53)-1</f>
        <v>9</v>
      </c>
      <c r="DC53" s="1">
        <f t="shared" ca="1" si="39"/>
        <v>2</v>
      </c>
      <c r="DD53" s="1">
        <f t="shared" ca="1" si="121"/>
        <v>1</v>
      </c>
      <c r="DE53" s="1">
        <f t="shared" ca="1" si="122"/>
        <v>1</v>
      </c>
      <c r="DF53" s="1">
        <f t="shared" ca="1" si="123"/>
        <v>17</v>
      </c>
      <c r="DG53" s="1" t="str">
        <f t="shared" ca="1" si="124"/>
        <v>Bahamas</v>
      </c>
      <c r="DH53" s="1">
        <f t="shared" ca="1" si="40"/>
        <v>0.1183715</v>
      </c>
      <c r="DI53" s="1">
        <f t="shared" ca="1" si="41"/>
        <v>2012</v>
      </c>
      <c r="DM53" s="1">
        <f>MATCH(CONCATENATE($B53,"_",INDEX($C$4:$C48,DM$34)),lu_DataCode,0)</f>
        <v>202</v>
      </c>
      <c r="DN53" s="1">
        <f t="shared" ca="1" si="42"/>
        <v>2012</v>
      </c>
      <c r="DO53" s="1">
        <f t="shared" ca="1" si="43"/>
        <v>370.00369590000003</v>
      </c>
      <c r="DP53" s="1">
        <f t="shared" ca="1" si="44"/>
        <v>1</v>
      </c>
      <c r="DQ53" s="1">
        <f t="shared" ca="1" si="125"/>
        <v>370.00369599999999</v>
      </c>
      <c r="DR53" s="1">
        <f ca="1">RANK(DQ53,DQ$37:DQ$62,DQ$34)+COUNTIF(DQ$37:DQ53,DQ53)-1</f>
        <v>1</v>
      </c>
      <c r="DS53" s="1">
        <f t="shared" ca="1" si="45"/>
        <v>15</v>
      </c>
      <c r="DT53" s="1">
        <f t="shared" ca="1" si="126"/>
        <v>1</v>
      </c>
      <c r="DU53" s="1">
        <f t="shared" ca="1" si="127"/>
        <v>1</v>
      </c>
      <c r="DV53" s="1">
        <f t="shared" ca="1" si="128"/>
        <v>17</v>
      </c>
      <c r="DW53" s="1" t="str">
        <f t="shared" ca="1" si="129"/>
        <v>Honduras</v>
      </c>
      <c r="DX53" s="1">
        <f t="shared" ca="1" si="46"/>
        <v>7.4744000000000002</v>
      </c>
      <c r="DY53" s="1">
        <f t="shared" ca="1" si="47"/>
        <v>2012</v>
      </c>
      <c r="EC53" s="1">
        <f>MATCH(CONCATENATE($B53,"_",INDEX($C$4:$C48,EC$34)),lu_DataCode,0)</f>
        <v>227</v>
      </c>
      <c r="ED53" s="1">
        <f t="shared" ca="1" si="48"/>
        <v>2012</v>
      </c>
      <c r="EE53" s="1">
        <f t="shared" ca="1" si="49"/>
        <v>75436910.116999999</v>
      </c>
      <c r="EF53" s="1">
        <f t="shared" ca="1" si="50"/>
        <v>1</v>
      </c>
      <c r="EG53" s="1">
        <f t="shared" ca="1" si="130"/>
        <v>75436910.116999999</v>
      </c>
      <c r="EH53" s="1">
        <f ca="1">RANK(EG53,EG$37:EG$62,EG$34)+COUNTIF(EG$37:EG53,EG53)-1</f>
        <v>5</v>
      </c>
      <c r="EI53" s="1">
        <f t="shared" ca="1" si="51"/>
        <v>15</v>
      </c>
      <c r="EJ53" s="1">
        <f t="shared" ca="1" si="131"/>
        <v>1</v>
      </c>
      <c r="EK53" s="1">
        <f t="shared" ca="1" si="132"/>
        <v>1</v>
      </c>
      <c r="EL53" s="1">
        <f t="shared" ca="1" si="133"/>
        <v>17</v>
      </c>
      <c r="EM53" s="1" t="str">
        <f t="shared" ca="1" si="134"/>
        <v>Honduras</v>
      </c>
      <c r="EN53" s="1">
        <f t="shared" ca="1" si="52"/>
        <v>3286099</v>
      </c>
      <c r="EO53" s="1">
        <f t="shared" ca="1" si="53"/>
        <v>2012</v>
      </c>
      <c r="ES53" s="1">
        <f>MATCH(CONCATENATE($B53,"_",INDEX($C$4:$C48,ES$34)),lu_DataCode,0)</f>
        <v>253</v>
      </c>
      <c r="ET53" s="1">
        <f t="shared" ca="1" si="54"/>
        <v>2012</v>
      </c>
      <c r="EU53" s="1">
        <f t="shared" ca="1" si="55"/>
        <v>370.32722419999999</v>
      </c>
      <c r="EV53" s="1">
        <f t="shared" ca="1" si="56"/>
        <v>1</v>
      </c>
      <c r="EW53" s="1">
        <f t="shared" ca="1" si="135"/>
        <v>370.327224</v>
      </c>
      <c r="EX53" s="1">
        <f ca="1">RANK(EW53,EW$37:EW$62,EW$34)+COUNTIF(EW$37:EW53,EW53)-1</f>
        <v>1</v>
      </c>
      <c r="EY53" s="1">
        <f t="shared" ca="1" si="57"/>
        <v>24</v>
      </c>
      <c r="EZ53" s="1">
        <f t="shared" ca="1" si="136"/>
        <v>1</v>
      </c>
      <c r="FA53" s="1">
        <f t="shared" ca="1" si="137"/>
        <v>1</v>
      </c>
      <c r="FB53" s="1">
        <f t="shared" ca="1" si="138"/>
        <v>17</v>
      </c>
      <c r="FC53" s="1" t="str">
        <f t="shared" ca="1" si="139"/>
        <v>Trinidad and Tobago</v>
      </c>
      <c r="FD53" s="1">
        <f t="shared" ca="1" si="58"/>
        <v>10.04832</v>
      </c>
      <c r="FE53" s="1">
        <f t="shared" ca="1" si="59"/>
        <v>2012</v>
      </c>
      <c r="FI53" s="1">
        <f>MATCH(CONCATENATE($B53,"_",INDEX($C$4:$C48,FI$34)),lu_DataCode,0)</f>
        <v>277</v>
      </c>
      <c r="FJ53" s="1">
        <f t="shared" ca="1" si="60"/>
        <v>2012</v>
      </c>
      <c r="FK53" s="1">
        <f t="shared" ca="1" si="61"/>
        <v>2265438676.3790002</v>
      </c>
      <c r="FL53" s="1">
        <f t="shared" ca="1" si="62"/>
        <v>1</v>
      </c>
      <c r="FM53" s="1">
        <f t="shared" ca="1" si="140"/>
        <v>2265438676.3790002</v>
      </c>
      <c r="FN53" s="1">
        <f ca="1">RANK(FM53,FM$37:FM$62,FM$34)+COUNTIF(FM$37:FM53,FM53)-1</f>
        <v>1</v>
      </c>
      <c r="FO53" s="1">
        <f t="shared" ca="1" si="63"/>
        <v>15</v>
      </c>
      <c r="FP53" s="1">
        <f t="shared" ca="1" si="141"/>
        <v>1</v>
      </c>
      <c r="FQ53" s="1">
        <f t="shared" ca="1" si="142"/>
        <v>1</v>
      </c>
      <c r="FR53" s="1">
        <f t="shared" ca="1" si="143"/>
        <v>17</v>
      </c>
      <c r="FS53" s="1" t="str">
        <f t="shared" ca="1" si="144"/>
        <v>Honduras</v>
      </c>
      <c r="FT53" s="1">
        <f t="shared" ca="1" si="64"/>
        <v>5245343.7580000004</v>
      </c>
      <c r="FU53" s="1">
        <f t="shared" ca="1" si="65"/>
        <v>2012</v>
      </c>
      <c r="FY53" s="1" t="e">
        <f>MATCH(CONCATENATE($B53,"_",INDEX($C$4:$C48,FY$34)),lu_DataCode,0)</f>
        <v>#N/A</v>
      </c>
      <c r="FZ53" s="1" t="e">
        <f t="shared" ca="1" si="66"/>
        <v>#N/A</v>
      </c>
      <c r="GA53" s="1" t="e">
        <f t="shared" ca="1" si="67"/>
        <v>#N/A</v>
      </c>
      <c r="GB53" s="1">
        <f t="shared" ca="1" si="68"/>
        <v>0</v>
      </c>
      <c r="GC53" s="1">
        <f t="shared" ca="1" si="145"/>
        <v>-10000000000</v>
      </c>
      <c r="GD53" s="1">
        <f ca="1">RANK(GC53,GC$37:GC$62,GC$34)+COUNTIF(GC$37:GC53,GC53)-1</f>
        <v>17</v>
      </c>
      <c r="GE53" s="1">
        <f t="shared" ca="1" si="69"/>
        <v>17</v>
      </c>
      <c r="GF53" s="1">
        <f t="shared" ca="1" si="146"/>
        <v>0</v>
      </c>
      <c r="GG53" s="1">
        <f t="shared" ca="1" si="147"/>
        <v>1</v>
      </c>
      <c r="GH53" s="1" t="str">
        <f t="shared" ca="1" si="148"/>
        <v/>
      </c>
      <c r="GI53" s="1" t="str">
        <f t="shared" ca="1" si="149"/>
        <v/>
      </c>
      <c r="GJ53" s="1" t="str">
        <f t="shared" ca="1" si="70"/>
        <v/>
      </c>
      <c r="GK53" s="1" t="str">
        <f t="shared" ca="1" si="71"/>
        <v/>
      </c>
      <c r="GO53" s="1" t="e">
        <f>MATCH(CONCATENATE($B53,"_",INDEX($C$4:$C48,GO$34)),lu_DataCode,0)</f>
        <v>#N/A</v>
      </c>
      <c r="GP53" s="1" t="e">
        <f t="shared" ca="1" si="72"/>
        <v>#N/A</v>
      </c>
      <c r="GQ53" s="1" t="e">
        <f t="shared" ca="1" si="73"/>
        <v>#N/A</v>
      </c>
      <c r="GR53" s="1">
        <f t="shared" ca="1" si="74"/>
        <v>0</v>
      </c>
      <c r="GS53" s="1">
        <f t="shared" ca="1" si="150"/>
        <v>-10000000000</v>
      </c>
      <c r="GT53" s="1">
        <f ca="1">RANK(GS53,GS$37:GS$62,GS$34)+COUNTIF(GS$37:GS53,GS53)-1</f>
        <v>17</v>
      </c>
      <c r="GU53" s="1">
        <f t="shared" ca="1" si="75"/>
        <v>17</v>
      </c>
      <c r="GV53" s="1">
        <f t="shared" ca="1" si="151"/>
        <v>0</v>
      </c>
      <c r="GW53" s="1">
        <f t="shared" ca="1" si="152"/>
        <v>1</v>
      </c>
      <c r="GX53" s="1" t="str">
        <f t="shared" ca="1" si="153"/>
        <v/>
      </c>
      <c r="GY53" s="1" t="str">
        <f t="shared" ca="1" si="154"/>
        <v/>
      </c>
      <c r="GZ53" s="1" t="str">
        <f t="shared" ca="1" si="76"/>
        <v/>
      </c>
      <c r="HA53" s="1" t="str">
        <f t="shared" ca="1" si="77"/>
        <v/>
      </c>
      <c r="HE53" s="1" t="e">
        <f>MATCH(CONCATENATE($B53,"_",INDEX($C$4:$C48,HE$34)),lu_DataCode,0)</f>
        <v>#N/A</v>
      </c>
      <c r="HF53" s="1" t="e">
        <f t="shared" ca="1" si="78"/>
        <v>#N/A</v>
      </c>
      <c r="HG53" s="1" t="e">
        <f t="shared" ca="1" si="79"/>
        <v>#N/A</v>
      </c>
      <c r="HH53" s="1">
        <f t="shared" ca="1" si="80"/>
        <v>0</v>
      </c>
      <c r="HI53" s="1">
        <f t="shared" ca="1" si="155"/>
        <v>-10000000000</v>
      </c>
      <c r="HJ53" s="1">
        <f ca="1">RANK(HI53,HI$37:HI$62,HI$34)+COUNTIF(HI$37:HI53,HI53)-1</f>
        <v>17</v>
      </c>
      <c r="HK53" s="1">
        <f t="shared" ca="1" si="81"/>
        <v>17</v>
      </c>
      <c r="HL53" s="1">
        <f t="shared" ca="1" si="156"/>
        <v>0</v>
      </c>
      <c r="HM53" s="1">
        <f t="shared" ca="1" si="157"/>
        <v>1</v>
      </c>
      <c r="HN53" s="1" t="str">
        <f t="shared" ca="1" si="158"/>
        <v/>
      </c>
      <c r="HO53" s="1" t="str">
        <f t="shared" ca="1" si="159"/>
        <v/>
      </c>
      <c r="HP53" s="1" t="str">
        <f t="shared" ca="1" si="82"/>
        <v/>
      </c>
      <c r="HQ53" s="1" t="str">
        <f t="shared" ca="1" si="83"/>
        <v/>
      </c>
      <c r="HU53" s="1" t="e">
        <f>MATCH(CONCATENATE($B53,"_",INDEX($C$4:$C48,HU$34)),lu_DataCode,0)</f>
        <v>#N/A</v>
      </c>
      <c r="HV53" s="1" t="e">
        <f t="shared" ca="1" si="84"/>
        <v>#N/A</v>
      </c>
      <c r="HW53" s="1" t="e">
        <f t="shared" ca="1" si="85"/>
        <v>#N/A</v>
      </c>
      <c r="HX53" s="1">
        <f t="shared" ca="1" si="86"/>
        <v>0</v>
      </c>
      <c r="HY53" s="1">
        <f t="shared" ca="1" si="160"/>
        <v>-10000000000</v>
      </c>
      <c r="HZ53" s="1">
        <f ca="1">RANK(HY53,HY$37:HY$62,HY$34)+COUNTIF(HY$37:HY53,HY53)-1</f>
        <v>17</v>
      </c>
      <c r="IA53" s="1">
        <f t="shared" ca="1" si="87"/>
        <v>17</v>
      </c>
      <c r="IB53" s="1">
        <f t="shared" ca="1" si="161"/>
        <v>0</v>
      </c>
      <c r="IC53" s="1">
        <f t="shared" ca="1" si="162"/>
        <v>1</v>
      </c>
      <c r="ID53" s="1" t="str">
        <f t="shared" ca="1" si="163"/>
        <v/>
      </c>
      <c r="IE53" s="1" t="str">
        <f t="shared" ca="1" si="164"/>
        <v/>
      </c>
      <c r="IF53" s="1" t="str">
        <f t="shared" ca="1" si="88"/>
        <v/>
      </c>
      <c r="IG53" s="1" t="str">
        <f t="shared" ca="1" si="89"/>
        <v/>
      </c>
    </row>
    <row r="54" spans="1:241" ht="10.15" x14ac:dyDescent="0.2">
      <c r="A54" s="1">
        <v>18</v>
      </c>
      <c r="B54" s="1" t="str">
        <f>tblCountries!E20</f>
        <v>NAC_NI_1</v>
      </c>
      <c r="C54" s="1" t="str">
        <f>tblCountries!C20</f>
        <v>Nicaragua</v>
      </c>
      <c r="D54" s="1">
        <f>tblCountries!D20</f>
        <v>1</v>
      </c>
      <c r="E54" s="1">
        <f>MATCH(CONCATENATE($B54,"_",INDEX($C$4:$C49,E$34)),lu_DataCode,0)</f>
        <v>23</v>
      </c>
      <c r="F54" s="1">
        <f t="shared" ca="1" si="165"/>
        <v>2012</v>
      </c>
      <c r="G54" s="1">
        <f t="shared" ca="1" si="166"/>
        <v>5</v>
      </c>
      <c r="H54" s="1">
        <f t="shared" ca="1" si="167"/>
        <v>1</v>
      </c>
      <c r="I54" s="1">
        <f t="shared" ca="1" si="90"/>
        <v>5</v>
      </c>
      <c r="J54" s="1">
        <f ca="1">RANK(I54,I$37:I$62,I$34)+COUNTIF(I$37:I54,I54)-1</f>
        <v>18</v>
      </c>
      <c r="K54" s="1">
        <f t="shared" ca="1" si="168"/>
        <v>18</v>
      </c>
      <c r="L54" s="1">
        <f t="shared" ca="1" si="169"/>
        <v>1</v>
      </c>
      <c r="M54" s="1">
        <f t="shared" ca="1" si="92"/>
        <v>1</v>
      </c>
      <c r="N54" s="1">
        <f t="shared" ca="1" si="93"/>
        <v>18</v>
      </c>
      <c r="O54" s="1" t="str">
        <f t="shared" ca="1" si="94"/>
        <v>Nicaragua</v>
      </c>
      <c r="P54" s="1">
        <f t="shared" ca="1" si="170"/>
        <v>5</v>
      </c>
      <c r="Q54" s="1">
        <f t="shared" ca="1" si="171"/>
        <v>2012</v>
      </c>
      <c r="U54" s="1">
        <f>MATCH(CONCATENATE($B54,"_",INDEX($C$4:$C49,U$34)),lu_DataCode,0)</f>
        <v>49</v>
      </c>
      <c r="V54" s="1">
        <f t="shared" ca="1" si="172"/>
        <v>2012</v>
      </c>
      <c r="W54" s="1">
        <f t="shared" ca="1" si="173"/>
        <v>5.9809999999999999</v>
      </c>
      <c r="X54" s="1">
        <f t="shared" ca="1" si="174"/>
        <v>1</v>
      </c>
      <c r="Y54" s="1">
        <f t="shared" ca="1" si="95"/>
        <v>5.9809999999999999</v>
      </c>
      <c r="Z54" s="1">
        <f ca="1">RANK(Y54,Y$37:Y$62,Y$34)+COUNTIF(Y$37:Y54,Y54)-1</f>
        <v>16</v>
      </c>
      <c r="AA54" s="1">
        <f t="shared" ca="1" si="175"/>
        <v>19</v>
      </c>
      <c r="AB54" s="1">
        <f t="shared" ca="1" si="176"/>
        <v>1</v>
      </c>
      <c r="AC54" s="1">
        <f t="shared" ca="1" si="97"/>
        <v>1</v>
      </c>
      <c r="AD54" s="1">
        <f t="shared" ca="1" si="98"/>
        <v>18</v>
      </c>
      <c r="AE54" s="1" t="str">
        <f t="shared" ca="1" si="99"/>
        <v>Panamá</v>
      </c>
      <c r="AF54" s="1">
        <f t="shared" ca="1" si="177"/>
        <v>3.6549999999999998</v>
      </c>
      <c r="AG54" s="1">
        <f t="shared" ca="1" si="178"/>
        <v>2012</v>
      </c>
      <c r="AK54" s="1">
        <f>MATCH(CONCATENATE($B54,"_",INDEX($C$4:$C49,AK$34)),lu_DataCode,0)</f>
        <v>75</v>
      </c>
      <c r="AL54" s="1">
        <f t="shared" ca="1" si="12"/>
        <v>2012</v>
      </c>
      <c r="AM54" s="1">
        <f t="shared" ca="1" si="13"/>
        <v>130370</v>
      </c>
      <c r="AN54" s="1">
        <f t="shared" ca="1" si="14"/>
        <v>1</v>
      </c>
      <c r="AO54" s="1">
        <f t="shared" ca="1" si="100"/>
        <v>130370</v>
      </c>
      <c r="AP54" s="1">
        <f ca="1">RANK(AO54,AO$37:AO$62,AO$34)+COUNTIF(AO$37:AO54,AO54)-1</f>
        <v>14</v>
      </c>
      <c r="AQ54" s="1">
        <f t="shared" ca="1" si="15"/>
        <v>9</v>
      </c>
      <c r="AR54" s="1">
        <f t="shared" ca="1" si="101"/>
        <v>1</v>
      </c>
      <c r="AS54" s="1">
        <f t="shared" ca="1" si="102"/>
        <v>1</v>
      </c>
      <c r="AT54" s="1">
        <f t="shared" ca="1" si="103"/>
        <v>18</v>
      </c>
      <c r="AU54" s="1" t="str">
        <f t="shared" ca="1" si="104"/>
        <v>Costa Rica</v>
      </c>
      <c r="AV54" s="1">
        <f t="shared" ca="1" si="16"/>
        <v>51100</v>
      </c>
      <c r="AW54" s="1">
        <f t="shared" ca="1" si="17"/>
        <v>2012</v>
      </c>
      <c r="BA54" s="1">
        <f>MATCH(CONCATENATE($B54,"_",INDEX($C$4:$C49,BA$34)),lu_DataCode,0)</f>
        <v>101</v>
      </c>
      <c r="BB54" s="1">
        <f t="shared" ca="1" si="18"/>
        <v>2012</v>
      </c>
      <c r="BC54" s="1">
        <f t="shared" ca="1" si="19"/>
        <v>10.506</v>
      </c>
      <c r="BD54" s="1">
        <f t="shared" ca="1" si="20"/>
        <v>1</v>
      </c>
      <c r="BE54" s="1">
        <f t="shared" ca="1" si="105"/>
        <v>10.506</v>
      </c>
      <c r="BF54" s="1">
        <f ca="1">RANK(BE54,BE$37:BE$62,BE$34)+COUNTIF(BE$37:BE54,BE54)-1</f>
        <v>20</v>
      </c>
      <c r="BG54" s="1">
        <f t="shared" ca="1" si="21"/>
        <v>15</v>
      </c>
      <c r="BH54" s="1">
        <f t="shared" ca="1" si="106"/>
        <v>1</v>
      </c>
      <c r="BI54" s="1">
        <f t="shared" ca="1" si="107"/>
        <v>1</v>
      </c>
      <c r="BJ54" s="1">
        <f t="shared" ca="1" si="108"/>
        <v>18</v>
      </c>
      <c r="BK54" s="1" t="str">
        <f t="shared" ca="1" si="109"/>
        <v>Honduras</v>
      </c>
      <c r="BL54" s="1">
        <f t="shared" ca="1" si="22"/>
        <v>18.388000000000002</v>
      </c>
      <c r="BM54" s="1">
        <f t="shared" ca="1" si="23"/>
        <v>2012</v>
      </c>
      <c r="BQ54" s="1">
        <f>MATCH(CONCATENATE($B54,"_",INDEX($C$4:$C49,BQ$34)),lu_DataCode,0)</f>
        <v>127</v>
      </c>
      <c r="BR54" s="1">
        <f t="shared" ca="1" si="24"/>
        <v>2012</v>
      </c>
      <c r="BS54" s="1">
        <f t="shared" ca="1" si="25"/>
        <v>26.666</v>
      </c>
      <c r="BT54" s="1">
        <f t="shared" ca="1" si="26"/>
        <v>1</v>
      </c>
      <c r="BU54" s="1">
        <f t="shared" ca="1" si="110"/>
        <v>26.666</v>
      </c>
      <c r="BV54" s="1">
        <f ca="1">RANK(BU54,BU$37:BU$62,BU$34)+COUNTIF(BU$37:BU54,BU54)-1</f>
        <v>19</v>
      </c>
      <c r="BW54" s="1">
        <f t="shared" ca="1" si="27"/>
        <v>24</v>
      </c>
      <c r="BX54" s="1">
        <f t="shared" ca="1" si="111"/>
        <v>1</v>
      </c>
      <c r="BY54" s="1">
        <f t="shared" ca="1" si="112"/>
        <v>1</v>
      </c>
      <c r="BZ54" s="1">
        <f t="shared" ca="1" si="113"/>
        <v>18</v>
      </c>
      <c r="CA54" s="1" t="str">
        <f t="shared" ca="1" si="114"/>
        <v>Trinidad and Tobago</v>
      </c>
      <c r="CB54" s="1">
        <f t="shared" ca="1" si="28"/>
        <v>26.696999999999999</v>
      </c>
      <c r="CC54" s="1">
        <f t="shared" ca="1" si="29"/>
        <v>2012</v>
      </c>
      <c r="CG54" s="1">
        <f>MATCH(CONCATENATE($B54,"_",INDEX($C$4:$C49,CG$34)),lu_DataCode,0)</f>
        <v>153</v>
      </c>
      <c r="CH54" s="1">
        <f t="shared" ca="1" si="30"/>
        <v>2012</v>
      </c>
      <c r="CI54" s="1">
        <f t="shared" ca="1" si="31"/>
        <v>0.39829999999999999</v>
      </c>
      <c r="CJ54" s="1">
        <f t="shared" ca="1" si="32"/>
        <v>1</v>
      </c>
      <c r="CK54" s="1">
        <f t="shared" ca="1" si="115"/>
        <v>0.39829999999999999</v>
      </c>
      <c r="CL54" s="1">
        <f ca="1">RANK(CK54,CK$37:CK$62,CK$34)+COUNTIF(CK$37:CK54,CK54)-1</f>
        <v>20</v>
      </c>
      <c r="CM54" s="1">
        <f t="shared" ca="1" si="33"/>
        <v>25</v>
      </c>
      <c r="CN54" s="1">
        <f t="shared" ca="1" si="116"/>
        <v>1</v>
      </c>
      <c r="CO54" s="1">
        <f t="shared" ca="1" si="117"/>
        <v>1</v>
      </c>
      <c r="CP54" s="1">
        <f t="shared" ca="1" si="118"/>
        <v>18</v>
      </c>
      <c r="CQ54" s="1" t="str">
        <f t="shared" ca="1" si="119"/>
        <v>Uruguay</v>
      </c>
      <c r="CR54" s="1">
        <f t="shared" ca="1" si="34"/>
        <v>0.59451360722281898</v>
      </c>
      <c r="CS54" s="1">
        <f t="shared" ca="1" si="35"/>
        <v>2012</v>
      </c>
      <c r="CW54" s="1">
        <f>MATCH(CONCATENATE($B54,"_",INDEX($C$4:$C49,CW$34)),lu_DataCode,0)</f>
        <v>178</v>
      </c>
      <c r="CX54" s="1">
        <f t="shared" ca="1" si="36"/>
        <v>2012</v>
      </c>
      <c r="CY54" s="1">
        <f t="shared" ca="1" si="37"/>
        <v>5.2900000000000003E-2</v>
      </c>
      <c r="CZ54" s="1">
        <f t="shared" ca="1" si="38"/>
        <v>1</v>
      </c>
      <c r="DA54" s="1">
        <f t="shared" ca="1" si="120"/>
        <v>5.2900000000000003E-2</v>
      </c>
      <c r="DB54" s="1">
        <f ca="1">RANK(DA54,DA$37:DA$62,DA$34)+COUNTIF(DA$37:DA54,DA54)-1</f>
        <v>20</v>
      </c>
      <c r="DC54" s="1">
        <f t="shared" ca="1" si="39"/>
        <v>15</v>
      </c>
      <c r="DD54" s="1">
        <f t="shared" ca="1" si="121"/>
        <v>1</v>
      </c>
      <c r="DE54" s="1">
        <f t="shared" ca="1" si="122"/>
        <v>1</v>
      </c>
      <c r="DF54" s="1">
        <f t="shared" ca="1" si="123"/>
        <v>18</v>
      </c>
      <c r="DG54" s="1" t="str">
        <f t="shared" ca="1" si="124"/>
        <v>Honduras</v>
      </c>
      <c r="DH54" s="1">
        <f t="shared" ca="1" si="40"/>
        <v>8.2199999999999995E-2</v>
      </c>
      <c r="DI54" s="1">
        <f t="shared" ca="1" si="41"/>
        <v>2012</v>
      </c>
      <c r="DM54" s="1">
        <f>MATCH(CONCATENATE($B54,"_",INDEX($C$4:$C49,DM$34)),lu_DataCode,0)</f>
        <v>203</v>
      </c>
      <c r="DN54" s="1">
        <f t="shared" ca="1" si="42"/>
        <v>2012</v>
      </c>
      <c r="DO54" s="1">
        <f t="shared" ca="1" si="43"/>
        <v>4.2699411999999999</v>
      </c>
      <c r="DP54" s="1">
        <f t="shared" ca="1" si="44"/>
        <v>1</v>
      </c>
      <c r="DQ54" s="1">
        <f t="shared" ca="1" si="125"/>
        <v>4.2699410000000002</v>
      </c>
      <c r="DR54" s="1">
        <f ca="1">RANK(DQ54,DQ$37:DQ$62,DQ$34)+COUNTIF(DQ$37:DQ54,DQ54)-1</f>
        <v>19</v>
      </c>
      <c r="DS54" s="1">
        <f t="shared" ca="1" si="45"/>
        <v>11</v>
      </c>
      <c r="DT54" s="1">
        <f t="shared" ca="1" si="126"/>
        <v>1</v>
      </c>
      <c r="DU54" s="1">
        <f t="shared" ca="1" si="127"/>
        <v>1</v>
      </c>
      <c r="DV54" s="1">
        <f t="shared" ca="1" si="128"/>
        <v>18</v>
      </c>
      <c r="DW54" s="1" t="str">
        <f t="shared" ca="1" si="129"/>
        <v>El Salvador</v>
      </c>
      <c r="DX54" s="1">
        <f t="shared" ca="1" si="46"/>
        <v>5.33908839331</v>
      </c>
      <c r="DY54" s="1">
        <f t="shared" ca="1" si="47"/>
        <v>2012</v>
      </c>
      <c r="EC54" s="1">
        <f>MATCH(CONCATENATE($B54,"_",INDEX($C$4:$C49,EC$34)),lu_DataCode,0)</f>
        <v>228</v>
      </c>
      <c r="ED54" s="1">
        <f t="shared" ca="1" si="48"/>
        <v>2012</v>
      </c>
      <c r="EE54" s="1">
        <f t="shared" ca="1" si="49"/>
        <v>1624135.206</v>
      </c>
      <c r="EF54" s="1">
        <f t="shared" ca="1" si="50"/>
        <v>1</v>
      </c>
      <c r="EG54" s="1">
        <f t="shared" ca="1" si="130"/>
        <v>1624135.206</v>
      </c>
      <c r="EH54" s="1">
        <f ca="1">RANK(EG54,EG$37:EG$62,EG$34)+COUNTIF(EG$37:EG54,EG54)-1</f>
        <v>22</v>
      </c>
      <c r="EI54" s="1">
        <f t="shared" ca="1" si="51"/>
        <v>11</v>
      </c>
      <c r="EJ54" s="1">
        <f t="shared" ca="1" si="131"/>
        <v>1</v>
      </c>
      <c r="EK54" s="1">
        <f t="shared" ca="1" si="132"/>
        <v>1</v>
      </c>
      <c r="EL54" s="1">
        <f t="shared" ca="1" si="133"/>
        <v>18</v>
      </c>
      <c r="EM54" s="1" t="str">
        <f t="shared" ca="1" si="134"/>
        <v>El Salvador</v>
      </c>
      <c r="EN54" s="1">
        <f t="shared" ca="1" si="52"/>
        <v>2838803.64756</v>
      </c>
      <c r="EO54" s="1">
        <f t="shared" ca="1" si="53"/>
        <v>2012</v>
      </c>
      <c r="ES54" s="1">
        <f>MATCH(CONCATENATE($B54,"_",INDEX($C$4:$C49,ES$34)),lu_DataCode,0)</f>
        <v>254</v>
      </c>
      <c r="ET54" s="1">
        <f t="shared" ca="1" si="54"/>
        <v>2012</v>
      </c>
      <c r="EU54" s="1">
        <f t="shared" ca="1" si="55"/>
        <v>6.5632222999999996</v>
      </c>
      <c r="EV54" s="1">
        <f t="shared" ca="1" si="56"/>
        <v>1</v>
      </c>
      <c r="EW54" s="1">
        <f t="shared" ca="1" si="135"/>
        <v>6.5632219999999997</v>
      </c>
      <c r="EX54" s="1">
        <f ca="1">RANK(EW54,EW$37:EW$62,EW$34)+COUNTIF(EW$37:EW54,EW54)-1</f>
        <v>19</v>
      </c>
      <c r="EY54" s="1">
        <f t="shared" ca="1" si="57"/>
        <v>5</v>
      </c>
      <c r="EZ54" s="1">
        <f t="shared" ca="1" si="136"/>
        <v>1</v>
      </c>
      <c r="FA54" s="1">
        <f t="shared" ca="1" si="137"/>
        <v>1</v>
      </c>
      <c r="FB54" s="1">
        <f t="shared" ca="1" si="138"/>
        <v>18</v>
      </c>
      <c r="FC54" s="1" t="str">
        <f t="shared" ca="1" si="139"/>
        <v>Bolivia</v>
      </c>
      <c r="FD54" s="1">
        <f t="shared" ca="1" si="58"/>
        <v>8.2590508000000007</v>
      </c>
      <c r="FE54" s="1">
        <f t="shared" ca="1" si="59"/>
        <v>2012</v>
      </c>
      <c r="FI54" s="1">
        <f>MATCH(CONCATENATE($B54,"_",INDEX($C$4:$C49,FI$34)),lu_DataCode,0)</f>
        <v>278</v>
      </c>
      <c r="FJ54" s="1">
        <f t="shared" ca="1" si="60"/>
        <v>2012</v>
      </c>
      <c r="FK54" s="1">
        <f t="shared" ca="1" si="61"/>
        <v>4246163.4800000004</v>
      </c>
      <c r="FL54" s="1">
        <f t="shared" ca="1" si="62"/>
        <v>1</v>
      </c>
      <c r="FM54" s="1">
        <f t="shared" ca="1" si="140"/>
        <v>4246163.4800000004</v>
      </c>
      <c r="FN54" s="1">
        <f ca="1">RANK(FM54,FM$37:FM$62,FM$34)+COUNTIF(FM$37:FM54,FM54)-1</f>
        <v>19</v>
      </c>
      <c r="FO54" s="1">
        <f t="shared" ca="1" si="63"/>
        <v>5</v>
      </c>
      <c r="FP54" s="1">
        <f t="shared" ca="1" si="141"/>
        <v>1</v>
      </c>
      <c r="FQ54" s="1">
        <f t="shared" ca="1" si="142"/>
        <v>1</v>
      </c>
      <c r="FR54" s="1">
        <f t="shared" ca="1" si="143"/>
        <v>18</v>
      </c>
      <c r="FS54" s="1" t="str">
        <f t="shared" ca="1" si="144"/>
        <v>Bolivia</v>
      </c>
      <c r="FT54" s="1">
        <f t="shared" ca="1" si="64"/>
        <v>4569815.2920000004</v>
      </c>
      <c r="FU54" s="1">
        <f t="shared" ca="1" si="65"/>
        <v>2012</v>
      </c>
      <c r="FY54" s="1" t="e">
        <f>MATCH(CONCATENATE($B54,"_",INDEX($C$4:$C49,FY$34)),lu_DataCode,0)</f>
        <v>#N/A</v>
      </c>
      <c r="FZ54" s="1" t="e">
        <f t="shared" ca="1" si="66"/>
        <v>#N/A</v>
      </c>
      <c r="GA54" s="1" t="e">
        <f t="shared" ca="1" si="67"/>
        <v>#N/A</v>
      </c>
      <c r="GB54" s="1">
        <f t="shared" ca="1" si="68"/>
        <v>0</v>
      </c>
      <c r="GC54" s="1">
        <f t="shared" ca="1" si="145"/>
        <v>-10000000000</v>
      </c>
      <c r="GD54" s="1">
        <f ca="1">RANK(GC54,GC$37:GC$62,GC$34)+COUNTIF(GC$37:GC54,GC54)-1</f>
        <v>18</v>
      </c>
      <c r="GE54" s="1">
        <f t="shared" ca="1" si="69"/>
        <v>18</v>
      </c>
      <c r="GF54" s="1">
        <f t="shared" ca="1" si="146"/>
        <v>0</v>
      </c>
      <c r="GG54" s="1">
        <f t="shared" ca="1" si="147"/>
        <v>1</v>
      </c>
      <c r="GH54" s="1" t="str">
        <f t="shared" ca="1" si="148"/>
        <v/>
      </c>
      <c r="GI54" s="1" t="str">
        <f t="shared" ca="1" si="149"/>
        <v/>
      </c>
      <c r="GJ54" s="1" t="str">
        <f t="shared" ca="1" si="70"/>
        <v/>
      </c>
      <c r="GK54" s="1" t="str">
        <f t="shared" ca="1" si="71"/>
        <v/>
      </c>
      <c r="GO54" s="1" t="e">
        <f>MATCH(CONCATENATE($B54,"_",INDEX($C$4:$C49,GO$34)),lu_DataCode,0)</f>
        <v>#N/A</v>
      </c>
      <c r="GP54" s="1" t="e">
        <f t="shared" ca="1" si="72"/>
        <v>#N/A</v>
      </c>
      <c r="GQ54" s="1" t="e">
        <f t="shared" ca="1" si="73"/>
        <v>#N/A</v>
      </c>
      <c r="GR54" s="1">
        <f t="shared" ca="1" si="74"/>
        <v>0</v>
      </c>
      <c r="GS54" s="1">
        <f t="shared" ca="1" si="150"/>
        <v>-10000000000</v>
      </c>
      <c r="GT54" s="1">
        <f ca="1">RANK(GS54,GS$37:GS$62,GS$34)+COUNTIF(GS$37:GS54,GS54)-1</f>
        <v>18</v>
      </c>
      <c r="GU54" s="1">
        <f t="shared" ca="1" si="75"/>
        <v>18</v>
      </c>
      <c r="GV54" s="1">
        <f t="shared" ca="1" si="151"/>
        <v>0</v>
      </c>
      <c r="GW54" s="1">
        <f t="shared" ca="1" si="152"/>
        <v>1</v>
      </c>
      <c r="GX54" s="1" t="str">
        <f t="shared" ca="1" si="153"/>
        <v/>
      </c>
      <c r="GY54" s="1" t="str">
        <f t="shared" ca="1" si="154"/>
        <v/>
      </c>
      <c r="GZ54" s="1" t="str">
        <f t="shared" ca="1" si="76"/>
        <v/>
      </c>
      <c r="HA54" s="1" t="str">
        <f t="shared" ca="1" si="77"/>
        <v/>
      </c>
      <c r="HE54" s="1" t="e">
        <f>MATCH(CONCATENATE($B54,"_",INDEX($C$4:$C49,HE$34)),lu_DataCode,0)</f>
        <v>#N/A</v>
      </c>
      <c r="HF54" s="1" t="e">
        <f t="shared" ca="1" si="78"/>
        <v>#N/A</v>
      </c>
      <c r="HG54" s="1" t="e">
        <f t="shared" ca="1" si="79"/>
        <v>#N/A</v>
      </c>
      <c r="HH54" s="1">
        <f t="shared" ca="1" si="80"/>
        <v>0</v>
      </c>
      <c r="HI54" s="1">
        <f t="shared" ca="1" si="155"/>
        <v>-10000000000</v>
      </c>
      <c r="HJ54" s="1">
        <f ca="1">RANK(HI54,HI$37:HI$62,HI$34)+COUNTIF(HI$37:HI54,HI54)-1</f>
        <v>18</v>
      </c>
      <c r="HK54" s="1">
        <f t="shared" ca="1" si="81"/>
        <v>18</v>
      </c>
      <c r="HL54" s="1">
        <f t="shared" ca="1" si="156"/>
        <v>0</v>
      </c>
      <c r="HM54" s="1">
        <f t="shared" ca="1" si="157"/>
        <v>1</v>
      </c>
      <c r="HN54" s="1" t="str">
        <f t="shared" ca="1" si="158"/>
        <v/>
      </c>
      <c r="HO54" s="1" t="str">
        <f t="shared" ca="1" si="159"/>
        <v/>
      </c>
      <c r="HP54" s="1" t="str">
        <f t="shared" ca="1" si="82"/>
        <v/>
      </c>
      <c r="HQ54" s="1" t="str">
        <f t="shared" ca="1" si="83"/>
        <v/>
      </c>
      <c r="HU54" s="1" t="e">
        <f>MATCH(CONCATENATE($B54,"_",INDEX($C$4:$C49,HU$34)),lu_DataCode,0)</f>
        <v>#N/A</v>
      </c>
      <c r="HV54" s="1" t="e">
        <f t="shared" ca="1" si="84"/>
        <v>#N/A</v>
      </c>
      <c r="HW54" s="1" t="e">
        <f t="shared" ca="1" si="85"/>
        <v>#N/A</v>
      </c>
      <c r="HX54" s="1">
        <f t="shared" ca="1" si="86"/>
        <v>0</v>
      </c>
      <c r="HY54" s="1">
        <f t="shared" ca="1" si="160"/>
        <v>-10000000000</v>
      </c>
      <c r="HZ54" s="1">
        <f ca="1">RANK(HY54,HY$37:HY$62,HY$34)+COUNTIF(HY$37:HY54,HY54)-1</f>
        <v>18</v>
      </c>
      <c r="IA54" s="1">
        <f t="shared" ca="1" si="87"/>
        <v>18</v>
      </c>
      <c r="IB54" s="1">
        <f t="shared" ca="1" si="161"/>
        <v>0</v>
      </c>
      <c r="IC54" s="1">
        <f t="shared" ca="1" si="162"/>
        <v>1</v>
      </c>
      <c r="ID54" s="1" t="str">
        <f t="shared" ca="1" si="163"/>
        <v/>
      </c>
      <c r="IE54" s="1" t="str">
        <f t="shared" ca="1" si="164"/>
        <v/>
      </c>
      <c r="IF54" s="1" t="str">
        <f t="shared" ca="1" si="88"/>
        <v/>
      </c>
      <c r="IG54" s="1" t="str">
        <f t="shared" ca="1" si="89"/>
        <v/>
      </c>
    </row>
    <row r="55" spans="1:241" ht="10.15" x14ac:dyDescent="0.2">
      <c r="A55" s="1">
        <v>19</v>
      </c>
      <c r="B55" s="1" t="str">
        <f>tblCountries!E21</f>
        <v>NAC_PA_1</v>
      </c>
      <c r="C55" s="1" t="str">
        <f>tblCountries!C21</f>
        <v>Panamá</v>
      </c>
      <c r="D55" s="1">
        <f>tblCountries!D21</f>
        <v>1</v>
      </c>
      <c r="E55" s="1">
        <f>MATCH(CONCATENATE($B55,"_",INDEX($C$4:$C50,E$34)),lu_DataCode,0)</f>
        <v>24</v>
      </c>
      <c r="F55" s="1">
        <f t="shared" ca="1" si="165"/>
        <v>2012</v>
      </c>
      <c r="G55" s="1">
        <f t="shared" ca="1" si="166"/>
        <v>17.599999999999998</v>
      </c>
      <c r="H55" s="1">
        <f t="shared" ca="1" si="167"/>
        <v>1</v>
      </c>
      <c r="I55" s="1">
        <f t="shared" ca="1" si="90"/>
        <v>17.600000000000001</v>
      </c>
      <c r="J55" s="1">
        <f ca="1">RANK(I55,I$37:I$62,I$34)+COUNTIF(I$37:I55,I55)-1</f>
        <v>1</v>
      </c>
      <c r="K55" s="1">
        <f t="shared" ca="1" si="168"/>
        <v>6</v>
      </c>
      <c r="L55" s="1">
        <f t="shared" ca="1" si="169"/>
        <v>1</v>
      </c>
      <c r="M55" s="1">
        <f t="shared" ca="1" si="92"/>
        <v>1</v>
      </c>
      <c r="N55" s="1">
        <f t="shared" ca="1" si="93"/>
        <v>19</v>
      </c>
      <c r="O55" s="1" t="str">
        <f t="shared" ca="1" si="94"/>
        <v>Brasil</v>
      </c>
      <c r="P55" s="1">
        <f t="shared" ca="1" si="170"/>
        <v>4.5281547327290106</v>
      </c>
      <c r="Q55" s="1">
        <f t="shared" ca="1" si="171"/>
        <v>2012</v>
      </c>
      <c r="U55" s="1">
        <f>MATCH(CONCATENATE($B55,"_",INDEX($C$4:$C50,U$34)),lu_DataCode,0)</f>
        <v>50</v>
      </c>
      <c r="V55" s="1">
        <f t="shared" ca="1" si="172"/>
        <v>2012</v>
      </c>
      <c r="W55" s="1">
        <f t="shared" ca="1" si="173"/>
        <v>3.6549999999999998</v>
      </c>
      <c r="X55" s="1">
        <f t="shared" ca="1" si="174"/>
        <v>1</v>
      </c>
      <c r="Y55" s="1">
        <f t="shared" ca="1" si="95"/>
        <v>3.6549999999999998</v>
      </c>
      <c r="Z55" s="1">
        <f ca="1">RANK(Y55,Y$37:Y$62,Y$34)+COUNTIF(Y$37:Y55,Y55)-1</f>
        <v>18</v>
      </c>
      <c r="AA55" s="1">
        <f t="shared" ca="1" si="175"/>
        <v>25</v>
      </c>
      <c r="AB55" s="1">
        <f t="shared" ca="1" si="176"/>
        <v>1</v>
      </c>
      <c r="AC55" s="1">
        <f t="shared" ca="1" si="97"/>
        <v>1</v>
      </c>
      <c r="AD55" s="1">
        <f t="shared" ca="1" si="98"/>
        <v>19</v>
      </c>
      <c r="AE55" s="1" t="str">
        <f t="shared" ca="1" si="99"/>
        <v>Uruguay</v>
      </c>
      <c r="AF55" s="1">
        <f t="shared" ca="1" si="177"/>
        <v>3.3809999999999998</v>
      </c>
      <c r="AG55" s="1">
        <f t="shared" ca="1" si="178"/>
        <v>2012</v>
      </c>
      <c r="AK55" s="1">
        <f>MATCH(CONCATENATE($B55,"_",INDEX($C$4:$C50,AK$34)),lu_DataCode,0)</f>
        <v>76</v>
      </c>
      <c r="AL55" s="1">
        <f t="shared" ca="1" si="12"/>
        <v>2012</v>
      </c>
      <c r="AM55" s="1">
        <f t="shared" ca="1" si="13"/>
        <v>75420</v>
      </c>
      <c r="AN55" s="1">
        <f t="shared" ca="1" si="14"/>
        <v>1</v>
      </c>
      <c r="AO55" s="1">
        <f t="shared" ca="1" si="100"/>
        <v>75420</v>
      </c>
      <c r="AP55" s="1">
        <f ca="1">RANK(AO55,AO$37:AO$62,AO$34)+COUNTIF(AO$37:AO55,AO55)-1</f>
        <v>17</v>
      </c>
      <c r="AQ55" s="1">
        <f t="shared" ca="1" si="15"/>
        <v>22</v>
      </c>
      <c r="AR55" s="1">
        <f t="shared" ca="1" si="101"/>
        <v>1</v>
      </c>
      <c r="AS55" s="1">
        <f t="shared" ca="1" si="102"/>
        <v>1</v>
      </c>
      <c r="AT55" s="1">
        <f t="shared" ca="1" si="103"/>
        <v>19</v>
      </c>
      <c r="AU55" s="1" t="str">
        <f t="shared" ca="1" si="104"/>
        <v>Dominican Republic</v>
      </c>
      <c r="AV55" s="1">
        <f t="shared" ca="1" si="16"/>
        <v>48670</v>
      </c>
      <c r="AW55" s="1">
        <f t="shared" ca="1" si="17"/>
        <v>2012</v>
      </c>
      <c r="BA55" s="1">
        <f>MATCH(CONCATENATE($B55,"_",INDEX($C$4:$C50,BA$34)),lu_DataCode,0)</f>
        <v>102</v>
      </c>
      <c r="BB55" s="1">
        <f t="shared" ca="1" si="18"/>
        <v>2012</v>
      </c>
      <c r="BC55" s="1">
        <f t="shared" ca="1" si="19"/>
        <v>36.253</v>
      </c>
      <c r="BD55" s="1">
        <f t="shared" ca="1" si="20"/>
        <v>1</v>
      </c>
      <c r="BE55" s="1">
        <f t="shared" ca="1" si="105"/>
        <v>36.253</v>
      </c>
      <c r="BF55" s="1">
        <f ca="1">RANK(BE55,BE$37:BE$62,BE$34)+COUNTIF(BE$37:BE55,BE55)-1</f>
        <v>13</v>
      </c>
      <c r="BG55" s="1">
        <f t="shared" ca="1" si="21"/>
        <v>16</v>
      </c>
      <c r="BH55" s="1">
        <f t="shared" ca="1" si="106"/>
        <v>1</v>
      </c>
      <c r="BI55" s="1">
        <f t="shared" ca="1" si="107"/>
        <v>1</v>
      </c>
      <c r="BJ55" s="1">
        <f t="shared" ca="1" si="108"/>
        <v>19</v>
      </c>
      <c r="BK55" s="1" t="str">
        <f t="shared" ca="1" si="109"/>
        <v>Jamaica</v>
      </c>
      <c r="BL55" s="1">
        <f t="shared" ca="1" si="22"/>
        <v>15.262</v>
      </c>
      <c r="BM55" s="1">
        <f t="shared" ca="1" si="23"/>
        <v>2012</v>
      </c>
      <c r="BQ55" s="1">
        <f>MATCH(CONCATENATE($B55,"_",INDEX($C$4:$C50,BQ$34)),lu_DataCode,0)</f>
        <v>128</v>
      </c>
      <c r="BR55" s="1">
        <f t="shared" ca="1" si="24"/>
        <v>2012</v>
      </c>
      <c r="BS55" s="1">
        <f t="shared" ca="1" si="25"/>
        <v>57.079000000000001</v>
      </c>
      <c r="BT55" s="1">
        <f t="shared" ca="1" si="26"/>
        <v>1</v>
      </c>
      <c r="BU55" s="1">
        <f t="shared" ca="1" si="110"/>
        <v>57.079000000000001</v>
      </c>
      <c r="BV55" s="1">
        <f ca="1">RANK(BU55,BU$37:BU$62,BU$34)+COUNTIF(BU$37:BU55,BU55)-1</f>
        <v>12</v>
      </c>
      <c r="BW55" s="1">
        <f t="shared" ca="1" si="27"/>
        <v>18</v>
      </c>
      <c r="BX55" s="1">
        <f t="shared" ca="1" si="111"/>
        <v>1</v>
      </c>
      <c r="BY55" s="1">
        <f t="shared" ca="1" si="112"/>
        <v>1</v>
      </c>
      <c r="BZ55" s="1">
        <f t="shared" ca="1" si="113"/>
        <v>19</v>
      </c>
      <c r="CA55" s="1" t="str">
        <f t="shared" ca="1" si="114"/>
        <v>Nicaragua</v>
      </c>
      <c r="CB55" s="1">
        <f t="shared" ca="1" si="28"/>
        <v>26.666</v>
      </c>
      <c r="CC55" s="1">
        <f t="shared" ca="1" si="29"/>
        <v>2012</v>
      </c>
      <c r="CG55" s="1">
        <f>MATCH(CONCATENATE($B55,"_",INDEX($C$4:$C50,CG$34)),lu_DataCode,0)</f>
        <v>154</v>
      </c>
      <c r="CH55" s="1">
        <f t="shared" ca="1" si="30"/>
        <v>2012</v>
      </c>
      <c r="CI55" s="1">
        <f t="shared" ca="1" si="31"/>
        <v>1.9410000000000001</v>
      </c>
      <c r="CJ55" s="1">
        <f t="shared" ca="1" si="32"/>
        <v>1</v>
      </c>
      <c r="CK55" s="1">
        <f t="shared" ca="1" si="115"/>
        <v>1.9410000000000001</v>
      </c>
      <c r="CL55" s="1">
        <f ca="1">RANK(CK55,CK$37:CK$62,CK$34)+COUNTIF(CK$37:CK55,CK55)-1</f>
        <v>9</v>
      </c>
      <c r="CM55" s="1">
        <f t="shared" ca="1" si="33"/>
        <v>11</v>
      </c>
      <c r="CN55" s="1">
        <f t="shared" ca="1" si="116"/>
        <v>1</v>
      </c>
      <c r="CO55" s="1">
        <f t="shared" ca="1" si="117"/>
        <v>1</v>
      </c>
      <c r="CP55" s="1">
        <f t="shared" ca="1" si="118"/>
        <v>19</v>
      </c>
      <c r="CQ55" s="1" t="str">
        <f t="shared" ca="1" si="119"/>
        <v>El Salvador</v>
      </c>
      <c r="CR55" s="1">
        <f t="shared" ca="1" si="34"/>
        <v>0.53259999999999996</v>
      </c>
      <c r="CS55" s="1">
        <f t="shared" ca="1" si="35"/>
        <v>2012</v>
      </c>
      <c r="CW55" s="1">
        <f>MATCH(CONCATENATE($B55,"_",INDEX($C$4:$C50,CW$34)),lu_DataCode,0)</f>
        <v>179</v>
      </c>
      <c r="CX55" s="1">
        <f t="shared" ca="1" si="36"/>
        <v>2012</v>
      </c>
      <c r="CY55" s="1">
        <f t="shared" ca="1" si="37"/>
        <v>4.5293999999999999</v>
      </c>
      <c r="CZ55" s="1">
        <f t="shared" ca="1" si="38"/>
        <v>1</v>
      </c>
      <c r="DA55" s="1">
        <f t="shared" ca="1" si="120"/>
        <v>4.5293999999999999</v>
      </c>
      <c r="DB55" s="1">
        <f ca="1">RANK(DA55,DA$37:DA$62,DA$34)+COUNTIF(DA$37:DA55,DA55)-1</f>
        <v>3</v>
      </c>
      <c r="DC55" s="1">
        <f t="shared" ca="1" si="39"/>
        <v>5</v>
      </c>
      <c r="DD55" s="1">
        <f t="shared" ca="1" si="121"/>
        <v>1</v>
      </c>
      <c r="DE55" s="1">
        <f t="shared" ca="1" si="122"/>
        <v>1</v>
      </c>
      <c r="DF55" s="1">
        <f t="shared" ca="1" si="123"/>
        <v>19</v>
      </c>
      <c r="DG55" s="1" t="str">
        <f t="shared" ca="1" si="124"/>
        <v>Bolivia</v>
      </c>
      <c r="DH55" s="1">
        <f t="shared" ca="1" si="40"/>
        <v>7.0767499999999997E-2</v>
      </c>
      <c r="DI55" s="1">
        <f t="shared" ca="1" si="41"/>
        <v>2012</v>
      </c>
      <c r="DM55" s="1">
        <f>MATCH(CONCATENATE($B55,"_",INDEX($C$4:$C50,DM$34)),lu_DataCode,0)</f>
        <v>204</v>
      </c>
      <c r="DN55" s="1">
        <f t="shared" ca="1" si="42"/>
        <v>2012</v>
      </c>
      <c r="DO55" s="1">
        <f t="shared" ca="1" si="43"/>
        <v>18.024983800000001</v>
      </c>
      <c r="DP55" s="1">
        <f t="shared" ca="1" si="44"/>
        <v>1</v>
      </c>
      <c r="DQ55" s="1">
        <f t="shared" ca="1" si="125"/>
        <v>18.024984</v>
      </c>
      <c r="DR55" s="1">
        <f ca="1">RANK(DQ55,DQ$37:DQ$62,DQ$34)+COUNTIF(DQ$37:DQ55,DQ55)-1</f>
        <v>9</v>
      </c>
      <c r="DS55" s="1">
        <f t="shared" ca="1" si="45"/>
        <v>18</v>
      </c>
      <c r="DT55" s="1">
        <f t="shared" ca="1" si="126"/>
        <v>1</v>
      </c>
      <c r="DU55" s="1">
        <f t="shared" ca="1" si="127"/>
        <v>1</v>
      </c>
      <c r="DV55" s="1">
        <f t="shared" ca="1" si="128"/>
        <v>19</v>
      </c>
      <c r="DW55" s="1" t="str">
        <f t="shared" ca="1" si="129"/>
        <v>Nicaragua</v>
      </c>
      <c r="DX55" s="1">
        <f t="shared" ca="1" si="46"/>
        <v>4.2699411999999999</v>
      </c>
      <c r="DY55" s="1">
        <f t="shared" ca="1" si="47"/>
        <v>2012</v>
      </c>
      <c r="EC55" s="1">
        <f>MATCH(CONCATENATE($B55,"_",INDEX($C$4:$C50,EC$34)),lu_DataCode,0)</f>
        <v>229</v>
      </c>
      <c r="ED55" s="1">
        <f t="shared" ca="1" si="48"/>
        <v>2012</v>
      </c>
      <c r="EE55" s="1">
        <f t="shared" ca="1" si="49"/>
        <v>2365909.659</v>
      </c>
      <c r="EF55" s="1">
        <f t="shared" ca="1" si="50"/>
        <v>1</v>
      </c>
      <c r="EG55" s="1">
        <f t="shared" ca="1" si="130"/>
        <v>2365909.659</v>
      </c>
      <c r="EH55" s="1">
        <f ca="1">RANK(EG55,EG$37:EG$62,EG$34)+COUNTIF(EG$37:EG55,EG55)-1</f>
        <v>20</v>
      </c>
      <c r="EI55" s="1">
        <f t="shared" ca="1" si="51"/>
        <v>2</v>
      </c>
      <c r="EJ55" s="1">
        <f t="shared" ca="1" si="131"/>
        <v>1</v>
      </c>
      <c r="EK55" s="1">
        <f t="shared" ca="1" si="132"/>
        <v>1</v>
      </c>
      <c r="EL55" s="1">
        <f t="shared" ca="1" si="133"/>
        <v>19</v>
      </c>
      <c r="EM55" s="1" t="str">
        <f t="shared" ca="1" si="134"/>
        <v>Bahamas</v>
      </c>
      <c r="EN55" s="1">
        <f t="shared" ca="1" si="52"/>
        <v>2795797.8879999998</v>
      </c>
      <c r="EO55" s="1">
        <f t="shared" ca="1" si="53"/>
        <v>2012</v>
      </c>
      <c r="ES55" s="1">
        <f>MATCH(CONCATENATE($B55,"_",INDEX($C$4:$C50,ES$34)),lu_DataCode,0)</f>
        <v>255</v>
      </c>
      <c r="ET55" s="1">
        <f t="shared" ca="1" si="54"/>
        <v>2012</v>
      </c>
      <c r="EU55" s="1">
        <f t="shared" ca="1" si="55"/>
        <v>24.321147100000001</v>
      </c>
      <c r="EV55" s="1">
        <f t="shared" ca="1" si="56"/>
        <v>1</v>
      </c>
      <c r="EW55" s="1">
        <f t="shared" ca="1" si="135"/>
        <v>24.321147</v>
      </c>
      <c r="EX55" s="1">
        <f ca="1">RANK(EW55,EW$37:EW$62,EW$34)+COUNTIF(EW$37:EW55,EW55)-1</f>
        <v>9</v>
      </c>
      <c r="EY55" s="1">
        <f t="shared" ca="1" si="57"/>
        <v>18</v>
      </c>
      <c r="EZ55" s="1">
        <f t="shared" ca="1" si="136"/>
        <v>1</v>
      </c>
      <c r="FA55" s="1">
        <f t="shared" ca="1" si="137"/>
        <v>1</v>
      </c>
      <c r="FB55" s="1">
        <f t="shared" ca="1" si="138"/>
        <v>19</v>
      </c>
      <c r="FC55" s="1" t="str">
        <f t="shared" ca="1" si="139"/>
        <v>Nicaragua</v>
      </c>
      <c r="FD55" s="1">
        <f t="shared" ca="1" si="58"/>
        <v>6.5632222999999996</v>
      </c>
      <c r="FE55" s="1">
        <f t="shared" ca="1" si="59"/>
        <v>2012</v>
      </c>
      <c r="FI55" s="1">
        <f>MATCH(CONCATENATE($B55,"_",INDEX($C$4:$C50,FI$34)),lu_DataCode,0)</f>
        <v>279</v>
      </c>
      <c r="FJ55" s="1">
        <f t="shared" ca="1" si="60"/>
        <v>2012</v>
      </c>
      <c r="FK55" s="1">
        <f t="shared" ca="1" si="61"/>
        <v>8243321.2489999998</v>
      </c>
      <c r="FL55" s="1">
        <f t="shared" ca="1" si="62"/>
        <v>1</v>
      </c>
      <c r="FM55" s="1">
        <f t="shared" ca="1" si="140"/>
        <v>8243321.2489999998</v>
      </c>
      <c r="FN55" s="1">
        <f ca="1">RANK(FM55,FM$37:FM$62,FM$34)+COUNTIF(FM$37:FM55,FM55)-1</f>
        <v>11</v>
      </c>
      <c r="FO55" s="1">
        <f t="shared" ca="1" si="63"/>
        <v>18</v>
      </c>
      <c r="FP55" s="1">
        <f t="shared" ca="1" si="141"/>
        <v>1</v>
      </c>
      <c r="FQ55" s="1">
        <f t="shared" ca="1" si="142"/>
        <v>1</v>
      </c>
      <c r="FR55" s="1">
        <f t="shared" ca="1" si="143"/>
        <v>19</v>
      </c>
      <c r="FS55" s="1" t="str">
        <f t="shared" ca="1" si="144"/>
        <v>Nicaragua</v>
      </c>
      <c r="FT55" s="1">
        <f t="shared" ca="1" si="64"/>
        <v>4246163.4800000004</v>
      </c>
      <c r="FU55" s="1">
        <f t="shared" ca="1" si="65"/>
        <v>2012</v>
      </c>
      <c r="FY55" s="1" t="e">
        <f>MATCH(CONCATENATE($B55,"_",INDEX($C$4:$C50,FY$34)),lu_DataCode,0)</f>
        <v>#N/A</v>
      </c>
      <c r="FZ55" s="1" t="e">
        <f t="shared" ca="1" si="66"/>
        <v>#N/A</v>
      </c>
      <c r="GA55" s="1" t="e">
        <f t="shared" ca="1" si="67"/>
        <v>#N/A</v>
      </c>
      <c r="GB55" s="1">
        <f t="shared" ca="1" si="68"/>
        <v>0</v>
      </c>
      <c r="GC55" s="1">
        <f t="shared" ca="1" si="145"/>
        <v>-10000000000</v>
      </c>
      <c r="GD55" s="1">
        <f ca="1">RANK(GC55,GC$37:GC$62,GC$34)+COUNTIF(GC$37:GC55,GC55)-1</f>
        <v>19</v>
      </c>
      <c r="GE55" s="1">
        <f t="shared" ca="1" si="69"/>
        <v>19</v>
      </c>
      <c r="GF55" s="1">
        <f t="shared" ca="1" si="146"/>
        <v>0</v>
      </c>
      <c r="GG55" s="1">
        <f t="shared" ca="1" si="147"/>
        <v>1</v>
      </c>
      <c r="GH55" s="1" t="str">
        <f t="shared" ca="1" si="148"/>
        <v/>
      </c>
      <c r="GI55" s="1" t="str">
        <f t="shared" ca="1" si="149"/>
        <v/>
      </c>
      <c r="GJ55" s="1" t="str">
        <f t="shared" ca="1" si="70"/>
        <v/>
      </c>
      <c r="GK55" s="1" t="str">
        <f t="shared" ca="1" si="71"/>
        <v/>
      </c>
      <c r="GO55" s="1" t="e">
        <f>MATCH(CONCATENATE($B55,"_",INDEX($C$4:$C50,GO$34)),lu_DataCode,0)</f>
        <v>#N/A</v>
      </c>
      <c r="GP55" s="1" t="e">
        <f t="shared" ca="1" si="72"/>
        <v>#N/A</v>
      </c>
      <c r="GQ55" s="1" t="e">
        <f t="shared" ca="1" si="73"/>
        <v>#N/A</v>
      </c>
      <c r="GR55" s="1">
        <f t="shared" ca="1" si="74"/>
        <v>0</v>
      </c>
      <c r="GS55" s="1">
        <f t="shared" ca="1" si="150"/>
        <v>-10000000000</v>
      </c>
      <c r="GT55" s="1">
        <f ca="1">RANK(GS55,GS$37:GS$62,GS$34)+COUNTIF(GS$37:GS55,GS55)-1</f>
        <v>19</v>
      </c>
      <c r="GU55" s="1">
        <f t="shared" ca="1" si="75"/>
        <v>19</v>
      </c>
      <c r="GV55" s="1">
        <f t="shared" ca="1" si="151"/>
        <v>0</v>
      </c>
      <c r="GW55" s="1">
        <f t="shared" ca="1" si="152"/>
        <v>1</v>
      </c>
      <c r="GX55" s="1" t="str">
        <f t="shared" ca="1" si="153"/>
        <v/>
      </c>
      <c r="GY55" s="1" t="str">
        <f t="shared" ca="1" si="154"/>
        <v/>
      </c>
      <c r="GZ55" s="1" t="str">
        <f t="shared" ca="1" si="76"/>
        <v/>
      </c>
      <c r="HA55" s="1" t="str">
        <f t="shared" ca="1" si="77"/>
        <v/>
      </c>
      <c r="HE55" s="1" t="e">
        <f>MATCH(CONCATENATE($B55,"_",INDEX($C$4:$C50,HE$34)),lu_DataCode,0)</f>
        <v>#N/A</v>
      </c>
      <c r="HF55" s="1" t="e">
        <f t="shared" ca="1" si="78"/>
        <v>#N/A</v>
      </c>
      <c r="HG55" s="1" t="e">
        <f t="shared" ca="1" si="79"/>
        <v>#N/A</v>
      </c>
      <c r="HH55" s="1">
        <f t="shared" ca="1" si="80"/>
        <v>0</v>
      </c>
      <c r="HI55" s="1">
        <f t="shared" ca="1" si="155"/>
        <v>-10000000000</v>
      </c>
      <c r="HJ55" s="1">
        <f ca="1">RANK(HI55,HI$37:HI$62,HI$34)+COUNTIF(HI$37:HI55,HI55)-1</f>
        <v>19</v>
      </c>
      <c r="HK55" s="1">
        <f t="shared" ca="1" si="81"/>
        <v>19</v>
      </c>
      <c r="HL55" s="1">
        <f t="shared" ca="1" si="156"/>
        <v>0</v>
      </c>
      <c r="HM55" s="1">
        <f t="shared" ca="1" si="157"/>
        <v>1</v>
      </c>
      <c r="HN55" s="1" t="str">
        <f t="shared" ca="1" si="158"/>
        <v/>
      </c>
      <c r="HO55" s="1" t="str">
        <f t="shared" ca="1" si="159"/>
        <v/>
      </c>
      <c r="HP55" s="1" t="str">
        <f t="shared" ca="1" si="82"/>
        <v/>
      </c>
      <c r="HQ55" s="1" t="str">
        <f t="shared" ca="1" si="83"/>
        <v/>
      </c>
      <c r="HU55" s="1" t="e">
        <f>MATCH(CONCATENATE($B55,"_",INDEX($C$4:$C50,HU$34)),lu_DataCode,0)</f>
        <v>#N/A</v>
      </c>
      <c r="HV55" s="1" t="e">
        <f t="shared" ca="1" si="84"/>
        <v>#N/A</v>
      </c>
      <c r="HW55" s="1" t="e">
        <f t="shared" ca="1" si="85"/>
        <v>#N/A</v>
      </c>
      <c r="HX55" s="1">
        <f t="shared" ca="1" si="86"/>
        <v>0</v>
      </c>
      <c r="HY55" s="1">
        <f t="shared" ca="1" si="160"/>
        <v>-10000000000</v>
      </c>
      <c r="HZ55" s="1">
        <f ca="1">RANK(HY55,HY$37:HY$62,HY$34)+COUNTIF(HY$37:HY55,HY55)-1</f>
        <v>19</v>
      </c>
      <c r="IA55" s="1">
        <f t="shared" ca="1" si="87"/>
        <v>19</v>
      </c>
      <c r="IB55" s="1">
        <f t="shared" ca="1" si="161"/>
        <v>0</v>
      </c>
      <c r="IC55" s="1">
        <f t="shared" ca="1" si="162"/>
        <v>1</v>
      </c>
      <c r="ID55" s="1" t="str">
        <f t="shared" ca="1" si="163"/>
        <v/>
      </c>
      <c r="IE55" s="1" t="str">
        <f t="shared" ca="1" si="164"/>
        <v/>
      </c>
      <c r="IF55" s="1" t="str">
        <f t="shared" ca="1" si="88"/>
        <v/>
      </c>
      <c r="IG55" s="1" t="str">
        <f t="shared" ca="1" si="89"/>
        <v/>
      </c>
    </row>
    <row r="56" spans="1:241" ht="10.15" x14ac:dyDescent="0.2">
      <c r="A56" s="1">
        <v>20</v>
      </c>
      <c r="B56" s="1" t="str">
        <f>tblCountries!E22</f>
        <v>NAC_PY_1</v>
      </c>
      <c r="C56" s="1" t="str">
        <f>tblCountries!C22</f>
        <v>Paraguay</v>
      </c>
      <c r="D56" s="1">
        <f>tblCountries!D22</f>
        <v>1</v>
      </c>
      <c r="E56" s="1">
        <f>MATCH(CONCATENATE($B56,"_",INDEX($C$4:$C51,E$34)),lu_DataCode,0)</f>
        <v>12</v>
      </c>
      <c r="F56" s="1">
        <f t="shared" ca="1" si="165"/>
        <v>2012</v>
      </c>
      <c r="G56" s="1">
        <f t="shared" ca="1" si="166"/>
        <v>2.4994499559909897</v>
      </c>
      <c r="H56" s="1">
        <f t="shared" ca="1" si="167"/>
        <v>1</v>
      </c>
      <c r="I56" s="1">
        <f t="shared" ca="1" si="90"/>
        <v>2.4994499999999999</v>
      </c>
      <c r="J56" s="1">
        <f ca="1">RANK(I56,I$37:I$62,I$34)+COUNTIF(I$37:I56,I56)-1</f>
        <v>25</v>
      </c>
      <c r="K56" s="1">
        <f t="shared" ca="1" si="168"/>
        <v>25</v>
      </c>
      <c r="L56" s="1">
        <f t="shared" ca="1" si="169"/>
        <v>1</v>
      </c>
      <c r="M56" s="1">
        <f t="shared" ca="1" si="92"/>
        <v>1</v>
      </c>
      <c r="N56" s="1">
        <f t="shared" ca="1" si="93"/>
        <v>20</v>
      </c>
      <c r="O56" s="1" t="str">
        <f t="shared" ca="1" si="94"/>
        <v>Uruguay</v>
      </c>
      <c r="P56" s="1">
        <f t="shared" ca="1" si="170"/>
        <v>4.3444985270182999</v>
      </c>
      <c r="Q56" s="1">
        <f t="shared" ca="1" si="171"/>
        <v>2012</v>
      </c>
      <c r="U56" s="1">
        <f>MATCH(CONCATENATE($B56,"_",INDEX($C$4:$C51,U$34)),lu_DataCode,0)</f>
        <v>37</v>
      </c>
      <c r="V56" s="1">
        <f t="shared" ca="1" si="172"/>
        <v>2012</v>
      </c>
      <c r="W56" s="1">
        <f t="shared" ca="1" si="173"/>
        <v>6.6820320000000004</v>
      </c>
      <c r="X56" s="1">
        <f t="shared" ca="1" si="174"/>
        <v>1</v>
      </c>
      <c r="Y56" s="1">
        <f t="shared" ca="1" si="95"/>
        <v>6.6820320000000004</v>
      </c>
      <c r="Z56" s="1">
        <f ca="1">RANK(Y56,Y$37:Y$62,Y$34)+COUNTIF(Y$37:Y56,Y56)-1</f>
        <v>14</v>
      </c>
      <c r="AA56" s="1">
        <f t="shared" ca="1" si="175"/>
        <v>16</v>
      </c>
      <c r="AB56" s="1">
        <f t="shared" ca="1" si="176"/>
        <v>1</v>
      </c>
      <c r="AC56" s="1">
        <f t="shared" ca="1" si="97"/>
        <v>1</v>
      </c>
      <c r="AD56" s="1">
        <f t="shared" ca="1" si="98"/>
        <v>20</v>
      </c>
      <c r="AE56" s="1" t="str">
        <f t="shared" ca="1" si="99"/>
        <v>Jamaica</v>
      </c>
      <c r="AF56" s="1">
        <f t="shared" ca="1" si="177"/>
        <v>2.7114760000000002</v>
      </c>
      <c r="AG56" s="1">
        <f t="shared" ca="1" si="178"/>
        <v>2012</v>
      </c>
      <c r="AK56" s="1">
        <f>MATCH(CONCATENATE($B56,"_",INDEX($C$4:$C51,AK$34)),lu_DataCode,0)</f>
        <v>63</v>
      </c>
      <c r="AL56" s="1">
        <f t="shared" ca="1" si="12"/>
        <v>2012</v>
      </c>
      <c r="AM56" s="1">
        <f t="shared" ca="1" si="13"/>
        <v>406750</v>
      </c>
      <c r="AN56" s="1">
        <f t="shared" ca="1" si="14"/>
        <v>1</v>
      </c>
      <c r="AO56" s="1">
        <f t="shared" ca="1" si="100"/>
        <v>406750</v>
      </c>
      <c r="AP56" s="1">
        <f ca="1">RANK(AO56,AO$37:AO$62,AO$34)+COUNTIF(AO$37:AO56,AO56)-1</f>
        <v>9</v>
      </c>
      <c r="AQ56" s="1">
        <f t="shared" ca="1" si="15"/>
        <v>14</v>
      </c>
      <c r="AR56" s="1">
        <f t="shared" ca="1" si="101"/>
        <v>1</v>
      </c>
      <c r="AS56" s="1">
        <f t="shared" ca="1" si="102"/>
        <v>1</v>
      </c>
      <c r="AT56" s="1">
        <f t="shared" ca="1" si="103"/>
        <v>20</v>
      </c>
      <c r="AU56" s="1" t="str">
        <f t="shared" ca="1" si="104"/>
        <v>Haiti</v>
      </c>
      <c r="AV56" s="1">
        <f t="shared" ca="1" si="16"/>
        <v>27750</v>
      </c>
      <c r="AW56" s="1">
        <f t="shared" ca="1" si="17"/>
        <v>2012</v>
      </c>
      <c r="BA56" s="1">
        <f>MATCH(CONCATENATE($B56,"_",INDEX($C$4:$C51,BA$34)),lu_DataCode,0)</f>
        <v>89</v>
      </c>
      <c r="BB56" s="1">
        <f t="shared" ca="1" si="18"/>
        <v>2012</v>
      </c>
      <c r="BC56" s="1">
        <f t="shared" ca="1" si="19"/>
        <v>26.088999999999999</v>
      </c>
      <c r="BD56" s="1">
        <f t="shared" ca="1" si="20"/>
        <v>1</v>
      </c>
      <c r="BE56" s="1">
        <f t="shared" ca="1" si="105"/>
        <v>26.088999999999999</v>
      </c>
      <c r="BF56" s="1">
        <f ca="1">RANK(BE56,BE$37:BE$62,BE$34)+COUNTIF(BE$37:BE56,BE56)-1</f>
        <v>15</v>
      </c>
      <c r="BG56" s="1">
        <f t="shared" ca="1" si="21"/>
        <v>18</v>
      </c>
      <c r="BH56" s="1">
        <f t="shared" ca="1" si="106"/>
        <v>1</v>
      </c>
      <c r="BI56" s="1">
        <f t="shared" ca="1" si="107"/>
        <v>1</v>
      </c>
      <c r="BJ56" s="1">
        <f t="shared" ca="1" si="108"/>
        <v>20</v>
      </c>
      <c r="BK56" s="1" t="str">
        <f t="shared" ca="1" si="109"/>
        <v>Nicaragua</v>
      </c>
      <c r="BL56" s="1">
        <f t="shared" ca="1" si="22"/>
        <v>10.506</v>
      </c>
      <c r="BM56" s="1">
        <f t="shared" ca="1" si="23"/>
        <v>2012</v>
      </c>
      <c r="BQ56" s="1">
        <f>MATCH(CONCATENATE($B56,"_",INDEX($C$4:$C51,BQ$34)),lu_DataCode,0)</f>
        <v>115</v>
      </c>
      <c r="BR56" s="1">
        <f t="shared" ca="1" si="24"/>
        <v>2012</v>
      </c>
      <c r="BS56" s="1">
        <f t="shared" ca="1" si="25"/>
        <v>40.685000000000002</v>
      </c>
      <c r="BT56" s="1">
        <f t="shared" ca="1" si="26"/>
        <v>1</v>
      </c>
      <c r="BU56" s="1">
        <f t="shared" ca="1" si="110"/>
        <v>40.685000000000002</v>
      </c>
      <c r="BV56" s="1">
        <f ca="1">RANK(BU56,BU$37:BU$62,BU$34)+COUNTIF(BU$37:BU56,BU56)-1</f>
        <v>16</v>
      </c>
      <c r="BW56" s="1">
        <f t="shared" ca="1" si="27"/>
        <v>16</v>
      </c>
      <c r="BX56" s="1">
        <f t="shared" ca="1" si="111"/>
        <v>1</v>
      </c>
      <c r="BY56" s="1">
        <f t="shared" ca="1" si="112"/>
        <v>1</v>
      </c>
      <c r="BZ56" s="1">
        <f t="shared" ca="1" si="113"/>
        <v>20</v>
      </c>
      <c r="CA56" s="1" t="str">
        <f t="shared" ca="1" si="114"/>
        <v>Jamaica</v>
      </c>
      <c r="CB56" s="1">
        <f t="shared" ca="1" si="28"/>
        <v>25.184000000000001</v>
      </c>
      <c r="CC56" s="1">
        <f t="shared" ca="1" si="29"/>
        <v>2012</v>
      </c>
      <c r="CG56" s="1">
        <f>MATCH(CONCATENATE($B56,"_",INDEX($C$4:$C51,CG$34)),lu_DataCode,0)</f>
        <v>141</v>
      </c>
      <c r="CH56" s="1">
        <f t="shared" ca="1" si="30"/>
        <v>2012</v>
      </c>
      <c r="CI56" s="1">
        <f t="shared" ca="1" si="31"/>
        <v>0.70270149999999998</v>
      </c>
      <c r="CJ56" s="1">
        <f t="shared" ca="1" si="32"/>
        <v>1</v>
      </c>
      <c r="CK56" s="1">
        <f t="shared" ca="1" si="115"/>
        <v>0.70270200000000005</v>
      </c>
      <c r="CL56" s="1">
        <f ca="1">RANK(CK56,CK$37:CK$62,CK$34)+COUNTIF(CK$37:CK56,CK56)-1</f>
        <v>15</v>
      </c>
      <c r="CM56" s="1">
        <f t="shared" ca="1" si="33"/>
        <v>18</v>
      </c>
      <c r="CN56" s="1">
        <f t="shared" ca="1" si="116"/>
        <v>1</v>
      </c>
      <c r="CO56" s="1">
        <f t="shared" ca="1" si="117"/>
        <v>1</v>
      </c>
      <c r="CP56" s="1">
        <f t="shared" ca="1" si="118"/>
        <v>20</v>
      </c>
      <c r="CQ56" s="1" t="str">
        <f t="shared" ca="1" si="119"/>
        <v>Nicaragua</v>
      </c>
      <c r="CR56" s="1">
        <f t="shared" ca="1" si="34"/>
        <v>0.39829999999999999</v>
      </c>
      <c r="CS56" s="1">
        <f t="shared" ca="1" si="35"/>
        <v>2012</v>
      </c>
      <c r="CW56" s="1">
        <f>MATCH(CONCATENATE($B56,"_",INDEX($C$4:$C51,CW$34)),lu_DataCode,0)</f>
        <v>166</v>
      </c>
      <c r="CX56" s="1">
        <f t="shared" ca="1" si="36"/>
        <v>2012</v>
      </c>
      <c r="CY56" s="1">
        <f t="shared" ca="1" si="37"/>
        <v>0.35527150000000002</v>
      </c>
      <c r="CZ56" s="1">
        <f t="shared" ca="1" si="38"/>
        <v>1</v>
      </c>
      <c r="DA56" s="1">
        <f t="shared" ca="1" si="120"/>
        <v>0.35527199999999998</v>
      </c>
      <c r="DB56" s="1">
        <f ca="1">RANK(DA56,DA$37:DA$62,DA$34)+COUNTIF(DA$37:DA56,DA56)-1</f>
        <v>12</v>
      </c>
      <c r="DC56" s="1">
        <f t="shared" ca="1" si="39"/>
        <v>18</v>
      </c>
      <c r="DD56" s="1">
        <f t="shared" ca="1" si="121"/>
        <v>1</v>
      </c>
      <c r="DE56" s="1">
        <f t="shared" ca="1" si="122"/>
        <v>1</v>
      </c>
      <c r="DF56" s="1">
        <f t="shared" ca="1" si="123"/>
        <v>20</v>
      </c>
      <c r="DG56" s="1" t="str">
        <f t="shared" ca="1" si="124"/>
        <v>Nicaragua</v>
      </c>
      <c r="DH56" s="1">
        <f t="shared" ca="1" si="40"/>
        <v>5.2900000000000003E-2</v>
      </c>
      <c r="DI56" s="1">
        <f t="shared" ca="1" si="41"/>
        <v>2012</v>
      </c>
      <c r="DM56" s="1">
        <f>MATCH(CONCATENATE($B56,"_",INDEX($C$4:$C51,DM$34)),lu_DataCode,0)</f>
        <v>191</v>
      </c>
      <c r="DN56" s="1">
        <f t="shared" ca="1" si="42"/>
        <v>2012</v>
      </c>
      <c r="DO56" s="1">
        <f t="shared" ca="1" si="43"/>
        <v>9.2874298</v>
      </c>
      <c r="DP56" s="1">
        <f t="shared" ca="1" si="44"/>
        <v>1</v>
      </c>
      <c r="DQ56" s="1">
        <f t="shared" ca="1" si="125"/>
        <v>9.2874300000000005</v>
      </c>
      <c r="DR56" s="1">
        <f ca="1">RANK(DQ56,DQ$37:DQ$62,DQ$34)+COUNTIF(DQ$37:DQ56,DQ56)-1</f>
        <v>15</v>
      </c>
      <c r="DS56" s="1">
        <f t="shared" ca="1" si="45"/>
        <v>23</v>
      </c>
      <c r="DT56" s="1">
        <f t="shared" ca="1" si="126"/>
        <v>1</v>
      </c>
      <c r="DU56" s="1">
        <f t="shared" ca="1" si="127"/>
        <v>1</v>
      </c>
      <c r="DV56" s="1">
        <f t="shared" ca="1" si="128"/>
        <v>20</v>
      </c>
      <c r="DW56" s="1" t="str">
        <f t="shared" ca="1" si="129"/>
        <v>Suriname</v>
      </c>
      <c r="DX56" s="1">
        <f t="shared" ca="1" si="46"/>
        <v>2.0964399999999999</v>
      </c>
      <c r="DY56" s="1">
        <f t="shared" ca="1" si="47"/>
        <v>2012</v>
      </c>
      <c r="EC56" s="1">
        <f>MATCH(CONCATENATE($B56,"_",INDEX($C$4:$C51,EC$34)),lu_DataCode,0)</f>
        <v>216</v>
      </c>
      <c r="ED56" s="1">
        <f t="shared" ca="1" si="48"/>
        <v>2012</v>
      </c>
      <c r="EE56" s="1">
        <f t="shared" ca="1" si="49"/>
        <v>11816765.481977999</v>
      </c>
      <c r="EF56" s="1">
        <f t="shared" ca="1" si="50"/>
        <v>1</v>
      </c>
      <c r="EG56" s="1">
        <f t="shared" ca="1" si="130"/>
        <v>11816765.481977999</v>
      </c>
      <c r="EH56" s="1">
        <f ca="1">RANK(EG56,EG$37:EG$62,EG$34)+COUNTIF(EG$37:EG56,EG56)-1</f>
        <v>13</v>
      </c>
      <c r="EI56" s="1">
        <f t="shared" ca="1" si="51"/>
        <v>19</v>
      </c>
      <c r="EJ56" s="1">
        <f t="shared" ca="1" si="131"/>
        <v>1</v>
      </c>
      <c r="EK56" s="1">
        <f t="shared" ca="1" si="132"/>
        <v>1</v>
      </c>
      <c r="EL56" s="1">
        <f t="shared" ca="1" si="133"/>
        <v>20</v>
      </c>
      <c r="EM56" s="1" t="str">
        <f t="shared" ca="1" si="134"/>
        <v>Panamá</v>
      </c>
      <c r="EN56" s="1">
        <f t="shared" ca="1" si="52"/>
        <v>2365909.659</v>
      </c>
      <c r="EO56" s="1">
        <f t="shared" ca="1" si="53"/>
        <v>2012</v>
      </c>
      <c r="ES56" s="1">
        <f>MATCH(CONCATENATE($B56,"_",INDEX($C$4:$C51,ES$34)),lu_DataCode,0)</f>
        <v>242</v>
      </c>
      <c r="ET56" s="1">
        <f t="shared" ca="1" si="54"/>
        <v>2012</v>
      </c>
      <c r="EU56" s="1">
        <f t="shared" ca="1" si="55"/>
        <v>11.1228345</v>
      </c>
      <c r="EV56" s="1">
        <f t="shared" ca="1" si="56"/>
        <v>1</v>
      </c>
      <c r="EW56" s="1">
        <f t="shared" ca="1" si="135"/>
        <v>11.122835</v>
      </c>
      <c r="EX56" s="1">
        <f ca="1">RANK(EW56,EW$37:EW$62,EW$34)+COUNTIF(EW$37:EW56,EW56)-1</f>
        <v>14</v>
      </c>
      <c r="EY56" s="1">
        <f t="shared" ca="1" si="57"/>
        <v>16</v>
      </c>
      <c r="EZ56" s="1">
        <f t="shared" ca="1" si="136"/>
        <v>1</v>
      </c>
      <c r="FA56" s="1">
        <f t="shared" ca="1" si="137"/>
        <v>1</v>
      </c>
      <c r="FB56" s="1">
        <f t="shared" ca="1" si="138"/>
        <v>20</v>
      </c>
      <c r="FC56" s="1" t="str">
        <f t="shared" ca="1" si="139"/>
        <v>Jamaica</v>
      </c>
      <c r="FD56" s="1">
        <f t="shared" ca="1" si="58"/>
        <v>5.6</v>
      </c>
      <c r="FE56" s="1">
        <f t="shared" ca="1" si="59"/>
        <v>2012</v>
      </c>
      <c r="FI56" s="1">
        <f>MATCH(CONCATENATE($B56,"_",INDEX($C$4:$C51,FI$34)),lu_DataCode,0)</f>
        <v>267</v>
      </c>
      <c r="FJ56" s="1">
        <f t="shared" ca="1" si="60"/>
        <v>2012</v>
      </c>
      <c r="FK56" s="1">
        <f t="shared" ca="1" si="61"/>
        <v>6752616.1527020195</v>
      </c>
      <c r="FL56" s="1">
        <f t="shared" ca="1" si="62"/>
        <v>1</v>
      </c>
      <c r="FM56" s="1">
        <f t="shared" ca="1" si="140"/>
        <v>6752616.152702</v>
      </c>
      <c r="FN56" s="1">
        <f ca="1">RANK(FM56,FM$37:FM$62,FM$34)+COUNTIF(FM$37:FM56,FM56)-1</f>
        <v>15</v>
      </c>
      <c r="FO56" s="1">
        <f t="shared" ca="1" si="63"/>
        <v>23</v>
      </c>
      <c r="FP56" s="1">
        <f t="shared" ca="1" si="141"/>
        <v>1</v>
      </c>
      <c r="FQ56" s="1">
        <f t="shared" ca="1" si="142"/>
        <v>1</v>
      </c>
      <c r="FR56" s="1">
        <f t="shared" ca="1" si="143"/>
        <v>20</v>
      </c>
      <c r="FS56" s="1" t="str">
        <f t="shared" ca="1" si="144"/>
        <v>Suriname</v>
      </c>
      <c r="FT56" s="1">
        <f t="shared" ca="1" si="64"/>
        <v>2842770.2149999999</v>
      </c>
      <c r="FU56" s="1">
        <f t="shared" ca="1" si="65"/>
        <v>2012</v>
      </c>
      <c r="FY56" s="1" t="e">
        <f>MATCH(CONCATENATE($B56,"_",INDEX($C$4:$C51,FY$34)),lu_DataCode,0)</f>
        <v>#N/A</v>
      </c>
      <c r="FZ56" s="1" t="e">
        <f t="shared" ca="1" si="66"/>
        <v>#N/A</v>
      </c>
      <c r="GA56" s="1" t="e">
        <f t="shared" ca="1" si="67"/>
        <v>#N/A</v>
      </c>
      <c r="GB56" s="1">
        <f t="shared" ca="1" si="68"/>
        <v>0</v>
      </c>
      <c r="GC56" s="1">
        <f t="shared" ca="1" si="145"/>
        <v>-10000000000</v>
      </c>
      <c r="GD56" s="1">
        <f ca="1">RANK(GC56,GC$37:GC$62,GC$34)+COUNTIF(GC$37:GC56,GC56)-1</f>
        <v>20</v>
      </c>
      <c r="GE56" s="1">
        <f t="shared" ca="1" si="69"/>
        <v>20</v>
      </c>
      <c r="GF56" s="1">
        <f t="shared" ca="1" si="146"/>
        <v>0</v>
      </c>
      <c r="GG56" s="1">
        <f t="shared" ca="1" si="147"/>
        <v>1</v>
      </c>
      <c r="GH56" s="1" t="str">
        <f t="shared" ca="1" si="148"/>
        <v/>
      </c>
      <c r="GI56" s="1" t="str">
        <f t="shared" ca="1" si="149"/>
        <v/>
      </c>
      <c r="GJ56" s="1" t="str">
        <f t="shared" ca="1" si="70"/>
        <v/>
      </c>
      <c r="GK56" s="1" t="str">
        <f t="shared" ca="1" si="71"/>
        <v/>
      </c>
      <c r="GO56" s="1" t="e">
        <f>MATCH(CONCATENATE($B56,"_",INDEX($C$4:$C51,GO$34)),lu_DataCode,0)</f>
        <v>#N/A</v>
      </c>
      <c r="GP56" s="1" t="e">
        <f t="shared" ca="1" si="72"/>
        <v>#N/A</v>
      </c>
      <c r="GQ56" s="1" t="e">
        <f t="shared" ca="1" si="73"/>
        <v>#N/A</v>
      </c>
      <c r="GR56" s="1">
        <f t="shared" ca="1" si="74"/>
        <v>0</v>
      </c>
      <c r="GS56" s="1">
        <f t="shared" ca="1" si="150"/>
        <v>-10000000000</v>
      </c>
      <c r="GT56" s="1">
        <f ca="1">RANK(GS56,GS$37:GS$62,GS$34)+COUNTIF(GS$37:GS56,GS56)-1</f>
        <v>20</v>
      </c>
      <c r="GU56" s="1">
        <f t="shared" ca="1" si="75"/>
        <v>20</v>
      </c>
      <c r="GV56" s="1">
        <f t="shared" ca="1" si="151"/>
        <v>0</v>
      </c>
      <c r="GW56" s="1">
        <f t="shared" ca="1" si="152"/>
        <v>1</v>
      </c>
      <c r="GX56" s="1" t="str">
        <f t="shared" ca="1" si="153"/>
        <v/>
      </c>
      <c r="GY56" s="1" t="str">
        <f t="shared" ca="1" si="154"/>
        <v/>
      </c>
      <c r="GZ56" s="1" t="str">
        <f t="shared" ca="1" si="76"/>
        <v/>
      </c>
      <c r="HA56" s="1" t="str">
        <f t="shared" ca="1" si="77"/>
        <v/>
      </c>
      <c r="HE56" s="1" t="e">
        <f>MATCH(CONCATENATE($B56,"_",INDEX($C$4:$C51,HE$34)),lu_DataCode,0)</f>
        <v>#N/A</v>
      </c>
      <c r="HF56" s="1" t="e">
        <f t="shared" ca="1" si="78"/>
        <v>#N/A</v>
      </c>
      <c r="HG56" s="1" t="e">
        <f t="shared" ca="1" si="79"/>
        <v>#N/A</v>
      </c>
      <c r="HH56" s="1">
        <f t="shared" ca="1" si="80"/>
        <v>0</v>
      </c>
      <c r="HI56" s="1">
        <f t="shared" ca="1" si="155"/>
        <v>-10000000000</v>
      </c>
      <c r="HJ56" s="1">
        <f ca="1">RANK(HI56,HI$37:HI$62,HI$34)+COUNTIF(HI$37:HI56,HI56)-1</f>
        <v>20</v>
      </c>
      <c r="HK56" s="1">
        <f t="shared" ca="1" si="81"/>
        <v>20</v>
      </c>
      <c r="HL56" s="1">
        <f t="shared" ca="1" si="156"/>
        <v>0</v>
      </c>
      <c r="HM56" s="1">
        <f t="shared" ca="1" si="157"/>
        <v>1</v>
      </c>
      <c r="HN56" s="1" t="str">
        <f t="shared" ca="1" si="158"/>
        <v/>
      </c>
      <c r="HO56" s="1" t="str">
        <f t="shared" ca="1" si="159"/>
        <v/>
      </c>
      <c r="HP56" s="1" t="str">
        <f t="shared" ca="1" si="82"/>
        <v/>
      </c>
      <c r="HQ56" s="1" t="str">
        <f t="shared" ca="1" si="83"/>
        <v/>
      </c>
      <c r="HU56" s="1" t="e">
        <f>MATCH(CONCATENATE($B56,"_",INDEX($C$4:$C51,HU$34)),lu_DataCode,0)</f>
        <v>#N/A</v>
      </c>
      <c r="HV56" s="1" t="e">
        <f t="shared" ca="1" si="84"/>
        <v>#N/A</v>
      </c>
      <c r="HW56" s="1" t="e">
        <f t="shared" ca="1" si="85"/>
        <v>#N/A</v>
      </c>
      <c r="HX56" s="1">
        <f t="shared" ca="1" si="86"/>
        <v>0</v>
      </c>
      <c r="HY56" s="1">
        <f t="shared" ca="1" si="160"/>
        <v>-10000000000</v>
      </c>
      <c r="HZ56" s="1">
        <f ca="1">RANK(HY56,HY$37:HY$62,HY$34)+COUNTIF(HY$37:HY56,HY56)-1</f>
        <v>20</v>
      </c>
      <c r="IA56" s="1">
        <f t="shared" ca="1" si="87"/>
        <v>20</v>
      </c>
      <c r="IB56" s="1">
        <f t="shared" ca="1" si="161"/>
        <v>0</v>
      </c>
      <c r="IC56" s="1">
        <f t="shared" ca="1" si="162"/>
        <v>1</v>
      </c>
      <c r="ID56" s="1" t="str">
        <f t="shared" ca="1" si="163"/>
        <v/>
      </c>
      <c r="IE56" s="1" t="str">
        <f t="shared" ca="1" si="164"/>
        <v/>
      </c>
      <c r="IF56" s="1" t="str">
        <f t="shared" ca="1" si="88"/>
        <v/>
      </c>
      <c r="IG56" s="1" t="str">
        <f t="shared" ca="1" si="89"/>
        <v/>
      </c>
    </row>
    <row r="57" spans="1:241" ht="10.15" x14ac:dyDescent="0.2">
      <c r="A57" s="1">
        <v>21</v>
      </c>
      <c r="B57" s="1" t="str">
        <f>tblCountries!E23</f>
        <v>NAC_PE_1</v>
      </c>
      <c r="C57" s="1" t="str">
        <f>tblCountries!C23</f>
        <v>Peru</v>
      </c>
      <c r="D57" s="1">
        <f>tblCountries!D23</f>
        <v>1</v>
      </c>
      <c r="E57" s="1">
        <f>MATCH(CONCATENATE($B57,"_",INDEX($C$4:$C52,E$34)),lu_DataCode,0)</f>
        <v>11</v>
      </c>
      <c r="F57" s="1">
        <f t="shared" ca="1" si="165"/>
        <v>2012</v>
      </c>
      <c r="G57" s="1">
        <f t="shared" ca="1" si="166"/>
        <v>6.9662940495960699</v>
      </c>
      <c r="H57" s="1">
        <f t="shared" ca="1" si="167"/>
        <v>1</v>
      </c>
      <c r="I57" s="1">
        <f t="shared" ca="1" si="90"/>
        <v>6.9662940000000004</v>
      </c>
      <c r="J57" s="1">
        <f ca="1">RANK(I57,I$37:I$62,I$34)+COUNTIF(I$37:I57,I57)-1</f>
        <v>8</v>
      </c>
      <c r="K57" s="1">
        <f t="shared" ca="1" si="168"/>
        <v>7</v>
      </c>
      <c r="L57" s="1">
        <f t="shared" ca="1" si="169"/>
        <v>1</v>
      </c>
      <c r="M57" s="1">
        <f t="shared" ca="1" si="92"/>
        <v>1</v>
      </c>
      <c r="N57" s="1">
        <f t="shared" ca="1" si="93"/>
        <v>21</v>
      </c>
      <c r="O57" s="1" t="str">
        <f t="shared" ca="1" si="94"/>
        <v>Chile</v>
      </c>
      <c r="P57" s="1">
        <f t="shared" ca="1" si="170"/>
        <v>4.01</v>
      </c>
      <c r="Q57" s="1">
        <f t="shared" ca="1" si="171"/>
        <v>2012</v>
      </c>
      <c r="U57" s="1">
        <f>MATCH(CONCATENATE($B57,"_",INDEX($C$4:$C52,U$34)),lu_DataCode,0)</f>
        <v>36</v>
      </c>
      <c r="V57" s="1">
        <f t="shared" ca="1" si="172"/>
        <v>2012</v>
      </c>
      <c r="W57" s="1">
        <f t="shared" ca="1" si="173"/>
        <v>30.474</v>
      </c>
      <c r="X57" s="1">
        <f t="shared" ca="1" si="174"/>
        <v>1</v>
      </c>
      <c r="Y57" s="1">
        <f t="shared" ca="1" si="95"/>
        <v>30.474</v>
      </c>
      <c r="Z57" s="1">
        <f ca="1">RANK(Y57,Y$37:Y$62,Y$34)+COUNTIF(Y$37:Y57,Y57)-1</f>
        <v>5</v>
      </c>
      <c r="AA57" s="1">
        <f t="shared" ca="1" si="175"/>
        <v>24</v>
      </c>
      <c r="AB57" s="1">
        <f t="shared" ca="1" si="176"/>
        <v>1</v>
      </c>
      <c r="AC57" s="1">
        <f t="shared" ca="1" si="97"/>
        <v>1</v>
      </c>
      <c r="AD57" s="1">
        <f t="shared" ca="1" si="98"/>
        <v>21</v>
      </c>
      <c r="AE57" s="1" t="str">
        <f t="shared" ca="1" si="99"/>
        <v>Trinidad and Tobago</v>
      </c>
      <c r="AF57" s="1">
        <f t="shared" ca="1" si="177"/>
        <v>1.329</v>
      </c>
      <c r="AG57" s="1">
        <f t="shared" ca="1" si="178"/>
        <v>2012</v>
      </c>
      <c r="AK57" s="1">
        <f>MATCH(CONCATENATE($B57,"_",INDEX($C$4:$C52,AK$34)),lu_DataCode,0)</f>
        <v>62</v>
      </c>
      <c r="AL57" s="1">
        <f t="shared" ca="1" si="12"/>
        <v>2012</v>
      </c>
      <c r="AM57" s="1">
        <f t="shared" ca="1" si="13"/>
        <v>1285220</v>
      </c>
      <c r="AN57" s="1">
        <f t="shared" ca="1" si="14"/>
        <v>1</v>
      </c>
      <c r="AO57" s="1">
        <f t="shared" ca="1" si="100"/>
        <v>1285220</v>
      </c>
      <c r="AP57" s="1">
        <f ca="1">RANK(AO57,AO$37:AO$62,AO$34)+COUNTIF(AO$37:AO57,AO57)-1</f>
        <v>4</v>
      </c>
      <c r="AQ57" s="1">
        <f t="shared" ca="1" si="15"/>
        <v>4</v>
      </c>
      <c r="AR57" s="1">
        <f t="shared" ca="1" si="101"/>
        <v>1</v>
      </c>
      <c r="AS57" s="1">
        <f t="shared" ca="1" si="102"/>
        <v>1</v>
      </c>
      <c r="AT57" s="1">
        <f t="shared" ca="1" si="103"/>
        <v>21</v>
      </c>
      <c r="AU57" s="1" t="str">
        <f t="shared" ca="1" si="104"/>
        <v>Belize</v>
      </c>
      <c r="AV57" s="1">
        <f t="shared" ca="1" si="16"/>
        <v>22970</v>
      </c>
      <c r="AW57" s="1">
        <f t="shared" ca="1" si="17"/>
        <v>2012</v>
      </c>
      <c r="BA57" s="1">
        <f>MATCH(CONCATENATE($B57,"_",INDEX($C$4:$C52,BA$34)),lu_DataCode,0)</f>
        <v>88</v>
      </c>
      <c r="BB57" s="1">
        <f t="shared" ca="1" si="18"/>
        <v>2012</v>
      </c>
      <c r="BC57" s="1">
        <f t="shared" ca="1" si="19"/>
        <v>199.00299999999999</v>
      </c>
      <c r="BD57" s="1">
        <f t="shared" ca="1" si="20"/>
        <v>1</v>
      </c>
      <c r="BE57" s="1">
        <f t="shared" ca="1" si="105"/>
        <v>199.00299999999999</v>
      </c>
      <c r="BF57" s="1">
        <f ca="1">RANK(BE57,BE$37:BE$62,BE$34)+COUNTIF(BE$37:BE57,BE57)-1</f>
        <v>7</v>
      </c>
      <c r="BG57" s="1">
        <f t="shared" ca="1" si="21"/>
        <v>2</v>
      </c>
      <c r="BH57" s="1">
        <f t="shared" ca="1" si="106"/>
        <v>1</v>
      </c>
      <c r="BI57" s="1">
        <f t="shared" ca="1" si="107"/>
        <v>1</v>
      </c>
      <c r="BJ57" s="1">
        <f t="shared" ca="1" si="108"/>
        <v>21</v>
      </c>
      <c r="BK57" s="1" t="str">
        <f t="shared" ca="1" si="109"/>
        <v>Bahamas</v>
      </c>
      <c r="BL57" s="1">
        <f t="shared" ca="1" si="22"/>
        <v>8.1490039999999997</v>
      </c>
      <c r="BM57" s="1">
        <f t="shared" ca="1" si="23"/>
        <v>2012</v>
      </c>
      <c r="BQ57" s="1">
        <f>MATCH(CONCATENATE($B57,"_",INDEX($C$4:$C52,BQ$34)),lu_DataCode,0)</f>
        <v>114</v>
      </c>
      <c r="BR57" s="1">
        <f t="shared" ca="1" si="24"/>
        <v>2012</v>
      </c>
      <c r="BS57" s="1">
        <f t="shared" ca="1" si="25"/>
        <v>326.661</v>
      </c>
      <c r="BT57" s="1">
        <f t="shared" ca="1" si="26"/>
        <v>1</v>
      </c>
      <c r="BU57" s="1">
        <f t="shared" ca="1" si="110"/>
        <v>326.661</v>
      </c>
      <c r="BV57" s="1">
        <f ca="1">RANK(BU57,BU$37:BU$62,BU$34)+COUNTIF(BU$37:BU57,BU57)-1</f>
        <v>6</v>
      </c>
      <c r="BW57" s="1">
        <f t="shared" ca="1" si="27"/>
        <v>14</v>
      </c>
      <c r="BX57" s="1">
        <f t="shared" ca="1" si="111"/>
        <v>1</v>
      </c>
      <c r="BY57" s="1">
        <f t="shared" ca="1" si="112"/>
        <v>1</v>
      </c>
      <c r="BZ57" s="1">
        <f t="shared" ca="1" si="113"/>
        <v>21</v>
      </c>
      <c r="CA57" s="1" t="str">
        <f t="shared" ca="1" si="114"/>
        <v>Haiti</v>
      </c>
      <c r="CB57" s="1">
        <f t="shared" ca="1" si="28"/>
        <v>13.132</v>
      </c>
      <c r="CC57" s="1">
        <f t="shared" ca="1" si="29"/>
        <v>2012</v>
      </c>
      <c r="CG57" s="1">
        <f>MATCH(CONCATENATE($B57,"_",INDEX($C$4:$C52,CG$34)),lu_DataCode,0)</f>
        <v>140</v>
      </c>
      <c r="CH57" s="1">
        <f t="shared" ca="1" si="30"/>
        <v>2012</v>
      </c>
      <c r="CI57" s="1">
        <f t="shared" ca="1" si="31"/>
        <v>2.5815804999999998</v>
      </c>
      <c r="CJ57" s="1">
        <f t="shared" ca="1" si="32"/>
        <v>1</v>
      </c>
      <c r="CK57" s="1">
        <f t="shared" ca="1" si="115"/>
        <v>2.5815809999999999</v>
      </c>
      <c r="CL57" s="1">
        <f ca="1">RANK(CK57,CK$37:CK$62,CK$34)+COUNTIF(CK$37:CK57,CK57)-1</f>
        <v>8</v>
      </c>
      <c r="CM57" s="1">
        <f t="shared" ca="1" si="33"/>
        <v>2</v>
      </c>
      <c r="CN57" s="1">
        <f t="shared" ca="1" si="116"/>
        <v>1</v>
      </c>
      <c r="CO57" s="1">
        <f t="shared" ca="1" si="117"/>
        <v>1</v>
      </c>
      <c r="CP57" s="1">
        <f t="shared" ca="1" si="118"/>
        <v>21</v>
      </c>
      <c r="CQ57" s="1" t="str">
        <f t="shared" ca="1" si="119"/>
        <v>Bahamas</v>
      </c>
      <c r="CR57" s="1">
        <f t="shared" ca="1" si="34"/>
        <v>0.38949630000000002</v>
      </c>
      <c r="CS57" s="1">
        <f t="shared" ca="1" si="35"/>
        <v>2012</v>
      </c>
      <c r="CW57" s="1">
        <f>MATCH(CONCATENATE($B57,"_",INDEX($C$4:$C52,CW$34)),lu_DataCode,0)</f>
        <v>165</v>
      </c>
      <c r="CX57" s="1">
        <f t="shared" ca="1" si="36"/>
        <v>2012</v>
      </c>
      <c r="CY57" s="1">
        <f t="shared" ca="1" si="37"/>
        <v>1.1391036000000001</v>
      </c>
      <c r="CZ57" s="1">
        <f t="shared" ca="1" si="38"/>
        <v>1</v>
      </c>
      <c r="DA57" s="1">
        <f t="shared" ca="1" si="120"/>
        <v>1.1391039999999999</v>
      </c>
      <c r="DB57" s="1">
        <f ca="1">RANK(DA57,DA$37:DA$62,DA$34)+COUNTIF(DA$37:DA57,DA57)-1</f>
        <v>7</v>
      </c>
      <c r="DC57" s="1">
        <f t="shared" ca="1" si="39"/>
        <v>3</v>
      </c>
      <c r="DD57" s="1">
        <f t="shared" ca="1" si="121"/>
        <v>1</v>
      </c>
      <c r="DE57" s="1">
        <f t="shared" ca="1" si="122"/>
        <v>1</v>
      </c>
      <c r="DF57" s="1">
        <f t="shared" ca="1" si="123"/>
        <v>21</v>
      </c>
      <c r="DG57" s="1" t="str">
        <f t="shared" ca="1" si="124"/>
        <v>Barbados</v>
      </c>
      <c r="DH57" s="1">
        <f t="shared" ca="1" si="40"/>
        <v>4.4231699999999999E-2</v>
      </c>
      <c r="DI57" s="1">
        <f t="shared" ca="1" si="41"/>
        <v>2012</v>
      </c>
      <c r="DM57" s="1">
        <f>MATCH(CONCATENATE($B57,"_",INDEX($C$4:$C52,DM$34)),lu_DataCode,0)</f>
        <v>190</v>
      </c>
      <c r="DN57" s="1">
        <f t="shared" ca="1" si="42"/>
        <v>2012</v>
      </c>
      <c r="DO57" s="1">
        <f t="shared" ca="1" si="43"/>
        <v>45.383964800000001</v>
      </c>
      <c r="DP57" s="1">
        <f t="shared" ca="1" si="44"/>
        <v>1</v>
      </c>
      <c r="DQ57" s="1">
        <f t="shared" ca="1" si="125"/>
        <v>45.383965000000003</v>
      </c>
      <c r="DR57" s="1">
        <f ca="1">RANK(DQ57,DQ$37:DQ$62,DQ$34)+COUNTIF(DQ$37:DQ57,DQ57)-1</f>
        <v>7</v>
      </c>
      <c r="DS57" s="1">
        <f t="shared" ca="1" si="45"/>
        <v>16</v>
      </c>
      <c r="DT57" s="1">
        <f t="shared" ca="1" si="126"/>
        <v>1</v>
      </c>
      <c r="DU57" s="1">
        <f t="shared" ca="1" si="127"/>
        <v>1</v>
      </c>
      <c r="DV57" s="1">
        <f t="shared" ca="1" si="128"/>
        <v>21</v>
      </c>
      <c r="DW57" s="1" t="str">
        <f t="shared" ca="1" si="129"/>
        <v>Jamaica</v>
      </c>
      <c r="DX57" s="1">
        <f t="shared" ca="1" si="46"/>
        <v>1.7322</v>
      </c>
      <c r="DY57" s="1">
        <f t="shared" ca="1" si="47"/>
        <v>2012</v>
      </c>
      <c r="EC57" s="1">
        <f>MATCH(CONCATENATE($B57,"_",INDEX($C$4:$C52,EC$34)),lu_DataCode,0)</f>
        <v>215</v>
      </c>
      <c r="ED57" s="1">
        <f t="shared" ca="1" si="48"/>
        <v>2012</v>
      </c>
      <c r="EE57" s="1">
        <f t="shared" ca="1" si="49"/>
        <v>37059596.365000002</v>
      </c>
      <c r="EF57" s="1">
        <f t="shared" ca="1" si="50"/>
        <v>1</v>
      </c>
      <c r="EG57" s="1">
        <f t="shared" ca="1" si="130"/>
        <v>37059596.365000002</v>
      </c>
      <c r="EH57" s="1">
        <f ca="1">RANK(EG57,EG$37:EG$62,EG$34)+COUNTIF(EG$37:EG57,EG57)-1</f>
        <v>7</v>
      </c>
      <c r="EI57" s="1">
        <f t="shared" ca="1" si="51"/>
        <v>13</v>
      </c>
      <c r="EJ57" s="1">
        <f t="shared" ca="1" si="131"/>
        <v>1</v>
      </c>
      <c r="EK57" s="1">
        <f t="shared" ca="1" si="132"/>
        <v>1</v>
      </c>
      <c r="EL57" s="1">
        <f t="shared" ca="1" si="133"/>
        <v>21</v>
      </c>
      <c r="EM57" s="1" t="str">
        <f t="shared" ca="1" si="134"/>
        <v>Guyana</v>
      </c>
      <c r="EN57" s="1">
        <f t="shared" ca="1" si="52"/>
        <v>2029466.226</v>
      </c>
      <c r="EO57" s="1">
        <f t="shared" ca="1" si="53"/>
        <v>2012</v>
      </c>
      <c r="ES57" s="1">
        <f>MATCH(CONCATENATE($B57,"_",INDEX($C$4:$C52,ES$34)),lu_DataCode,0)</f>
        <v>241</v>
      </c>
      <c r="ET57" s="1">
        <f t="shared" ca="1" si="54"/>
        <v>2012</v>
      </c>
      <c r="EU57" s="1">
        <f t="shared" ca="1" si="55"/>
        <v>40.220317899999998</v>
      </c>
      <c r="EV57" s="1">
        <f t="shared" ca="1" si="56"/>
        <v>1</v>
      </c>
      <c r="EW57" s="1">
        <f t="shared" ca="1" si="135"/>
        <v>40.220317999999999</v>
      </c>
      <c r="EX57" s="1">
        <f ca="1">RANK(EW57,EW$37:EW$62,EW$34)+COUNTIF(EW$37:EW57,EW57)-1</f>
        <v>7</v>
      </c>
      <c r="EY57" s="1">
        <f t="shared" ca="1" si="57"/>
        <v>2</v>
      </c>
      <c r="EZ57" s="1">
        <f t="shared" ca="1" si="136"/>
        <v>1</v>
      </c>
      <c r="FA57" s="1">
        <f t="shared" ca="1" si="137"/>
        <v>1</v>
      </c>
      <c r="FB57" s="1">
        <f t="shared" ca="1" si="138"/>
        <v>21</v>
      </c>
      <c r="FC57" s="1" t="str">
        <f t="shared" ca="1" si="139"/>
        <v>Bahamas</v>
      </c>
      <c r="FD57" s="1">
        <f t="shared" ca="1" si="58"/>
        <v>3.4392111999999999</v>
      </c>
      <c r="FE57" s="1">
        <f t="shared" ca="1" si="59"/>
        <v>2012</v>
      </c>
      <c r="FI57" s="1">
        <f>MATCH(CONCATENATE($B57,"_",INDEX($C$4:$C52,FI$34)),lu_DataCode,0)</f>
        <v>266</v>
      </c>
      <c r="FJ57" s="1">
        <f t="shared" ca="1" si="60"/>
        <v>2012</v>
      </c>
      <c r="FK57" s="1">
        <f t="shared" ca="1" si="61"/>
        <v>26737647.521000002</v>
      </c>
      <c r="FL57" s="1">
        <f t="shared" ca="1" si="62"/>
        <v>1</v>
      </c>
      <c r="FM57" s="1">
        <f t="shared" ca="1" si="140"/>
        <v>26737647.521000002</v>
      </c>
      <c r="FN57" s="1">
        <f ca="1">RANK(FM57,FM$37:FM$62,FM$34)+COUNTIF(FM$37:FM57,FM57)-1</f>
        <v>6</v>
      </c>
      <c r="FO57" s="1">
        <f t="shared" ca="1" si="63"/>
        <v>2</v>
      </c>
      <c r="FP57" s="1">
        <f t="shared" ca="1" si="141"/>
        <v>1</v>
      </c>
      <c r="FQ57" s="1">
        <f t="shared" ca="1" si="142"/>
        <v>1</v>
      </c>
      <c r="FR57" s="1">
        <f t="shared" ca="1" si="143"/>
        <v>21</v>
      </c>
      <c r="FS57" s="1" t="str">
        <f t="shared" ca="1" si="144"/>
        <v>Bahamas</v>
      </c>
      <c r="FT57" s="1">
        <f t="shared" ca="1" si="64"/>
        <v>1615219.2509999999</v>
      </c>
      <c r="FU57" s="1">
        <f t="shared" ca="1" si="65"/>
        <v>2012</v>
      </c>
      <c r="FY57" s="1" t="e">
        <f>MATCH(CONCATENATE($B57,"_",INDEX($C$4:$C52,FY$34)),lu_DataCode,0)</f>
        <v>#N/A</v>
      </c>
      <c r="FZ57" s="1" t="e">
        <f t="shared" ca="1" si="66"/>
        <v>#N/A</v>
      </c>
      <c r="GA57" s="1" t="e">
        <f t="shared" ca="1" si="67"/>
        <v>#N/A</v>
      </c>
      <c r="GB57" s="1">
        <f t="shared" ca="1" si="68"/>
        <v>0</v>
      </c>
      <c r="GC57" s="1">
        <f t="shared" ca="1" si="145"/>
        <v>-10000000000</v>
      </c>
      <c r="GD57" s="1">
        <f ca="1">RANK(GC57,GC$37:GC$62,GC$34)+COUNTIF(GC$37:GC57,GC57)-1</f>
        <v>21</v>
      </c>
      <c r="GE57" s="1">
        <f t="shared" ca="1" si="69"/>
        <v>21</v>
      </c>
      <c r="GF57" s="1">
        <f t="shared" ca="1" si="146"/>
        <v>0</v>
      </c>
      <c r="GG57" s="1">
        <f t="shared" ca="1" si="147"/>
        <v>1</v>
      </c>
      <c r="GH57" s="1" t="str">
        <f t="shared" ca="1" si="148"/>
        <v/>
      </c>
      <c r="GI57" s="1" t="str">
        <f t="shared" ca="1" si="149"/>
        <v/>
      </c>
      <c r="GJ57" s="1" t="str">
        <f t="shared" ca="1" si="70"/>
        <v/>
      </c>
      <c r="GK57" s="1" t="str">
        <f t="shared" ca="1" si="71"/>
        <v/>
      </c>
      <c r="GO57" s="1" t="e">
        <f>MATCH(CONCATENATE($B57,"_",INDEX($C$4:$C52,GO$34)),lu_DataCode,0)</f>
        <v>#N/A</v>
      </c>
      <c r="GP57" s="1" t="e">
        <f t="shared" ca="1" si="72"/>
        <v>#N/A</v>
      </c>
      <c r="GQ57" s="1" t="e">
        <f t="shared" ca="1" si="73"/>
        <v>#N/A</v>
      </c>
      <c r="GR57" s="1">
        <f t="shared" ca="1" si="74"/>
        <v>0</v>
      </c>
      <c r="GS57" s="1">
        <f t="shared" ca="1" si="150"/>
        <v>-10000000000</v>
      </c>
      <c r="GT57" s="1">
        <f ca="1">RANK(GS57,GS$37:GS$62,GS$34)+COUNTIF(GS$37:GS57,GS57)-1</f>
        <v>21</v>
      </c>
      <c r="GU57" s="1">
        <f t="shared" ca="1" si="75"/>
        <v>21</v>
      </c>
      <c r="GV57" s="1">
        <f t="shared" ca="1" si="151"/>
        <v>0</v>
      </c>
      <c r="GW57" s="1">
        <f t="shared" ca="1" si="152"/>
        <v>1</v>
      </c>
      <c r="GX57" s="1" t="str">
        <f t="shared" ca="1" si="153"/>
        <v/>
      </c>
      <c r="GY57" s="1" t="str">
        <f t="shared" ca="1" si="154"/>
        <v/>
      </c>
      <c r="GZ57" s="1" t="str">
        <f t="shared" ca="1" si="76"/>
        <v/>
      </c>
      <c r="HA57" s="1" t="str">
        <f t="shared" ca="1" si="77"/>
        <v/>
      </c>
      <c r="HE57" s="1" t="e">
        <f>MATCH(CONCATENATE($B57,"_",INDEX($C$4:$C52,HE$34)),lu_DataCode,0)</f>
        <v>#N/A</v>
      </c>
      <c r="HF57" s="1" t="e">
        <f t="shared" ca="1" si="78"/>
        <v>#N/A</v>
      </c>
      <c r="HG57" s="1" t="e">
        <f t="shared" ca="1" si="79"/>
        <v>#N/A</v>
      </c>
      <c r="HH57" s="1">
        <f t="shared" ca="1" si="80"/>
        <v>0</v>
      </c>
      <c r="HI57" s="1">
        <f t="shared" ca="1" si="155"/>
        <v>-10000000000</v>
      </c>
      <c r="HJ57" s="1">
        <f ca="1">RANK(HI57,HI$37:HI$62,HI$34)+COUNTIF(HI$37:HI57,HI57)-1</f>
        <v>21</v>
      </c>
      <c r="HK57" s="1">
        <f t="shared" ca="1" si="81"/>
        <v>21</v>
      </c>
      <c r="HL57" s="1">
        <f t="shared" ca="1" si="156"/>
        <v>0</v>
      </c>
      <c r="HM57" s="1">
        <f t="shared" ca="1" si="157"/>
        <v>1</v>
      </c>
      <c r="HN57" s="1" t="str">
        <f t="shared" ca="1" si="158"/>
        <v/>
      </c>
      <c r="HO57" s="1" t="str">
        <f t="shared" ca="1" si="159"/>
        <v/>
      </c>
      <c r="HP57" s="1" t="str">
        <f t="shared" ca="1" si="82"/>
        <v/>
      </c>
      <c r="HQ57" s="1" t="str">
        <f t="shared" ca="1" si="83"/>
        <v/>
      </c>
      <c r="HU57" s="1" t="e">
        <f>MATCH(CONCATENATE($B57,"_",INDEX($C$4:$C52,HU$34)),lu_DataCode,0)</f>
        <v>#N/A</v>
      </c>
      <c r="HV57" s="1" t="e">
        <f t="shared" ca="1" si="84"/>
        <v>#N/A</v>
      </c>
      <c r="HW57" s="1" t="e">
        <f t="shared" ca="1" si="85"/>
        <v>#N/A</v>
      </c>
      <c r="HX57" s="1">
        <f t="shared" ca="1" si="86"/>
        <v>0</v>
      </c>
      <c r="HY57" s="1">
        <f t="shared" ca="1" si="160"/>
        <v>-10000000000</v>
      </c>
      <c r="HZ57" s="1">
        <f ca="1">RANK(HY57,HY$37:HY$62,HY$34)+COUNTIF(HY$37:HY57,HY57)-1</f>
        <v>21</v>
      </c>
      <c r="IA57" s="1">
        <f t="shared" ca="1" si="87"/>
        <v>21</v>
      </c>
      <c r="IB57" s="1">
        <f t="shared" ca="1" si="161"/>
        <v>0</v>
      </c>
      <c r="IC57" s="1">
        <f t="shared" ca="1" si="162"/>
        <v>1</v>
      </c>
      <c r="ID57" s="1" t="str">
        <f t="shared" ca="1" si="163"/>
        <v/>
      </c>
      <c r="IE57" s="1" t="str">
        <f t="shared" ca="1" si="164"/>
        <v/>
      </c>
      <c r="IF57" s="1" t="str">
        <f t="shared" ca="1" si="88"/>
        <v/>
      </c>
      <c r="IG57" s="1" t="str">
        <f t="shared" ca="1" si="89"/>
        <v/>
      </c>
    </row>
    <row r="58" spans="1:241" ht="10.15" x14ac:dyDescent="0.2">
      <c r="A58" s="1">
        <v>22</v>
      </c>
      <c r="B58" s="1" t="str">
        <f>tblCountries!E24</f>
        <v>NAC_DO_1</v>
      </c>
      <c r="C58" s="1" t="str">
        <f>tblCountries!C24</f>
        <v>Dominican Republic</v>
      </c>
      <c r="D58" s="1">
        <f>tblCountries!D24</f>
        <v>1</v>
      </c>
      <c r="E58" s="1">
        <f>MATCH(CONCATENATE($B58,"_",INDEX($C$4:$C53,E$34)),lu_DataCode,0)</f>
        <v>25</v>
      </c>
      <c r="F58" s="1">
        <f t="shared" ca="1" si="165"/>
        <v>2012</v>
      </c>
      <c r="G58" s="1">
        <f t="shared" ca="1" si="166"/>
        <v>8.4378989177878498</v>
      </c>
      <c r="H58" s="1">
        <f t="shared" ca="1" si="167"/>
        <v>1</v>
      </c>
      <c r="I58" s="1">
        <f t="shared" ca="1" si="90"/>
        <v>8.4378989999999998</v>
      </c>
      <c r="J58" s="1">
        <f ca="1">RANK(I58,I$37:I$62,I$34)+COUNTIF(I$37:I58,I58)-1</f>
        <v>2</v>
      </c>
      <c r="K58" s="1">
        <f t="shared" ca="1" si="168"/>
        <v>2</v>
      </c>
      <c r="L58" s="1">
        <f t="shared" ca="1" si="169"/>
        <v>1</v>
      </c>
      <c r="M58" s="1">
        <f t="shared" ca="1" si="92"/>
        <v>1</v>
      </c>
      <c r="N58" s="1">
        <f t="shared" ca="1" si="93"/>
        <v>22</v>
      </c>
      <c r="O58" s="1" t="str">
        <f t="shared" ca="1" si="94"/>
        <v>Bahamas</v>
      </c>
      <c r="P58" s="1">
        <f t="shared" ca="1" si="170"/>
        <v>3.91327578192378</v>
      </c>
      <c r="Q58" s="1">
        <f t="shared" ca="1" si="171"/>
        <v>2012</v>
      </c>
      <c r="U58" s="1">
        <f>MATCH(CONCATENATE($B58,"_",INDEX($C$4:$C53,U$34)),lu_DataCode,0)</f>
        <v>51</v>
      </c>
      <c r="V58" s="1">
        <f t="shared" ca="1" si="172"/>
        <v>2012</v>
      </c>
      <c r="W58" s="1">
        <f t="shared" ca="1" si="173"/>
        <v>10.237</v>
      </c>
      <c r="X58" s="1">
        <f t="shared" ca="1" si="174"/>
        <v>1</v>
      </c>
      <c r="Y58" s="1">
        <f t="shared" ca="1" si="95"/>
        <v>10.237</v>
      </c>
      <c r="Z58" s="1">
        <f ca="1">RANK(Y58,Y$37:Y$62,Y$34)+COUNTIF(Y$37:Y58,Y58)-1</f>
        <v>11</v>
      </c>
      <c r="AA58" s="1">
        <f t="shared" ca="1" si="175"/>
        <v>13</v>
      </c>
      <c r="AB58" s="1">
        <f t="shared" ca="1" si="176"/>
        <v>1</v>
      </c>
      <c r="AC58" s="1">
        <f t="shared" ca="1" si="97"/>
        <v>1</v>
      </c>
      <c r="AD58" s="1">
        <f t="shared" ca="1" si="98"/>
        <v>22</v>
      </c>
      <c r="AE58" s="1" t="str">
        <f t="shared" ca="1" si="99"/>
        <v>Guyana</v>
      </c>
      <c r="AF58" s="1">
        <f t="shared" ca="1" si="177"/>
        <v>0.75758700000000001</v>
      </c>
      <c r="AG58" s="1">
        <f t="shared" ca="1" si="178"/>
        <v>2012</v>
      </c>
      <c r="AK58" s="1">
        <f>MATCH(CONCATENATE($B58,"_",INDEX($C$4:$C53,AK$34)),lu_DataCode,0)</f>
        <v>77</v>
      </c>
      <c r="AL58" s="1">
        <f t="shared" ca="1" si="12"/>
        <v>2012</v>
      </c>
      <c r="AM58" s="1">
        <f t="shared" ca="1" si="13"/>
        <v>48670</v>
      </c>
      <c r="AN58" s="1">
        <f t="shared" ca="1" si="14"/>
        <v>1</v>
      </c>
      <c r="AO58" s="1">
        <f t="shared" ca="1" si="100"/>
        <v>48670</v>
      </c>
      <c r="AP58" s="1">
        <f ca="1">RANK(AO58,AO$37:AO$62,AO$34)+COUNTIF(AO$37:AO58,AO58)-1</f>
        <v>19</v>
      </c>
      <c r="AQ58" s="1">
        <f t="shared" ca="1" si="15"/>
        <v>11</v>
      </c>
      <c r="AR58" s="1">
        <f t="shared" ca="1" si="101"/>
        <v>1</v>
      </c>
      <c r="AS58" s="1">
        <f t="shared" ca="1" si="102"/>
        <v>1</v>
      </c>
      <c r="AT58" s="1">
        <f t="shared" ca="1" si="103"/>
        <v>22</v>
      </c>
      <c r="AU58" s="1" t="str">
        <f t="shared" ca="1" si="104"/>
        <v>El Salvador</v>
      </c>
      <c r="AV58" s="1">
        <f t="shared" ca="1" si="16"/>
        <v>21040</v>
      </c>
      <c r="AW58" s="1">
        <f t="shared" ca="1" si="17"/>
        <v>2012</v>
      </c>
      <c r="BA58" s="1">
        <f>MATCH(CONCATENATE($B58,"_",INDEX($C$4:$C53,BA$34)),lu_DataCode,0)</f>
        <v>103</v>
      </c>
      <c r="BB58" s="1">
        <f t="shared" ca="1" si="18"/>
        <v>2012</v>
      </c>
      <c r="BC58" s="1">
        <f t="shared" ca="1" si="19"/>
        <v>58.996000000000002</v>
      </c>
      <c r="BD58" s="1">
        <f t="shared" ca="1" si="20"/>
        <v>1</v>
      </c>
      <c r="BE58" s="1">
        <f t="shared" ca="1" si="105"/>
        <v>58.996000000000002</v>
      </c>
      <c r="BF58" s="1">
        <f ca="1">RANK(BE58,BE$37:BE$62,BE$34)+COUNTIF(BE$37:BE58,BE58)-1</f>
        <v>9</v>
      </c>
      <c r="BG58" s="1">
        <f t="shared" ca="1" si="21"/>
        <v>14</v>
      </c>
      <c r="BH58" s="1">
        <f t="shared" ca="1" si="106"/>
        <v>1</v>
      </c>
      <c r="BI58" s="1">
        <f t="shared" ca="1" si="107"/>
        <v>1</v>
      </c>
      <c r="BJ58" s="1">
        <f t="shared" ca="1" si="108"/>
        <v>22</v>
      </c>
      <c r="BK58" s="1" t="str">
        <f t="shared" ca="1" si="109"/>
        <v>Haiti</v>
      </c>
      <c r="BL58" s="1">
        <f t="shared" ca="1" si="22"/>
        <v>7.8949999999999996</v>
      </c>
      <c r="BM58" s="1">
        <f t="shared" ca="1" si="23"/>
        <v>2012</v>
      </c>
      <c r="BQ58" s="1">
        <f>MATCH(CONCATENATE($B58,"_",INDEX($C$4:$C53,BQ$34)),lu_DataCode,0)</f>
        <v>129</v>
      </c>
      <c r="BR58" s="1">
        <f t="shared" ca="1" si="24"/>
        <v>2012</v>
      </c>
      <c r="BS58" s="1">
        <f t="shared" ca="1" si="25"/>
        <v>98.747</v>
      </c>
      <c r="BT58" s="1">
        <f t="shared" ca="1" si="26"/>
        <v>1</v>
      </c>
      <c r="BU58" s="1">
        <f t="shared" ca="1" si="110"/>
        <v>98.747</v>
      </c>
      <c r="BV58" s="1">
        <f ca="1">RANK(BU58,BU$37:BU$62,BU$34)+COUNTIF(BU$37:BU58,BU58)-1</f>
        <v>9</v>
      </c>
      <c r="BW58" s="1">
        <f t="shared" ca="1" si="27"/>
        <v>2</v>
      </c>
      <c r="BX58" s="1">
        <f t="shared" ca="1" si="111"/>
        <v>1</v>
      </c>
      <c r="BY58" s="1">
        <f t="shared" ca="1" si="112"/>
        <v>1</v>
      </c>
      <c r="BZ58" s="1">
        <f t="shared" ca="1" si="113"/>
        <v>22</v>
      </c>
      <c r="CA58" s="1" t="str">
        <f t="shared" ca="1" si="114"/>
        <v>Bahamas</v>
      </c>
      <c r="CB58" s="1">
        <f t="shared" ca="1" si="28"/>
        <v>11.037000000000001</v>
      </c>
      <c r="CC58" s="1">
        <f t="shared" ca="1" si="29"/>
        <v>2012</v>
      </c>
      <c r="CG58" s="1">
        <f>MATCH(CONCATENATE($B58,"_",INDEX($C$4:$C53,CG$34)),lu_DataCode,0)</f>
        <v>155</v>
      </c>
      <c r="CH58" s="1">
        <f t="shared" ca="1" si="30"/>
        <v>2012</v>
      </c>
      <c r="CI58" s="1">
        <f t="shared" ca="1" si="31"/>
        <v>0.97430000000000005</v>
      </c>
      <c r="CJ58" s="1">
        <f t="shared" ca="1" si="32"/>
        <v>1</v>
      </c>
      <c r="CK58" s="1">
        <f t="shared" ca="1" si="115"/>
        <v>0.97430000000000005</v>
      </c>
      <c r="CL58" s="1">
        <f ca="1">RANK(CK58,CK$37:CK$62,CK$34)+COUNTIF(CK$37:CK58,CK58)-1</f>
        <v>11</v>
      </c>
      <c r="CM58" s="1">
        <f t="shared" ca="1" si="33"/>
        <v>13</v>
      </c>
      <c r="CN58" s="1">
        <f t="shared" ca="1" si="116"/>
        <v>1</v>
      </c>
      <c r="CO58" s="1">
        <f t="shared" ca="1" si="117"/>
        <v>1</v>
      </c>
      <c r="CP58" s="1">
        <f t="shared" ca="1" si="118"/>
        <v>22</v>
      </c>
      <c r="CQ58" s="1" t="str">
        <f t="shared" ca="1" si="119"/>
        <v>Guyana</v>
      </c>
      <c r="CR58" s="1">
        <f t="shared" ca="1" si="34"/>
        <v>0.2311281</v>
      </c>
      <c r="CS58" s="1">
        <f t="shared" ca="1" si="35"/>
        <v>2012</v>
      </c>
      <c r="CW58" s="1" t="e">
        <f>MATCH(CONCATENATE($B58,"_",INDEX($C$4:$C53,CW$34)),lu_DataCode,0)</f>
        <v>#N/A</v>
      </c>
      <c r="CX58" s="1" t="e">
        <f t="shared" ca="1" si="36"/>
        <v>#N/A</v>
      </c>
      <c r="CY58" s="1" t="e">
        <f t="shared" ca="1" si="37"/>
        <v>#N/A</v>
      </c>
      <c r="CZ58" s="1">
        <f t="shared" ca="1" si="38"/>
        <v>0</v>
      </c>
      <c r="DA58" s="1">
        <f t="shared" ca="1" si="120"/>
        <v>-10000000000</v>
      </c>
      <c r="DB58" s="1">
        <f ca="1">RANK(DA58,DA$37:DA$62,DA$34)+COUNTIF(DA$37:DA58,DA58)-1</f>
        <v>26</v>
      </c>
      <c r="DC58" s="1">
        <f t="shared" ca="1" si="39"/>
        <v>13</v>
      </c>
      <c r="DD58" s="1">
        <f t="shared" ca="1" si="121"/>
        <v>1</v>
      </c>
      <c r="DE58" s="1">
        <f t="shared" ca="1" si="122"/>
        <v>1</v>
      </c>
      <c r="DF58" s="1">
        <f t="shared" ca="1" si="123"/>
        <v>22</v>
      </c>
      <c r="DG58" s="1" t="str">
        <f t="shared" ca="1" si="124"/>
        <v>Guyana</v>
      </c>
      <c r="DH58" s="1">
        <f t="shared" ca="1" si="40"/>
        <v>2.44628E-2</v>
      </c>
      <c r="DI58" s="1">
        <f t="shared" ca="1" si="41"/>
        <v>2012</v>
      </c>
      <c r="DM58" s="1">
        <f>MATCH(CONCATENATE($B58,"_",INDEX($C$4:$C53,DM$34)),lu_DataCode,0)</f>
        <v>205</v>
      </c>
      <c r="DN58" s="1">
        <f t="shared" ca="1" si="42"/>
        <v>2012</v>
      </c>
      <c r="DO58" s="1">
        <f t="shared" ca="1" si="43"/>
        <v>9.0161134999999994</v>
      </c>
      <c r="DP58" s="1">
        <f t="shared" ca="1" si="44"/>
        <v>1</v>
      </c>
      <c r="DQ58" s="1">
        <f t="shared" ca="1" si="125"/>
        <v>9.016114</v>
      </c>
      <c r="DR58" s="1">
        <f ca="1">RANK(DQ58,DQ$37:DQ$62,DQ$34)+COUNTIF(DQ$37:DQ58,DQ58)-1</f>
        <v>16</v>
      </c>
      <c r="DS58" s="1">
        <f t="shared" ca="1" si="45"/>
        <v>13</v>
      </c>
      <c r="DT58" s="1">
        <f t="shared" ca="1" si="126"/>
        <v>1</v>
      </c>
      <c r="DU58" s="1">
        <f t="shared" ca="1" si="127"/>
        <v>1</v>
      </c>
      <c r="DV58" s="1">
        <f t="shared" ca="1" si="128"/>
        <v>22</v>
      </c>
      <c r="DW58" s="1" t="str">
        <f t="shared" ca="1" si="129"/>
        <v>Guyana</v>
      </c>
      <c r="DX58" s="1">
        <f t="shared" ca="1" si="46"/>
        <v>1.232</v>
      </c>
      <c r="DY58" s="1">
        <f t="shared" ca="1" si="47"/>
        <v>2012</v>
      </c>
      <c r="EC58" s="1">
        <f>MATCH(CONCATENATE($B58,"_",INDEX($C$4:$C53,EC$34)),lu_DataCode,0)</f>
        <v>230</v>
      </c>
      <c r="ED58" s="1">
        <f t="shared" ca="1" si="48"/>
        <v>2012</v>
      </c>
      <c r="EE58" s="1">
        <f t="shared" ca="1" si="49"/>
        <v>5487326.78623203</v>
      </c>
      <c r="EF58" s="1">
        <f t="shared" ca="1" si="50"/>
        <v>1</v>
      </c>
      <c r="EG58" s="1">
        <f t="shared" ca="1" si="130"/>
        <v>5487326.7862320002</v>
      </c>
      <c r="EH58" s="1">
        <f ca="1">RANK(EG58,EG$37:EG$62,EG$34)+COUNTIF(EG$37:EG58,EG58)-1</f>
        <v>16</v>
      </c>
      <c r="EI58" s="1">
        <f t="shared" ca="1" si="51"/>
        <v>18</v>
      </c>
      <c r="EJ58" s="1">
        <f t="shared" ca="1" si="131"/>
        <v>1</v>
      </c>
      <c r="EK58" s="1">
        <f t="shared" ca="1" si="132"/>
        <v>1</v>
      </c>
      <c r="EL58" s="1">
        <f t="shared" ca="1" si="133"/>
        <v>22</v>
      </c>
      <c r="EM58" s="1" t="str">
        <f t="shared" ca="1" si="134"/>
        <v>Nicaragua</v>
      </c>
      <c r="EN58" s="1">
        <f t="shared" ca="1" si="52"/>
        <v>1624135.206</v>
      </c>
      <c r="EO58" s="1">
        <f t="shared" ca="1" si="53"/>
        <v>2012</v>
      </c>
      <c r="ES58" s="1">
        <f>MATCH(CONCATENATE($B58,"_",INDEX($C$4:$C53,ES$34)),lu_DataCode,0)</f>
        <v>256</v>
      </c>
      <c r="ET58" s="1">
        <f t="shared" ca="1" si="54"/>
        <v>2012</v>
      </c>
      <c r="EU58" s="1">
        <f t="shared" ca="1" si="55"/>
        <v>17.811321400000001</v>
      </c>
      <c r="EV58" s="1">
        <f t="shared" ca="1" si="56"/>
        <v>1</v>
      </c>
      <c r="EW58" s="1">
        <f t="shared" ca="1" si="135"/>
        <v>17.811321</v>
      </c>
      <c r="EX58" s="1">
        <f ca="1">RANK(EW58,EW$37:EW$62,EW$34)+COUNTIF(EW$37:EW58,EW58)-1</f>
        <v>10</v>
      </c>
      <c r="EY58" s="1">
        <f t="shared" ca="1" si="57"/>
        <v>14</v>
      </c>
      <c r="EZ58" s="1">
        <f t="shared" ca="1" si="136"/>
        <v>1</v>
      </c>
      <c r="FA58" s="1">
        <f t="shared" ca="1" si="137"/>
        <v>1</v>
      </c>
      <c r="FB58" s="1">
        <f t="shared" ca="1" si="138"/>
        <v>22</v>
      </c>
      <c r="FC58" s="1" t="str">
        <f t="shared" ca="1" si="139"/>
        <v>Haiti</v>
      </c>
      <c r="FD58" s="1">
        <f t="shared" ca="1" si="58"/>
        <v>2.7906300000000002</v>
      </c>
      <c r="FE58" s="1">
        <f t="shared" ca="1" si="59"/>
        <v>2012</v>
      </c>
      <c r="FI58" s="1">
        <f>MATCH(CONCATENATE($B58,"_",INDEX($C$4:$C53,FI$34)),lu_DataCode,0)</f>
        <v>280</v>
      </c>
      <c r="FJ58" s="1">
        <f t="shared" ca="1" si="60"/>
        <v>2012</v>
      </c>
      <c r="FK58" s="1">
        <f t="shared" ca="1" si="61"/>
        <v>16893447.26289</v>
      </c>
      <c r="FL58" s="1">
        <f t="shared" ca="1" si="62"/>
        <v>1</v>
      </c>
      <c r="FM58" s="1">
        <f t="shared" ca="1" si="140"/>
        <v>16893447.26289</v>
      </c>
      <c r="FN58" s="1">
        <f ca="1">RANK(FM58,FM$37:FM$62,FM$34)+COUNTIF(FM$37:FM58,FM58)-1</f>
        <v>7</v>
      </c>
      <c r="FO58" s="1">
        <f t="shared" ca="1" si="63"/>
        <v>3</v>
      </c>
      <c r="FP58" s="1">
        <f t="shared" ca="1" si="141"/>
        <v>1</v>
      </c>
      <c r="FQ58" s="1">
        <f t="shared" ca="1" si="142"/>
        <v>1</v>
      </c>
      <c r="FR58" s="1">
        <f t="shared" ca="1" si="143"/>
        <v>22</v>
      </c>
      <c r="FS58" s="1" t="str">
        <f t="shared" ca="1" si="144"/>
        <v>Barbados</v>
      </c>
      <c r="FT58" s="1">
        <f t="shared" ca="1" si="64"/>
        <v>1146542.4569999999</v>
      </c>
      <c r="FU58" s="1">
        <f t="shared" ca="1" si="65"/>
        <v>2012</v>
      </c>
      <c r="FY58" s="1" t="e">
        <f>MATCH(CONCATENATE($B58,"_",INDEX($C$4:$C53,FY$34)),lu_DataCode,0)</f>
        <v>#N/A</v>
      </c>
      <c r="FZ58" s="1" t="e">
        <f t="shared" ca="1" si="66"/>
        <v>#N/A</v>
      </c>
      <c r="GA58" s="1" t="e">
        <f t="shared" ca="1" si="67"/>
        <v>#N/A</v>
      </c>
      <c r="GB58" s="1">
        <f t="shared" ca="1" si="68"/>
        <v>0</v>
      </c>
      <c r="GC58" s="1">
        <f t="shared" ca="1" si="145"/>
        <v>-10000000000</v>
      </c>
      <c r="GD58" s="1">
        <f ca="1">RANK(GC58,GC$37:GC$62,GC$34)+COUNTIF(GC$37:GC58,GC58)-1</f>
        <v>22</v>
      </c>
      <c r="GE58" s="1">
        <f t="shared" ca="1" si="69"/>
        <v>22</v>
      </c>
      <c r="GF58" s="1">
        <f t="shared" ca="1" si="146"/>
        <v>0</v>
      </c>
      <c r="GG58" s="1">
        <f t="shared" ca="1" si="147"/>
        <v>1</v>
      </c>
      <c r="GH58" s="1" t="str">
        <f t="shared" ca="1" si="148"/>
        <v/>
      </c>
      <c r="GI58" s="1" t="str">
        <f t="shared" ca="1" si="149"/>
        <v/>
      </c>
      <c r="GJ58" s="1" t="str">
        <f t="shared" ca="1" si="70"/>
        <v/>
      </c>
      <c r="GK58" s="1" t="str">
        <f t="shared" ca="1" si="71"/>
        <v/>
      </c>
      <c r="GO58" s="1" t="e">
        <f>MATCH(CONCATENATE($B58,"_",INDEX($C$4:$C53,GO$34)),lu_DataCode,0)</f>
        <v>#N/A</v>
      </c>
      <c r="GP58" s="1" t="e">
        <f t="shared" ca="1" si="72"/>
        <v>#N/A</v>
      </c>
      <c r="GQ58" s="1" t="e">
        <f t="shared" ca="1" si="73"/>
        <v>#N/A</v>
      </c>
      <c r="GR58" s="1">
        <f t="shared" ca="1" si="74"/>
        <v>0</v>
      </c>
      <c r="GS58" s="1">
        <f t="shared" ca="1" si="150"/>
        <v>-10000000000</v>
      </c>
      <c r="GT58" s="1">
        <f ca="1">RANK(GS58,GS$37:GS$62,GS$34)+COUNTIF(GS$37:GS58,GS58)-1</f>
        <v>22</v>
      </c>
      <c r="GU58" s="1">
        <f t="shared" ca="1" si="75"/>
        <v>22</v>
      </c>
      <c r="GV58" s="1">
        <f t="shared" ca="1" si="151"/>
        <v>0</v>
      </c>
      <c r="GW58" s="1">
        <f t="shared" ca="1" si="152"/>
        <v>1</v>
      </c>
      <c r="GX58" s="1" t="str">
        <f t="shared" ca="1" si="153"/>
        <v/>
      </c>
      <c r="GY58" s="1" t="str">
        <f t="shared" ca="1" si="154"/>
        <v/>
      </c>
      <c r="GZ58" s="1" t="str">
        <f t="shared" ca="1" si="76"/>
        <v/>
      </c>
      <c r="HA58" s="1" t="str">
        <f t="shared" ca="1" si="77"/>
        <v/>
      </c>
      <c r="HE58" s="1" t="e">
        <f>MATCH(CONCATENATE($B58,"_",INDEX($C$4:$C53,HE$34)),lu_DataCode,0)</f>
        <v>#N/A</v>
      </c>
      <c r="HF58" s="1" t="e">
        <f t="shared" ca="1" si="78"/>
        <v>#N/A</v>
      </c>
      <c r="HG58" s="1" t="e">
        <f t="shared" ca="1" si="79"/>
        <v>#N/A</v>
      </c>
      <c r="HH58" s="1">
        <f t="shared" ca="1" si="80"/>
        <v>0</v>
      </c>
      <c r="HI58" s="1">
        <f t="shared" ca="1" si="155"/>
        <v>-10000000000</v>
      </c>
      <c r="HJ58" s="1">
        <f ca="1">RANK(HI58,HI$37:HI$62,HI$34)+COUNTIF(HI$37:HI58,HI58)-1</f>
        <v>22</v>
      </c>
      <c r="HK58" s="1">
        <f t="shared" ca="1" si="81"/>
        <v>22</v>
      </c>
      <c r="HL58" s="1">
        <f t="shared" ca="1" si="156"/>
        <v>0</v>
      </c>
      <c r="HM58" s="1">
        <f t="shared" ca="1" si="157"/>
        <v>1</v>
      </c>
      <c r="HN58" s="1" t="str">
        <f t="shared" ca="1" si="158"/>
        <v/>
      </c>
      <c r="HO58" s="1" t="str">
        <f t="shared" ca="1" si="159"/>
        <v/>
      </c>
      <c r="HP58" s="1" t="str">
        <f t="shared" ca="1" si="82"/>
        <v/>
      </c>
      <c r="HQ58" s="1" t="str">
        <f t="shared" ca="1" si="83"/>
        <v/>
      </c>
      <c r="HU58" s="1" t="e">
        <f>MATCH(CONCATENATE($B58,"_",INDEX($C$4:$C53,HU$34)),lu_DataCode,0)</f>
        <v>#N/A</v>
      </c>
      <c r="HV58" s="1" t="e">
        <f t="shared" ca="1" si="84"/>
        <v>#N/A</v>
      </c>
      <c r="HW58" s="1" t="e">
        <f t="shared" ca="1" si="85"/>
        <v>#N/A</v>
      </c>
      <c r="HX58" s="1">
        <f t="shared" ca="1" si="86"/>
        <v>0</v>
      </c>
      <c r="HY58" s="1">
        <f t="shared" ca="1" si="160"/>
        <v>-10000000000</v>
      </c>
      <c r="HZ58" s="1">
        <f ca="1">RANK(HY58,HY$37:HY$62,HY$34)+COUNTIF(HY$37:HY58,HY58)-1</f>
        <v>22</v>
      </c>
      <c r="IA58" s="1">
        <f t="shared" ca="1" si="87"/>
        <v>22</v>
      </c>
      <c r="IB58" s="1">
        <f t="shared" ca="1" si="161"/>
        <v>0</v>
      </c>
      <c r="IC58" s="1">
        <f t="shared" ca="1" si="162"/>
        <v>1</v>
      </c>
      <c r="ID58" s="1" t="str">
        <f t="shared" ca="1" si="163"/>
        <v/>
      </c>
      <c r="IE58" s="1" t="str">
        <f t="shared" ca="1" si="164"/>
        <v/>
      </c>
      <c r="IF58" s="1" t="str">
        <f t="shared" ca="1" si="88"/>
        <v/>
      </c>
      <c r="IG58" s="1" t="str">
        <f t="shared" ca="1" si="89"/>
        <v/>
      </c>
    </row>
    <row r="59" spans="1:241" ht="10.15" x14ac:dyDescent="0.2">
      <c r="A59" s="1">
        <v>23</v>
      </c>
      <c r="B59" s="1" t="str">
        <f>tblCountries!E25</f>
        <v>NAC_SR_1</v>
      </c>
      <c r="C59" s="1" t="str">
        <f>tblCountries!C25</f>
        <v>Suriname</v>
      </c>
      <c r="D59" s="1">
        <f>tblCountries!D25</f>
        <v>1</v>
      </c>
      <c r="E59" s="1">
        <f>MATCH(CONCATENATE($B59,"_",INDEX($C$4:$C54,E$34)),lu_DataCode,0)</f>
        <v>13</v>
      </c>
      <c r="F59" s="1">
        <f t="shared" ca="1" si="165"/>
        <v>2012</v>
      </c>
      <c r="G59" s="1">
        <f t="shared" ca="1" si="166"/>
        <v>6.0552171063273095</v>
      </c>
      <c r="H59" s="1">
        <f t="shared" ca="1" si="167"/>
        <v>1</v>
      </c>
      <c r="I59" s="1">
        <f t="shared" ca="1" si="90"/>
        <v>6.0552169999999998</v>
      </c>
      <c r="J59" s="1">
        <f ca="1">RANK(I59,I$37:I$62,I$34)+COUNTIF(I$37:I59,I59)-1</f>
        <v>13</v>
      </c>
      <c r="K59" s="1">
        <f t="shared" ca="1" si="168"/>
        <v>4</v>
      </c>
      <c r="L59" s="1">
        <f t="shared" ca="1" si="169"/>
        <v>1</v>
      </c>
      <c r="M59" s="1">
        <f t="shared" ca="1" si="92"/>
        <v>1</v>
      </c>
      <c r="N59" s="1">
        <f t="shared" ca="1" si="93"/>
        <v>23</v>
      </c>
      <c r="O59" s="1" t="str">
        <f t="shared" ca="1" si="94"/>
        <v>Belize</v>
      </c>
      <c r="P59" s="1">
        <f t="shared" ca="1" si="170"/>
        <v>3.6146611585719599</v>
      </c>
      <c r="Q59" s="1">
        <f t="shared" ca="1" si="171"/>
        <v>2012</v>
      </c>
      <c r="U59" s="1">
        <f>MATCH(CONCATENATE($B59,"_",INDEX($C$4:$C54,U$34)),lu_DataCode,0)</f>
        <v>38</v>
      </c>
      <c r="V59" s="1">
        <f t="shared" ca="1" si="172"/>
        <v>2012</v>
      </c>
      <c r="W59" s="1">
        <f t="shared" ca="1" si="173"/>
        <v>0.54600000000000004</v>
      </c>
      <c r="X59" s="1">
        <f t="shared" ca="1" si="174"/>
        <v>1</v>
      </c>
      <c r="Y59" s="1">
        <f t="shared" ca="1" si="95"/>
        <v>0.54600000000000004</v>
      </c>
      <c r="Z59" s="1">
        <f ca="1">RANK(Y59,Y$37:Y$62,Y$34)+COUNTIF(Y$37:Y59,Y59)-1</f>
        <v>23</v>
      </c>
      <c r="AA59" s="1">
        <f t="shared" ca="1" si="175"/>
        <v>23</v>
      </c>
      <c r="AB59" s="1">
        <f t="shared" ca="1" si="176"/>
        <v>1</v>
      </c>
      <c r="AC59" s="1">
        <f t="shared" ca="1" si="97"/>
        <v>1</v>
      </c>
      <c r="AD59" s="1">
        <f t="shared" ca="1" si="98"/>
        <v>23</v>
      </c>
      <c r="AE59" s="1" t="str">
        <f t="shared" ca="1" si="99"/>
        <v>Suriname</v>
      </c>
      <c r="AF59" s="1">
        <f t="shared" ca="1" si="177"/>
        <v>0.54600000000000004</v>
      </c>
      <c r="AG59" s="1">
        <f t="shared" ca="1" si="178"/>
        <v>2012</v>
      </c>
      <c r="AK59" s="1">
        <f>MATCH(CONCATENATE($B59,"_",INDEX($C$4:$C54,AK$34)),lu_DataCode,0)</f>
        <v>64</v>
      </c>
      <c r="AL59" s="1">
        <f t="shared" ca="1" si="12"/>
        <v>2012</v>
      </c>
      <c r="AM59" s="1">
        <f t="shared" ca="1" si="13"/>
        <v>163820</v>
      </c>
      <c r="AN59" s="1">
        <f t="shared" ca="1" si="14"/>
        <v>1</v>
      </c>
      <c r="AO59" s="1">
        <f t="shared" ca="1" si="100"/>
        <v>163820</v>
      </c>
      <c r="AP59" s="1">
        <f ca="1">RANK(AO59,AO$37:AO$62,AO$34)+COUNTIF(AO$37:AO59,AO59)-1</f>
        <v>13</v>
      </c>
      <c r="AQ59" s="1">
        <f t="shared" ca="1" si="15"/>
        <v>2</v>
      </c>
      <c r="AR59" s="1">
        <f t="shared" ca="1" si="101"/>
        <v>1</v>
      </c>
      <c r="AS59" s="1">
        <f t="shared" ca="1" si="102"/>
        <v>1</v>
      </c>
      <c r="AT59" s="1">
        <f t="shared" ca="1" si="103"/>
        <v>23</v>
      </c>
      <c r="AU59" s="1" t="str">
        <f t="shared" ca="1" si="104"/>
        <v>Bahamas</v>
      </c>
      <c r="AV59" s="1">
        <f t="shared" ca="1" si="16"/>
        <v>13880</v>
      </c>
      <c r="AW59" s="1">
        <f t="shared" ca="1" si="17"/>
        <v>2012</v>
      </c>
      <c r="BA59" s="1">
        <f>MATCH(CONCATENATE($B59,"_",INDEX($C$4:$C54,BA$34)),lu_DataCode,0)</f>
        <v>90</v>
      </c>
      <c r="BB59" s="1">
        <f t="shared" ca="1" si="18"/>
        <v>2012</v>
      </c>
      <c r="BC59" s="1">
        <f t="shared" ca="1" si="19"/>
        <v>4.7380000000000004</v>
      </c>
      <c r="BD59" s="1">
        <f t="shared" ca="1" si="20"/>
        <v>1</v>
      </c>
      <c r="BE59" s="1">
        <f t="shared" ca="1" si="105"/>
        <v>4.7380000000000004</v>
      </c>
      <c r="BF59" s="1">
        <f ca="1">RANK(BE59,BE$37:BE$62,BE$34)+COUNTIF(BE$37:BE59,BE59)-1</f>
        <v>23</v>
      </c>
      <c r="BG59" s="1">
        <f t="shared" ca="1" si="21"/>
        <v>23</v>
      </c>
      <c r="BH59" s="1">
        <f t="shared" ca="1" si="106"/>
        <v>1</v>
      </c>
      <c r="BI59" s="1">
        <f t="shared" ca="1" si="107"/>
        <v>1</v>
      </c>
      <c r="BJ59" s="1">
        <f t="shared" ca="1" si="108"/>
        <v>23</v>
      </c>
      <c r="BK59" s="1" t="str">
        <f t="shared" ca="1" si="109"/>
        <v>Suriname</v>
      </c>
      <c r="BL59" s="1">
        <f t="shared" ca="1" si="22"/>
        <v>4.7380000000000004</v>
      </c>
      <c r="BM59" s="1">
        <f t="shared" ca="1" si="23"/>
        <v>2012</v>
      </c>
      <c r="BQ59" s="1">
        <f>MATCH(CONCATENATE($B59,"_",INDEX($C$4:$C54,BQ$34)),lu_DataCode,0)</f>
        <v>116</v>
      </c>
      <c r="BR59" s="1">
        <f t="shared" ca="1" si="24"/>
        <v>2012</v>
      </c>
      <c r="BS59" s="1">
        <f t="shared" ca="1" si="25"/>
        <v>6.7629999999999999</v>
      </c>
      <c r="BT59" s="1">
        <f t="shared" ca="1" si="26"/>
        <v>1</v>
      </c>
      <c r="BU59" s="1">
        <f t="shared" ca="1" si="110"/>
        <v>6.7629999999999999</v>
      </c>
      <c r="BV59" s="1">
        <f ca="1">RANK(BU59,BU$37:BU$62,BU$34)+COUNTIF(BU$37:BU59,BU59)-1</f>
        <v>24</v>
      </c>
      <c r="BW59" s="1">
        <f t="shared" ca="1" si="27"/>
        <v>3</v>
      </c>
      <c r="BX59" s="1">
        <f t="shared" ca="1" si="111"/>
        <v>1</v>
      </c>
      <c r="BY59" s="1">
        <f t="shared" ca="1" si="112"/>
        <v>1</v>
      </c>
      <c r="BZ59" s="1">
        <f t="shared" ca="1" si="113"/>
        <v>23</v>
      </c>
      <c r="CA59" s="1" t="str">
        <f t="shared" ca="1" si="114"/>
        <v>Barbados</v>
      </c>
      <c r="CB59" s="1">
        <f t="shared" ca="1" si="28"/>
        <v>7.0910000000000002</v>
      </c>
      <c r="CC59" s="1">
        <f t="shared" ca="1" si="29"/>
        <v>2012</v>
      </c>
      <c r="CG59" s="1">
        <f>MATCH(CONCATENATE($B59,"_",INDEX($C$4:$C54,CG$34)),lu_DataCode,0)</f>
        <v>142</v>
      </c>
      <c r="CH59" s="1">
        <f t="shared" ca="1" si="30"/>
        <v>2012</v>
      </c>
      <c r="CI59" s="1">
        <f t="shared" ca="1" si="31"/>
        <v>7.8880000000000006E-2</v>
      </c>
      <c r="CJ59" s="1">
        <f t="shared" ca="1" si="32"/>
        <v>1</v>
      </c>
      <c r="CK59" s="1">
        <f t="shared" ca="1" si="115"/>
        <v>7.8880000000000006E-2</v>
      </c>
      <c r="CL59" s="1">
        <f ca="1">RANK(CK59,CK$37:CK$62,CK$34)+COUNTIF(CK$37:CK59,CK59)-1</f>
        <v>26</v>
      </c>
      <c r="CM59" s="1">
        <f t="shared" ca="1" si="33"/>
        <v>3</v>
      </c>
      <c r="CN59" s="1">
        <f t="shared" ca="1" si="116"/>
        <v>1</v>
      </c>
      <c r="CO59" s="1">
        <f t="shared" ca="1" si="117"/>
        <v>1</v>
      </c>
      <c r="CP59" s="1">
        <f t="shared" ca="1" si="118"/>
        <v>23</v>
      </c>
      <c r="CQ59" s="1" t="str">
        <f t="shared" ca="1" si="119"/>
        <v>Barbados</v>
      </c>
      <c r="CR59" s="1">
        <f t="shared" ca="1" si="34"/>
        <v>0.16877030000000001</v>
      </c>
      <c r="CS59" s="1">
        <f t="shared" ca="1" si="35"/>
        <v>2012</v>
      </c>
      <c r="CW59" s="1">
        <f>MATCH(CONCATENATE($B59,"_",INDEX($C$4:$C54,CW$34)),lu_DataCode,0)</f>
        <v>167</v>
      </c>
      <c r="CX59" s="1">
        <f t="shared" ca="1" si="36"/>
        <v>2012</v>
      </c>
      <c r="CY59" s="1">
        <f t="shared" ca="1" si="37"/>
        <v>2.0910000000000002E-2</v>
      </c>
      <c r="CZ59" s="1">
        <f t="shared" ca="1" si="38"/>
        <v>1</v>
      </c>
      <c r="DA59" s="1">
        <f t="shared" ca="1" si="120"/>
        <v>2.0910000000000002E-2</v>
      </c>
      <c r="DB59" s="1">
        <f ca="1">RANK(DA59,DA$37:DA$62,DA$34)+COUNTIF(DA$37:DA59,DA59)-1</f>
        <v>23</v>
      </c>
      <c r="DC59" s="1">
        <f t="shared" ca="1" si="39"/>
        <v>23</v>
      </c>
      <c r="DD59" s="1">
        <f t="shared" ca="1" si="121"/>
        <v>1</v>
      </c>
      <c r="DE59" s="1">
        <f t="shared" ca="1" si="122"/>
        <v>1</v>
      </c>
      <c r="DF59" s="1">
        <f t="shared" ca="1" si="123"/>
        <v>23</v>
      </c>
      <c r="DG59" s="1" t="str">
        <f t="shared" ca="1" si="124"/>
        <v>Suriname</v>
      </c>
      <c r="DH59" s="1">
        <f t="shared" ca="1" si="40"/>
        <v>2.0910000000000002E-2</v>
      </c>
      <c r="DI59" s="1">
        <f t="shared" ca="1" si="41"/>
        <v>2012</v>
      </c>
      <c r="DM59" s="1">
        <f>MATCH(CONCATENATE($B59,"_",INDEX($C$4:$C54,DM$34)),lu_DataCode,0)</f>
        <v>192</v>
      </c>
      <c r="DN59" s="1">
        <f t="shared" ca="1" si="42"/>
        <v>2012</v>
      </c>
      <c r="DO59" s="1">
        <f t="shared" ca="1" si="43"/>
        <v>2.0964399999999999</v>
      </c>
      <c r="DP59" s="1">
        <f t="shared" ca="1" si="44"/>
        <v>1</v>
      </c>
      <c r="DQ59" s="1">
        <f t="shared" ca="1" si="125"/>
        <v>2.0964399999999999</v>
      </c>
      <c r="DR59" s="1">
        <f ca="1">RANK(DQ59,DQ$37:DQ$62,DQ$34)+COUNTIF(DQ$37:DQ59,DQ59)-1</f>
        <v>20</v>
      </c>
      <c r="DS59" s="1">
        <f t="shared" ca="1" si="45"/>
        <v>2</v>
      </c>
      <c r="DT59" s="1">
        <f t="shared" ca="1" si="126"/>
        <v>1</v>
      </c>
      <c r="DU59" s="1">
        <f t="shared" ca="1" si="127"/>
        <v>1</v>
      </c>
      <c r="DV59" s="1">
        <f t="shared" ca="1" si="128"/>
        <v>23</v>
      </c>
      <c r="DW59" s="1" t="str">
        <f t="shared" ca="1" si="129"/>
        <v>Bahamas</v>
      </c>
      <c r="DX59" s="1">
        <f t="shared" ca="1" si="46"/>
        <v>0.88939109999999999</v>
      </c>
      <c r="DY59" s="1">
        <f t="shared" ca="1" si="47"/>
        <v>2012</v>
      </c>
      <c r="EC59" s="1">
        <f>MATCH(CONCATENATE($B59,"_",INDEX($C$4:$C54,EC$34)),lu_DataCode,0)</f>
        <v>217</v>
      </c>
      <c r="ED59" s="1">
        <f t="shared" ca="1" si="48"/>
        <v>2012</v>
      </c>
      <c r="EE59" s="1">
        <f t="shared" ca="1" si="49"/>
        <v>1228304.2109999999</v>
      </c>
      <c r="EF59" s="1">
        <f t="shared" ca="1" si="50"/>
        <v>1</v>
      </c>
      <c r="EG59" s="1">
        <f t="shared" ca="1" si="130"/>
        <v>1228304.2109999999</v>
      </c>
      <c r="EH59" s="1">
        <f ca="1">RANK(EG59,EG$37:EG$62,EG$34)+COUNTIF(EG$37:EG59,EG59)-1</f>
        <v>23</v>
      </c>
      <c r="EI59" s="1">
        <f t="shared" ca="1" si="51"/>
        <v>23</v>
      </c>
      <c r="EJ59" s="1">
        <f t="shared" ca="1" si="131"/>
        <v>1</v>
      </c>
      <c r="EK59" s="1">
        <f t="shared" ca="1" si="132"/>
        <v>1</v>
      </c>
      <c r="EL59" s="1">
        <f t="shared" ca="1" si="133"/>
        <v>23</v>
      </c>
      <c r="EM59" s="1" t="str">
        <f t="shared" ca="1" si="134"/>
        <v>Suriname</v>
      </c>
      <c r="EN59" s="1">
        <f t="shared" ca="1" si="52"/>
        <v>1228304.2109999999</v>
      </c>
      <c r="EO59" s="1">
        <f t="shared" ca="1" si="53"/>
        <v>2012</v>
      </c>
      <c r="ES59" s="1">
        <f>MATCH(CONCATENATE($B59,"_",INDEX($C$4:$C54,ES$34)),lu_DataCode,0)</f>
        <v>243</v>
      </c>
      <c r="ET59" s="1">
        <f t="shared" ca="1" si="54"/>
        <v>2012</v>
      </c>
      <c r="EU59" s="1">
        <f t="shared" ca="1" si="55"/>
        <v>1.36799</v>
      </c>
      <c r="EV59" s="1">
        <f t="shared" ca="1" si="56"/>
        <v>1</v>
      </c>
      <c r="EW59" s="1">
        <f t="shared" ca="1" si="135"/>
        <v>1.36799</v>
      </c>
      <c r="EX59" s="1">
        <f ca="1">RANK(EW59,EW$37:EW$62,EW$34)+COUNTIF(EW$37:EW59,EW59)-1</f>
        <v>25</v>
      </c>
      <c r="EY59" s="1">
        <f t="shared" ca="1" si="57"/>
        <v>13</v>
      </c>
      <c r="EZ59" s="1">
        <f t="shared" ca="1" si="136"/>
        <v>1</v>
      </c>
      <c r="FA59" s="1">
        <f t="shared" ca="1" si="137"/>
        <v>1</v>
      </c>
      <c r="FB59" s="1">
        <f t="shared" ca="1" si="138"/>
        <v>23</v>
      </c>
      <c r="FC59" s="1" t="str">
        <f t="shared" ca="1" si="139"/>
        <v>Guyana</v>
      </c>
      <c r="FD59" s="1">
        <f t="shared" ca="1" si="58"/>
        <v>1.9390000000000001</v>
      </c>
      <c r="FE59" s="1">
        <f t="shared" ca="1" si="59"/>
        <v>2012</v>
      </c>
      <c r="FI59" s="1">
        <f>MATCH(CONCATENATE($B59,"_",INDEX($C$4:$C54,FI$34)),lu_DataCode,0)</f>
        <v>268</v>
      </c>
      <c r="FJ59" s="1">
        <f t="shared" ca="1" si="60"/>
        <v>2012</v>
      </c>
      <c r="FK59" s="1">
        <f t="shared" ca="1" si="61"/>
        <v>2842770.2149999999</v>
      </c>
      <c r="FL59" s="1">
        <f t="shared" ca="1" si="62"/>
        <v>1</v>
      </c>
      <c r="FM59" s="1">
        <f t="shared" ca="1" si="140"/>
        <v>2842770.2149999999</v>
      </c>
      <c r="FN59" s="1">
        <f ca="1">RANK(FM59,FM$37:FM$62,FM$34)+COUNTIF(FM$37:FM59,FM59)-1</f>
        <v>20</v>
      </c>
      <c r="FO59" s="1">
        <f t="shared" ca="1" si="63"/>
        <v>13</v>
      </c>
      <c r="FP59" s="1">
        <f t="shared" ca="1" si="141"/>
        <v>1</v>
      </c>
      <c r="FQ59" s="1">
        <f t="shared" ca="1" si="142"/>
        <v>1</v>
      </c>
      <c r="FR59" s="1">
        <f t="shared" ca="1" si="143"/>
        <v>23</v>
      </c>
      <c r="FS59" s="1" t="str">
        <f t="shared" ca="1" si="144"/>
        <v>Guyana</v>
      </c>
      <c r="FT59" s="1">
        <f t="shared" ca="1" si="64"/>
        <v>916122.44773120002</v>
      </c>
      <c r="FU59" s="1">
        <f t="shared" ca="1" si="65"/>
        <v>2012</v>
      </c>
      <c r="FY59" s="1" t="e">
        <f>MATCH(CONCATENATE($B59,"_",INDEX($C$4:$C54,FY$34)),lu_DataCode,0)</f>
        <v>#N/A</v>
      </c>
      <c r="FZ59" s="1" t="e">
        <f t="shared" ca="1" si="66"/>
        <v>#N/A</v>
      </c>
      <c r="GA59" s="1" t="e">
        <f t="shared" ca="1" si="67"/>
        <v>#N/A</v>
      </c>
      <c r="GB59" s="1">
        <f t="shared" ca="1" si="68"/>
        <v>0</v>
      </c>
      <c r="GC59" s="1">
        <f t="shared" ca="1" si="145"/>
        <v>-10000000000</v>
      </c>
      <c r="GD59" s="1">
        <f ca="1">RANK(GC59,GC$37:GC$62,GC$34)+COUNTIF(GC$37:GC59,GC59)-1</f>
        <v>23</v>
      </c>
      <c r="GE59" s="1">
        <f t="shared" ca="1" si="69"/>
        <v>23</v>
      </c>
      <c r="GF59" s="1">
        <f t="shared" ca="1" si="146"/>
        <v>0</v>
      </c>
      <c r="GG59" s="1">
        <f t="shared" ca="1" si="147"/>
        <v>1</v>
      </c>
      <c r="GH59" s="1" t="str">
        <f t="shared" ca="1" si="148"/>
        <v/>
      </c>
      <c r="GI59" s="1" t="str">
        <f t="shared" ca="1" si="149"/>
        <v/>
      </c>
      <c r="GJ59" s="1" t="str">
        <f t="shared" ca="1" si="70"/>
        <v/>
      </c>
      <c r="GK59" s="1" t="str">
        <f t="shared" ca="1" si="71"/>
        <v/>
      </c>
      <c r="GO59" s="1" t="e">
        <f>MATCH(CONCATENATE($B59,"_",INDEX($C$4:$C54,GO$34)),lu_DataCode,0)</f>
        <v>#N/A</v>
      </c>
      <c r="GP59" s="1" t="e">
        <f t="shared" ca="1" si="72"/>
        <v>#N/A</v>
      </c>
      <c r="GQ59" s="1" t="e">
        <f t="shared" ca="1" si="73"/>
        <v>#N/A</v>
      </c>
      <c r="GR59" s="1">
        <f t="shared" ca="1" si="74"/>
        <v>0</v>
      </c>
      <c r="GS59" s="1">
        <f t="shared" ca="1" si="150"/>
        <v>-10000000000</v>
      </c>
      <c r="GT59" s="1">
        <f ca="1">RANK(GS59,GS$37:GS$62,GS$34)+COUNTIF(GS$37:GS59,GS59)-1</f>
        <v>23</v>
      </c>
      <c r="GU59" s="1">
        <f t="shared" ca="1" si="75"/>
        <v>23</v>
      </c>
      <c r="GV59" s="1">
        <f t="shared" ca="1" si="151"/>
        <v>0</v>
      </c>
      <c r="GW59" s="1">
        <f t="shared" ca="1" si="152"/>
        <v>1</v>
      </c>
      <c r="GX59" s="1" t="str">
        <f t="shared" ca="1" si="153"/>
        <v/>
      </c>
      <c r="GY59" s="1" t="str">
        <f t="shared" ca="1" si="154"/>
        <v/>
      </c>
      <c r="GZ59" s="1" t="str">
        <f t="shared" ca="1" si="76"/>
        <v/>
      </c>
      <c r="HA59" s="1" t="str">
        <f t="shared" ca="1" si="77"/>
        <v/>
      </c>
      <c r="HE59" s="1" t="e">
        <f>MATCH(CONCATENATE($B59,"_",INDEX($C$4:$C54,HE$34)),lu_DataCode,0)</f>
        <v>#N/A</v>
      </c>
      <c r="HF59" s="1" t="e">
        <f t="shared" ca="1" si="78"/>
        <v>#N/A</v>
      </c>
      <c r="HG59" s="1" t="e">
        <f t="shared" ca="1" si="79"/>
        <v>#N/A</v>
      </c>
      <c r="HH59" s="1">
        <f t="shared" ca="1" si="80"/>
        <v>0</v>
      </c>
      <c r="HI59" s="1">
        <f t="shared" ca="1" si="155"/>
        <v>-10000000000</v>
      </c>
      <c r="HJ59" s="1">
        <f ca="1">RANK(HI59,HI$37:HI$62,HI$34)+COUNTIF(HI$37:HI59,HI59)-1</f>
        <v>23</v>
      </c>
      <c r="HK59" s="1">
        <f t="shared" ca="1" si="81"/>
        <v>23</v>
      </c>
      <c r="HL59" s="1">
        <f t="shared" ca="1" si="156"/>
        <v>0</v>
      </c>
      <c r="HM59" s="1">
        <f t="shared" ca="1" si="157"/>
        <v>1</v>
      </c>
      <c r="HN59" s="1" t="str">
        <f t="shared" ca="1" si="158"/>
        <v/>
      </c>
      <c r="HO59" s="1" t="str">
        <f t="shared" ca="1" si="159"/>
        <v/>
      </c>
      <c r="HP59" s="1" t="str">
        <f t="shared" ca="1" si="82"/>
        <v/>
      </c>
      <c r="HQ59" s="1" t="str">
        <f t="shared" ca="1" si="83"/>
        <v/>
      </c>
      <c r="HU59" s="1" t="e">
        <f>MATCH(CONCATENATE($B59,"_",INDEX($C$4:$C54,HU$34)),lu_DataCode,0)</f>
        <v>#N/A</v>
      </c>
      <c r="HV59" s="1" t="e">
        <f t="shared" ca="1" si="84"/>
        <v>#N/A</v>
      </c>
      <c r="HW59" s="1" t="e">
        <f t="shared" ca="1" si="85"/>
        <v>#N/A</v>
      </c>
      <c r="HX59" s="1">
        <f t="shared" ca="1" si="86"/>
        <v>0</v>
      </c>
      <c r="HY59" s="1">
        <f t="shared" ca="1" si="160"/>
        <v>-10000000000</v>
      </c>
      <c r="HZ59" s="1">
        <f ca="1">RANK(HY59,HY$37:HY$62,HY$34)+COUNTIF(HY$37:HY59,HY59)-1</f>
        <v>23</v>
      </c>
      <c r="IA59" s="1">
        <f t="shared" ca="1" si="87"/>
        <v>23</v>
      </c>
      <c r="IB59" s="1">
        <f t="shared" ca="1" si="161"/>
        <v>0</v>
      </c>
      <c r="IC59" s="1">
        <f t="shared" ca="1" si="162"/>
        <v>1</v>
      </c>
      <c r="ID59" s="1" t="str">
        <f t="shared" ca="1" si="163"/>
        <v/>
      </c>
      <c r="IE59" s="1" t="str">
        <f t="shared" ca="1" si="164"/>
        <v/>
      </c>
      <c r="IF59" s="1" t="str">
        <f t="shared" ca="1" si="88"/>
        <v/>
      </c>
      <c r="IG59" s="1" t="str">
        <f t="shared" ca="1" si="89"/>
        <v/>
      </c>
    </row>
    <row r="60" spans="1:241" ht="10.15" x14ac:dyDescent="0.2">
      <c r="A60" s="1">
        <v>24</v>
      </c>
      <c r="B60" s="1" t="str">
        <f>tblCountries!E26</f>
        <v>NAC_TT_1</v>
      </c>
      <c r="C60" s="1" t="str">
        <f>tblCountries!C26</f>
        <v>Trinidad and Tobago</v>
      </c>
      <c r="D60" s="1">
        <f>tblCountries!D26</f>
        <v>1</v>
      </c>
      <c r="E60" s="1">
        <f>MATCH(CONCATENATE($B60,"_",INDEX($C$4:$C55,E$34)),lu_DataCode,0)</f>
        <v>14</v>
      </c>
      <c r="F60" s="1">
        <f t="shared" ca="1" si="165"/>
        <v>2012</v>
      </c>
      <c r="G60" s="1">
        <f t="shared" ca="1" si="166"/>
        <v>5.3618877032470706</v>
      </c>
      <c r="H60" s="1">
        <f t="shared" ca="1" si="167"/>
        <v>1</v>
      </c>
      <c r="I60" s="1">
        <f t="shared" ca="1" si="90"/>
        <v>5.3618880000000004</v>
      </c>
      <c r="J60" s="1">
        <f ca="1">RANK(I60,I$37:I$62,I$34)+COUNTIF(I$37:I60,I60)-1</f>
        <v>16</v>
      </c>
      <c r="K60" s="1">
        <f t="shared" ca="1" si="168"/>
        <v>26</v>
      </c>
      <c r="L60" s="1">
        <f t="shared" ca="1" si="169"/>
        <v>1</v>
      </c>
      <c r="M60" s="1">
        <f t="shared" ca="1" si="92"/>
        <v>1</v>
      </c>
      <c r="N60" s="1">
        <f t="shared" ca="1" si="93"/>
        <v>24</v>
      </c>
      <c r="O60" s="1" t="str">
        <f t="shared" ca="1" si="94"/>
        <v>Venezuela</v>
      </c>
      <c r="P60" s="1">
        <f t="shared" ca="1" si="170"/>
        <v>3.5627437840933798</v>
      </c>
      <c r="Q60" s="1">
        <f t="shared" ca="1" si="171"/>
        <v>2012</v>
      </c>
      <c r="U60" s="1">
        <f>MATCH(CONCATENATE($B60,"_",INDEX($C$4:$C55,U$34)),lu_DataCode,0)</f>
        <v>39</v>
      </c>
      <c r="V60" s="1">
        <f t="shared" ca="1" si="172"/>
        <v>2012</v>
      </c>
      <c r="W60" s="1">
        <f t="shared" ca="1" si="173"/>
        <v>1.329</v>
      </c>
      <c r="X60" s="1">
        <f t="shared" ca="1" si="174"/>
        <v>1</v>
      </c>
      <c r="Y60" s="1">
        <f t="shared" ca="1" si="95"/>
        <v>1.329</v>
      </c>
      <c r="Z60" s="1">
        <f ca="1">RANK(Y60,Y$37:Y$62,Y$34)+COUNTIF(Y$37:Y60,Y60)-1</f>
        <v>21</v>
      </c>
      <c r="AA60" s="1">
        <f t="shared" ca="1" si="175"/>
        <v>2</v>
      </c>
      <c r="AB60" s="1">
        <f t="shared" ca="1" si="176"/>
        <v>1</v>
      </c>
      <c r="AC60" s="1">
        <f t="shared" ca="1" si="97"/>
        <v>1</v>
      </c>
      <c r="AD60" s="1">
        <f t="shared" ca="1" si="98"/>
        <v>24</v>
      </c>
      <c r="AE60" s="1" t="str">
        <f t="shared" ca="1" si="99"/>
        <v>Bahamas</v>
      </c>
      <c r="AF60" s="1">
        <f t="shared" ca="1" si="177"/>
        <v>0.35199999999999998</v>
      </c>
      <c r="AG60" s="1">
        <f t="shared" ca="1" si="178"/>
        <v>2012</v>
      </c>
      <c r="AK60" s="1">
        <f>MATCH(CONCATENATE($B60,"_",INDEX($C$4:$C55,AK$34)),lu_DataCode,0)</f>
        <v>65</v>
      </c>
      <c r="AL60" s="1">
        <f t="shared" ca="1" si="12"/>
        <v>2012</v>
      </c>
      <c r="AM60" s="1">
        <f t="shared" ca="1" si="13"/>
        <v>5130</v>
      </c>
      <c r="AN60" s="1">
        <f t="shared" ca="1" si="14"/>
        <v>1</v>
      </c>
      <c r="AO60" s="1">
        <f t="shared" ca="1" si="100"/>
        <v>5130</v>
      </c>
      <c r="AP60" s="1">
        <f ca="1">RANK(AO60,AO$37:AO$62,AO$34)+COUNTIF(AO$37:AO60,AO60)-1</f>
        <v>25</v>
      </c>
      <c r="AQ60" s="1">
        <f t="shared" ca="1" si="15"/>
        <v>16</v>
      </c>
      <c r="AR60" s="1">
        <f t="shared" ca="1" si="101"/>
        <v>1</v>
      </c>
      <c r="AS60" s="1">
        <f t="shared" ca="1" si="102"/>
        <v>1</v>
      </c>
      <c r="AT60" s="1">
        <f t="shared" ca="1" si="103"/>
        <v>24</v>
      </c>
      <c r="AU60" s="1" t="str">
        <f t="shared" ca="1" si="104"/>
        <v>Jamaica</v>
      </c>
      <c r="AV60" s="1">
        <f t="shared" ca="1" si="16"/>
        <v>10990</v>
      </c>
      <c r="AW60" s="1">
        <f t="shared" ca="1" si="17"/>
        <v>2012</v>
      </c>
      <c r="BA60" s="1">
        <f>MATCH(CONCATENATE($B60,"_",INDEX($C$4:$C55,BA$34)),lu_DataCode,0)</f>
        <v>91</v>
      </c>
      <c r="BB60" s="1">
        <f t="shared" ca="1" si="18"/>
        <v>2012</v>
      </c>
      <c r="BC60" s="1">
        <f t="shared" ca="1" si="19"/>
        <v>25.277000000000001</v>
      </c>
      <c r="BD60" s="1">
        <f t="shared" ca="1" si="20"/>
        <v>1</v>
      </c>
      <c r="BE60" s="1">
        <f t="shared" ca="1" si="105"/>
        <v>25.277000000000001</v>
      </c>
      <c r="BF60" s="1">
        <f ca="1">RANK(BE60,BE$37:BE$62,BE$34)+COUNTIF(BE$37:BE60,BE60)-1</f>
        <v>16</v>
      </c>
      <c r="BG60" s="1">
        <f t="shared" ca="1" si="21"/>
        <v>3</v>
      </c>
      <c r="BH60" s="1">
        <f t="shared" ca="1" si="106"/>
        <v>1</v>
      </c>
      <c r="BI60" s="1">
        <f t="shared" ca="1" si="107"/>
        <v>1</v>
      </c>
      <c r="BJ60" s="1">
        <f t="shared" ca="1" si="108"/>
        <v>24</v>
      </c>
      <c r="BK60" s="1" t="str">
        <f t="shared" ca="1" si="109"/>
        <v>Barbados</v>
      </c>
      <c r="BL60" s="1">
        <f t="shared" ca="1" si="22"/>
        <v>4.5330000000000004</v>
      </c>
      <c r="BM60" s="1">
        <f t="shared" ca="1" si="23"/>
        <v>2012</v>
      </c>
      <c r="BQ60" s="1">
        <f>MATCH(CONCATENATE($B60,"_",INDEX($C$4:$C55,BQ$34)),lu_DataCode,0)</f>
        <v>117</v>
      </c>
      <c r="BR60" s="1">
        <f t="shared" ca="1" si="24"/>
        <v>2012</v>
      </c>
      <c r="BS60" s="1">
        <f t="shared" ca="1" si="25"/>
        <v>26.696999999999999</v>
      </c>
      <c r="BT60" s="1">
        <f t="shared" ca="1" si="26"/>
        <v>1</v>
      </c>
      <c r="BU60" s="1">
        <f t="shared" ca="1" si="110"/>
        <v>26.696999999999999</v>
      </c>
      <c r="BV60" s="1">
        <f ca="1">RANK(BU60,BU$37:BU$62,BU$34)+COUNTIF(BU$37:BU60,BU60)-1</f>
        <v>18</v>
      </c>
      <c r="BW60" s="1">
        <f t="shared" ca="1" si="27"/>
        <v>23</v>
      </c>
      <c r="BX60" s="1">
        <f t="shared" ca="1" si="111"/>
        <v>1</v>
      </c>
      <c r="BY60" s="1">
        <f t="shared" ca="1" si="112"/>
        <v>1</v>
      </c>
      <c r="BZ60" s="1">
        <f t="shared" ca="1" si="113"/>
        <v>24</v>
      </c>
      <c r="CA60" s="1" t="str">
        <f t="shared" ca="1" si="114"/>
        <v>Suriname</v>
      </c>
      <c r="CB60" s="1">
        <f t="shared" ca="1" si="28"/>
        <v>6.7629999999999999</v>
      </c>
      <c r="CC60" s="1">
        <f t="shared" ca="1" si="29"/>
        <v>2012</v>
      </c>
      <c r="CG60" s="1">
        <f>MATCH(CONCATENATE($B60,"_",INDEX($C$4:$C55,CG$34)),lu_DataCode,0)</f>
        <v>143</v>
      </c>
      <c r="CH60" s="1">
        <f t="shared" ca="1" si="30"/>
        <v>2012</v>
      </c>
      <c r="CI60" s="1">
        <f t="shared" ca="1" si="31"/>
        <v>0.11070000000000001</v>
      </c>
      <c r="CJ60" s="1">
        <f t="shared" ca="1" si="32"/>
        <v>1</v>
      </c>
      <c r="CK60" s="1">
        <f t="shared" ca="1" si="115"/>
        <v>0.11070000000000001</v>
      </c>
      <c r="CL60" s="1">
        <f ca="1">RANK(CK60,CK$37:CK$62,CK$34)+COUNTIF(CK$37:CK60,CK60)-1</f>
        <v>24</v>
      </c>
      <c r="CM60" s="1">
        <f t="shared" ca="1" si="33"/>
        <v>24</v>
      </c>
      <c r="CN60" s="1">
        <f t="shared" ca="1" si="116"/>
        <v>1</v>
      </c>
      <c r="CO60" s="1">
        <f t="shared" ca="1" si="117"/>
        <v>1</v>
      </c>
      <c r="CP60" s="1">
        <f t="shared" ca="1" si="118"/>
        <v>24</v>
      </c>
      <c r="CQ60" s="1" t="str">
        <f t="shared" ca="1" si="119"/>
        <v>Trinidad and Tobago</v>
      </c>
      <c r="CR60" s="1">
        <f t="shared" ca="1" si="34"/>
        <v>0.11070000000000001</v>
      </c>
      <c r="CS60" s="1">
        <f t="shared" ca="1" si="35"/>
        <v>2012</v>
      </c>
      <c r="CW60" s="1">
        <f>MATCH(CONCATENATE($B60,"_",INDEX($C$4:$C55,CW$34)),lu_DataCode,0)</f>
        <v>168</v>
      </c>
      <c r="CX60" s="1">
        <f t="shared" ca="1" si="36"/>
        <v>2012</v>
      </c>
      <c r="CY60" s="1">
        <f t="shared" ca="1" si="37"/>
        <v>0.23949999999999999</v>
      </c>
      <c r="CZ60" s="1">
        <f t="shared" ca="1" si="38"/>
        <v>1</v>
      </c>
      <c r="DA60" s="1">
        <f t="shared" ca="1" si="120"/>
        <v>0.23949999999999999</v>
      </c>
      <c r="DB60" s="1">
        <f ca="1">RANK(DA60,DA$37:DA$62,DA$34)+COUNTIF(DA$37:DA60,DA60)-1</f>
        <v>16</v>
      </c>
      <c r="DC60" s="1">
        <f t="shared" ca="1" si="39"/>
        <v>4</v>
      </c>
      <c r="DD60" s="1">
        <f t="shared" ca="1" si="121"/>
        <v>1</v>
      </c>
      <c r="DE60" s="1">
        <f t="shared" ca="1" si="122"/>
        <v>1</v>
      </c>
      <c r="DF60" s="1">
        <f t="shared" ca="1" si="123"/>
        <v>24</v>
      </c>
      <c r="DG60" s="1" t="str">
        <f t="shared" ca="1" si="124"/>
        <v>Belize</v>
      </c>
      <c r="DH60" s="1">
        <f t="shared" ca="1" si="40"/>
        <v>1.205E-2</v>
      </c>
      <c r="DI60" s="1">
        <f t="shared" ca="1" si="41"/>
        <v>2012</v>
      </c>
      <c r="DM60" s="1">
        <f>MATCH(CONCATENATE($B60,"_",INDEX($C$4:$C55,DM$34)),lu_DataCode,0)</f>
        <v>193</v>
      </c>
      <c r="DN60" s="1">
        <f t="shared" ca="1" si="42"/>
        <v>2012</v>
      </c>
      <c r="DO60" s="1">
        <f t="shared" ca="1" si="43"/>
        <v>14.235201399999999</v>
      </c>
      <c r="DP60" s="1">
        <f t="shared" ca="1" si="44"/>
        <v>1</v>
      </c>
      <c r="DQ60" s="1">
        <f t="shared" ca="1" si="125"/>
        <v>14.235201</v>
      </c>
      <c r="DR60" s="1">
        <f ca="1">RANK(DQ60,DQ$37:DQ$62,DQ$34)+COUNTIF(DQ$37:DQ60,DQ60)-1</f>
        <v>10</v>
      </c>
      <c r="DS60" s="1">
        <f t="shared" ca="1" si="45"/>
        <v>14</v>
      </c>
      <c r="DT60" s="1">
        <f t="shared" ca="1" si="126"/>
        <v>1</v>
      </c>
      <c r="DU60" s="1">
        <f t="shared" ca="1" si="127"/>
        <v>1</v>
      </c>
      <c r="DV60" s="1">
        <f t="shared" ca="1" si="128"/>
        <v>24</v>
      </c>
      <c r="DW60" s="1" t="str">
        <f t="shared" ca="1" si="129"/>
        <v>Haiti</v>
      </c>
      <c r="DX60" s="1">
        <f t="shared" ca="1" si="46"/>
        <v>0.78622999999999998</v>
      </c>
      <c r="DY60" s="1">
        <f t="shared" ca="1" si="47"/>
        <v>2012</v>
      </c>
      <c r="EC60" s="1">
        <f>MATCH(CONCATENATE($B60,"_",INDEX($C$4:$C55,EC$34)),lu_DataCode,0)</f>
        <v>218</v>
      </c>
      <c r="ED60" s="1">
        <f t="shared" ca="1" si="48"/>
        <v>2012</v>
      </c>
      <c r="EE60" s="1">
        <f t="shared" ca="1" si="49"/>
        <v>25518635.283</v>
      </c>
      <c r="EF60" s="1">
        <f t="shared" ca="1" si="50"/>
        <v>1</v>
      </c>
      <c r="EG60" s="1">
        <f t="shared" ca="1" si="130"/>
        <v>25518635.283</v>
      </c>
      <c r="EH60" s="1">
        <f ca="1">RANK(EG60,EG$37:EG$62,EG$34)+COUNTIF(EG$37:EG60,EG60)-1</f>
        <v>9</v>
      </c>
      <c r="EI60" s="1">
        <f t="shared" ca="1" si="51"/>
        <v>3</v>
      </c>
      <c r="EJ60" s="1">
        <f t="shared" ca="1" si="131"/>
        <v>1</v>
      </c>
      <c r="EK60" s="1">
        <f t="shared" ca="1" si="132"/>
        <v>1</v>
      </c>
      <c r="EL60" s="1">
        <f t="shared" ca="1" si="133"/>
        <v>24</v>
      </c>
      <c r="EM60" s="1" t="str">
        <f t="shared" ca="1" si="134"/>
        <v>Barbados</v>
      </c>
      <c r="EN60" s="1">
        <f t="shared" ca="1" si="52"/>
        <v>499678.22700000001</v>
      </c>
      <c r="EO60" s="1">
        <f t="shared" ca="1" si="53"/>
        <v>2012</v>
      </c>
      <c r="ES60" s="1">
        <f>MATCH(CONCATENATE($B60,"_",INDEX($C$4:$C55,ES$34)),lu_DataCode,0)</f>
        <v>244</v>
      </c>
      <c r="ET60" s="1">
        <f t="shared" ca="1" si="54"/>
        <v>2012</v>
      </c>
      <c r="EU60" s="1">
        <f t="shared" ca="1" si="55"/>
        <v>10.04832</v>
      </c>
      <c r="EV60" s="1">
        <f t="shared" ca="1" si="56"/>
        <v>1</v>
      </c>
      <c r="EW60" s="1">
        <f t="shared" ca="1" si="135"/>
        <v>10.04832</v>
      </c>
      <c r="EX60" s="1">
        <f ca="1">RANK(EW60,EW$37:EW$62,EW$34)+COUNTIF(EW$37:EW60,EW60)-1</f>
        <v>17</v>
      </c>
      <c r="EY60" s="1">
        <f t="shared" ca="1" si="57"/>
        <v>3</v>
      </c>
      <c r="EZ60" s="1">
        <f t="shared" ca="1" si="136"/>
        <v>1</v>
      </c>
      <c r="FA60" s="1">
        <f t="shared" ca="1" si="137"/>
        <v>1</v>
      </c>
      <c r="FB60" s="1">
        <f t="shared" ca="1" si="138"/>
        <v>24</v>
      </c>
      <c r="FC60" s="1" t="str">
        <f t="shared" ca="1" si="139"/>
        <v>Barbados</v>
      </c>
      <c r="FD60" s="1">
        <f t="shared" ca="1" si="58"/>
        <v>1.8449346</v>
      </c>
      <c r="FE60" s="1">
        <f t="shared" ca="1" si="59"/>
        <v>2012</v>
      </c>
      <c r="FI60" s="1">
        <f>MATCH(CONCATENATE($B60,"_",INDEX($C$4:$C55,FI$34)),lu_DataCode,0)</f>
        <v>269</v>
      </c>
      <c r="FJ60" s="1">
        <f t="shared" ca="1" si="60"/>
        <v>2012</v>
      </c>
      <c r="FK60" s="1">
        <f t="shared" ca="1" si="61"/>
        <v>7706328.2539999997</v>
      </c>
      <c r="FL60" s="1">
        <f t="shared" ca="1" si="62"/>
        <v>1</v>
      </c>
      <c r="FM60" s="1">
        <f t="shared" ca="1" si="140"/>
        <v>7706328.2539999997</v>
      </c>
      <c r="FN60" s="1">
        <f ca="1">RANK(FM60,FM$37:FM$62,FM$34)+COUNTIF(FM$37:FM60,FM60)-1</f>
        <v>12</v>
      </c>
      <c r="FO60" s="1">
        <f t="shared" ca="1" si="63"/>
        <v>4</v>
      </c>
      <c r="FP60" s="1">
        <f t="shared" ca="1" si="141"/>
        <v>1</v>
      </c>
      <c r="FQ60" s="1">
        <f t="shared" ca="1" si="142"/>
        <v>1</v>
      </c>
      <c r="FR60" s="1">
        <f t="shared" ca="1" si="143"/>
        <v>24</v>
      </c>
      <c r="FS60" s="1" t="str">
        <f t="shared" ca="1" si="144"/>
        <v>Belize</v>
      </c>
      <c r="FT60" s="1">
        <f t="shared" ca="1" si="64"/>
        <v>413482.45328604401</v>
      </c>
      <c r="FU60" s="1">
        <f t="shared" ca="1" si="65"/>
        <v>2012</v>
      </c>
      <c r="FY60" s="1" t="e">
        <f>MATCH(CONCATENATE($B60,"_",INDEX($C$4:$C55,FY$34)),lu_DataCode,0)</f>
        <v>#N/A</v>
      </c>
      <c r="FZ60" s="1" t="e">
        <f t="shared" ca="1" si="66"/>
        <v>#N/A</v>
      </c>
      <c r="GA60" s="1" t="e">
        <f t="shared" ca="1" si="67"/>
        <v>#N/A</v>
      </c>
      <c r="GB60" s="1">
        <f t="shared" ca="1" si="68"/>
        <v>0</v>
      </c>
      <c r="GC60" s="1">
        <f t="shared" ca="1" si="145"/>
        <v>-10000000000</v>
      </c>
      <c r="GD60" s="1">
        <f ca="1">RANK(GC60,GC$37:GC$62,GC$34)+COUNTIF(GC$37:GC60,GC60)-1</f>
        <v>24</v>
      </c>
      <c r="GE60" s="1">
        <f t="shared" ca="1" si="69"/>
        <v>24</v>
      </c>
      <c r="GF60" s="1">
        <f t="shared" ca="1" si="146"/>
        <v>0</v>
      </c>
      <c r="GG60" s="1">
        <f t="shared" ca="1" si="147"/>
        <v>1</v>
      </c>
      <c r="GH60" s="1" t="str">
        <f t="shared" ca="1" si="148"/>
        <v/>
      </c>
      <c r="GI60" s="1" t="str">
        <f t="shared" ca="1" si="149"/>
        <v/>
      </c>
      <c r="GJ60" s="1" t="str">
        <f t="shared" ca="1" si="70"/>
        <v/>
      </c>
      <c r="GK60" s="1" t="str">
        <f t="shared" ca="1" si="71"/>
        <v/>
      </c>
      <c r="GO60" s="1" t="e">
        <f>MATCH(CONCATENATE($B60,"_",INDEX($C$4:$C55,GO$34)),lu_DataCode,0)</f>
        <v>#N/A</v>
      </c>
      <c r="GP60" s="1" t="e">
        <f t="shared" ca="1" si="72"/>
        <v>#N/A</v>
      </c>
      <c r="GQ60" s="1" t="e">
        <f t="shared" ca="1" si="73"/>
        <v>#N/A</v>
      </c>
      <c r="GR60" s="1">
        <f t="shared" ca="1" si="74"/>
        <v>0</v>
      </c>
      <c r="GS60" s="1">
        <f t="shared" ca="1" si="150"/>
        <v>-10000000000</v>
      </c>
      <c r="GT60" s="1">
        <f ca="1">RANK(GS60,GS$37:GS$62,GS$34)+COUNTIF(GS$37:GS60,GS60)-1</f>
        <v>24</v>
      </c>
      <c r="GU60" s="1">
        <f t="shared" ca="1" si="75"/>
        <v>24</v>
      </c>
      <c r="GV60" s="1">
        <f t="shared" ca="1" si="151"/>
        <v>0</v>
      </c>
      <c r="GW60" s="1">
        <f t="shared" ca="1" si="152"/>
        <v>1</v>
      </c>
      <c r="GX60" s="1" t="str">
        <f t="shared" ca="1" si="153"/>
        <v/>
      </c>
      <c r="GY60" s="1" t="str">
        <f t="shared" ca="1" si="154"/>
        <v/>
      </c>
      <c r="GZ60" s="1" t="str">
        <f t="shared" ca="1" si="76"/>
        <v/>
      </c>
      <c r="HA60" s="1" t="str">
        <f t="shared" ca="1" si="77"/>
        <v/>
      </c>
      <c r="HE60" s="1" t="e">
        <f>MATCH(CONCATENATE($B60,"_",INDEX($C$4:$C55,HE$34)),lu_DataCode,0)</f>
        <v>#N/A</v>
      </c>
      <c r="HF60" s="1" t="e">
        <f t="shared" ca="1" si="78"/>
        <v>#N/A</v>
      </c>
      <c r="HG60" s="1" t="e">
        <f t="shared" ca="1" si="79"/>
        <v>#N/A</v>
      </c>
      <c r="HH60" s="1">
        <f t="shared" ca="1" si="80"/>
        <v>0</v>
      </c>
      <c r="HI60" s="1">
        <f t="shared" ca="1" si="155"/>
        <v>-10000000000</v>
      </c>
      <c r="HJ60" s="1">
        <f ca="1">RANK(HI60,HI$37:HI$62,HI$34)+COUNTIF(HI$37:HI60,HI60)-1</f>
        <v>24</v>
      </c>
      <c r="HK60" s="1">
        <f t="shared" ca="1" si="81"/>
        <v>24</v>
      </c>
      <c r="HL60" s="1">
        <f t="shared" ca="1" si="156"/>
        <v>0</v>
      </c>
      <c r="HM60" s="1">
        <f t="shared" ca="1" si="157"/>
        <v>1</v>
      </c>
      <c r="HN60" s="1" t="str">
        <f t="shared" ca="1" si="158"/>
        <v/>
      </c>
      <c r="HO60" s="1" t="str">
        <f t="shared" ca="1" si="159"/>
        <v/>
      </c>
      <c r="HP60" s="1" t="str">
        <f t="shared" ca="1" si="82"/>
        <v/>
      </c>
      <c r="HQ60" s="1" t="str">
        <f t="shared" ca="1" si="83"/>
        <v/>
      </c>
      <c r="HU60" s="1" t="e">
        <f>MATCH(CONCATENATE($B60,"_",INDEX($C$4:$C55,HU$34)),lu_DataCode,0)</f>
        <v>#N/A</v>
      </c>
      <c r="HV60" s="1" t="e">
        <f t="shared" ca="1" si="84"/>
        <v>#N/A</v>
      </c>
      <c r="HW60" s="1" t="e">
        <f t="shared" ca="1" si="85"/>
        <v>#N/A</v>
      </c>
      <c r="HX60" s="1">
        <f t="shared" ca="1" si="86"/>
        <v>0</v>
      </c>
      <c r="HY60" s="1">
        <f t="shared" ca="1" si="160"/>
        <v>-10000000000</v>
      </c>
      <c r="HZ60" s="1">
        <f ca="1">RANK(HY60,HY$37:HY$62,HY$34)+COUNTIF(HY$37:HY60,HY60)-1</f>
        <v>24</v>
      </c>
      <c r="IA60" s="1">
        <f t="shared" ca="1" si="87"/>
        <v>24</v>
      </c>
      <c r="IB60" s="1">
        <f t="shared" ca="1" si="161"/>
        <v>0</v>
      </c>
      <c r="IC60" s="1">
        <f t="shared" ca="1" si="162"/>
        <v>1</v>
      </c>
      <c r="ID60" s="1" t="str">
        <f t="shared" ca="1" si="163"/>
        <v/>
      </c>
      <c r="IE60" s="1" t="str">
        <f t="shared" ca="1" si="164"/>
        <v/>
      </c>
      <c r="IF60" s="1" t="str">
        <f t="shared" ca="1" si="88"/>
        <v/>
      </c>
      <c r="IG60" s="1" t="str">
        <f t="shared" ca="1" si="89"/>
        <v/>
      </c>
    </row>
    <row r="61" spans="1:241" ht="10.15" x14ac:dyDescent="0.2">
      <c r="A61" s="1">
        <v>25</v>
      </c>
      <c r="B61" s="1" t="str">
        <f>tblCountries!E27</f>
        <v>NAC_UY_1</v>
      </c>
      <c r="C61" s="1" t="str">
        <f>tblCountries!C27</f>
        <v>Uruguay</v>
      </c>
      <c r="D61" s="1">
        <f>tblCountries!D27</f>
        <v>1</v>
      </c>
      <c r="E61" s="1">
        <f>MATCH(CONCATENATE($B61,"_",INDEX($C$4:$C56,E$34)),lu_DataCode,0)</f>
        <v>15</v>
      </c>
      <c r="F61" s="1">
        <f t="shared" ca="1" si="165"/>
        <v>2012</v>
      </c>
      <c r="G61" s="1">
        <f t="shared" ca="1" si="166"/>
        <v>4.3444985270182999</v>
      </c>
      <c r="H61" s="1">
        <f t="shared" ca="1" si="167"/>
        <v>1</v>
      </c>
      <c r="I61" s="1">
        <f t="shared" ca="1" si="90"/>
        <v>4.3444989999999999</v>
      </c>
      <c r="J61" s="1">
        <f ca="1">RANK(I61,I$37:I$62,I$34)+COUNTIF(I$37:I61,I61)-1</f>
        <v>20</v>
      </c>
      <c r="K61" s="1">
        <f t="shared" ca="1" si="168"/>
        <v>20</v>
      </c>
      <c r="L61" s="1">
        <f t="shared" ca="1" si="169"/>
        <v>1</v>
      </c>
      <c r="M61" s="1">
        <f t="shared" ca="1" si="92"/>
        <v>1</v>
      </c>
      <c r="N61" s="1">
        <f t="shared" ca="1" si="93"/>
        <v>25</v>
      </c>
      <c r="O61" s="1" t="str">
        <f t="shared" ca="1" si="94"/>
        <v>Paraguay</v>
      </c>
      <c r="P61" s="1">
        <f t="shared" ca="1" si="170"/>
        <v>2.4994499559909897</v>
      </c>
      <c r="Q61" s="1">
        <f t="shared" ca="1" si="171"/>
        <v>2012</v>
      </c>
      <c r="U61" s="1">
        <f>MATCH(CONCATENATE($B61,"_",INDEX($C$4:$C56,U$34)),lu_DataCode,0)</f>
        <v>40</v>
      </c>
      <c r="V61" s="1">
        <f t="shared" ca="1" si="172"/>
        <v>2012</v>
      </c>
      <c r="W61" s="1">
        <f t="shared" ca="1" si="173"/>
        <v>3.3809999999999998</v>
      </c>
      <c r="X61" s="1">
        <f t="shared" ca="1" si="174"/>
        <v>1</v>
      </c>
      <c r="Y61" s="1">
        <f t="shared" ca="1" si="95"/>
        <v>3.3809999999999998</v>
      </c>
      <c r="Z61" s="1">
        <f ca="1">RANK(Y61,Y$37:Y$62,Y$34)+COUNTIF(Y$37:Y61,Y61)-1</f>
        <v>19</v>
      </c>
      <c r="AA61" s="1">
        <f t="shared" ca="1" si="175"/>
        <v>4</v>
      </c>
      <c r="AB61" s="1">
        <f t="shared" ca="1" si="176"/>
        <v>1</v>
      </c>
      <c r="AC61" s="1">
        <f t="shared" ca="1" si="97"/>
        <v>1</v>
      </c>
      <c r="AD61" s="1">
        <f t="shared" ca="1" si="98"/>
        <v>25</v>
      </c>
      <c r="AE61" s="1" t="str">
        <f t="shared" ca="1" si="99"/>
        <v>Belize</v>
      </c>
      <c r="AF61" s="1">
        <f t="shared" ca="1" si="177"/>
        <v>0.34195588378800001</v>
      </c>
      <c r="AG61" s="1">
        <f t="shared" ca="1" si="178"/>
        <v>2012</v>
      </c>
      <c r="AK61" s="1">
        <f>MATCH(CONCATENATE($B61,"_",INDEX($C$4:$C56,AK$34)),lu_DataCode,0)</f>
        <v>66</v>
      </c>
      <c r="AL61" s="1">
        <f t="shared" ca="1" si="12"/>
        <v>2012</v>
      </c>
      <c r="AM61" s="1">
        <f t="shared" ca="1" si="13"/>
        <v>176220</v>
      </c>
      <c r="AN61" s="1">
        <f t="shared" ca="1" si="14"/>
        <v>1</v>
      </c>
      <c r="AO61" s="1">
        <f t="shared" ca="1" si="100"/>
        <v>176220</v>
      </c>
      <c r="AP61" s="1">
        <f ca="1">RANK(AO61,AO$37:AO$62,AO$34)+COUNTIF(AO$37:AO61,AO61)-1</f>
        <v>12</v>
      </c>
      <c r="AQ61" s="1">
        <f t="shared" ca="1" si="15"/>
        <v>24</v>
      </c>
      <c r="AR61" s="1">
        <f t="shared" ca="1" si="101"/>
        <v>1</v>
      </c>
      <c r="AS61" s="1">
        <f t="shared" ca="1" si="102"/>
        <v>1</v>
      </c>
      <c r="AT61" s="1">
        <f t="shared" ca="1" si="103"/>
        <v>25</v>
      </c>
      <c r="AU61" s="1" t="str">
        <f t="shared" ca="1" si="104"/>
        <v>Trinidad and Tobago</v>
      </c>
      <c r="AV61" s="1">
        <f t="shared" ca="1" si="16"/>
        <v>5130</v>
      </c>
      <c r="AW61" s="1">
        <f t="shared" ca="1" si="17"/>
        <v>2012</v>
      </c>
      <c r="BA61" s="1">
        <f>MATCH(CONCATENATE($B61,"_",INDEX($C$4:$C56,BA$34)),lu_DataCode,0)</f>
        <v>92</v>
      </c>
      <c r="BB61" s="1">
        <f t="shared" ca="1" si="18"/>
        <v>2012</v>
      </c>
      <c r="BC61" s="1">
        <f t="shared" ca="1" si="19"/>
        <v>49.404000000000003</v>
      </c>
      <c r="BD61" s="1">
        <f t="shared" ca="1" si="20"/>
        <v>1</v>
      </c>
      <c r="BE61" s="1">
        <f t="shared" ca="1" si="105"/>
        <v>49.404000000000003</v>
      </c>
      <c r="BF61" s="1">
        <f ca="1">RANK(BE61,BE$37:BE$62,BE$34)+COUNTIF(BE$37:BE61,BE61)-1</f>
        <v>11</v>
      </c>
      <c r="BG61" s="1">
        <f t="shared" ca="1" si="21"/>
        <v>13</v>
      </c>
      <c r="BH61" s="1">
        <f t="shared" ca="1" si="106"/>
        <v>1</v>
      </c>
      <c r="BI61" s="1">
        <f t="shared" ca="1" si="107"/>
        <v>1</v>
      </c>
      <c r="BJ61" s="1">
        <f t="shared" ca="1" si="108"/>
        <v>25</v>
      </c>
      <c r="BK61" s="1" t="str">
        <f t="shared" ca="1" si="109"/>
        <v>Guyana</v>
      </c>
      <c r="BL61" s="1">
        <f t="shared" ca="1" si="22"/>
        <v>2.7879999999999998</v>
      </c>
      <c r="BM61" s="1">
        <f t="shared" ca="1" si="23"/>
        <v>2012</v>
      </c>
      <c r="BQ61" s="1">
        <f>MATCH(CONCATENATE($B61,"_",INDEX($C$4:$C56,BQ$34)),lu_DataCode,0)</f>
        <v>118</v>
      </c>
      <c r="BR61" s="1">
        <f t="shared" ca="1" si="24"/>
        <v>2012</v>
      </c>
      <c r="BS61" s="1">
        <f t="shared" ca="1" si="25"/>
        <v>53.786999999999999</v>
      </c>
      <c r="BT61" s="1">
        <f t="shared" ca="1" si="26"/>
        <v>1</v>
      </c>
      <c r="BU61" s="1">
        <f t="shared" ca="1" si="110"/>
        <v>53.786999999999999</v>
      </c>
      <c r="BV61" s="1">
        <f ca="1">RANK(BU61,BU$37:BU$62,BU$34)+COUNTIF(BU$37:BU61,BU61)-1</f>
        <v>14</v>
      </c>
      <c r="BW61" s="1">
        <f t="shared" ca="1" si="27"/>
        <v>13</v>
      </c>
      <c r="BX61" s="1">
        <f t="shared" ca="1" si="111"/>
        <v>1</v>
      </c>
      <c r="BY61" s="1">
        <f t="shared" ca="1" si="112"/>
        <v>1</v>
      </c>
      <c r="BZ61" s="1">
        <f t="shared" ca="1" si="113"/>
        <v>25</v>
      </c>
      <c r="CA61" s="1" t="str">
        <f t="shared" ca="1" si="114"/>
        <v>Guyana</v>
      </c>
      <c r="CB61" s="1">
        <f t="shared" ca="1" si="28"/>
        <v>6.1639999999999997</v>
      </c>
      <c r="CC61" s="1">
        <f t="shared" ca="1" si="29"/>
        <v>2012</v>
      </c>
      <c r="CG61" s="1">
        <f>MATCH(CONCATENATE($B61,"_",INDEX($C$4:$C56,CG$34)),lu_DataCode,0)</f>
        <v>144</v>
      </c>
      <c r="CH61" s="1">
        <f t="shared" ca="1" si="30"/>
        <v>2012</v>
      </c>
      <c r="CI61" s="1">
        <f t="shared" ca="1" si="31"/>
        <v>0.59451360722281898</v>
      </c>
      <c r="CJ61" s="1">
        <f t="shared" ca="1" si="32"/>
        <v>1</v>
      </c>
      <c r="CK61" s="1">
        <f t="shared" ca="1" si="115"/>
        <v>0.59451399999999999</v>
      </c>
      <c r="CL61" s="1">
        <f ca="1">RANK(CK61,CK$37:CK$62,CK$34)+COUNTIF(CK$37:CK61,CK61)-1</f>
        <v>18</v>
      </c>
      <c r="CM61" s="1">
        <f t="shared" ca="1" si="33"/>
        <v>4</v>
      </c>
      <c r="CN61" s="1">
        <f t="shared" ca="1" si="116"/>
        <v>1</v>
      </c>
      <c r="CO61" s="1">
        <f t="shared" ca="1" si="117"/>
        <v>1</v>
      </c>
      <c r="CP61" s="1">
        <f t="shared" ca="1" si="118"/>
        <v>25</v>
      </c>
      <c r="CQ61" s="1" t="str">
        <f t="shared" ca="1" si="119"/>
        <v>Belize</v>
      </c>
      <c r="CR61" s="1">
        <f t="shared" ca="1" si="34"/>
        <v>7.9100000000000004E-2</v>
      </c>
      <c r="CS61" s="1">
        <f t="shared" ca="1" si="35"/>
        <v>2012</v>
      </c>
      <c r="CW61" s="1">
        <f>MATCH(CONCATENATE($B61,"_",INDEX($C$4:$C56,CW$34)),lu_DataCode,0)</f>
        <v>169</v>
      </c>
      <c r="CX61" s="1">
        <f t="shared" ca="1" si="36"/>
        <v>2012</v>
      </c>
      <c r="CY61" s="1">
        <f t="shared" ca="1" si="37"/>
        <v>0.85620932189668597</v>
      </c>
      <c r="CZ61" s="1">
        <f t="shared" ca="1" si="38"/>
        <v>1</v>
      </c>
      <c r="DA61" s="1">
        <f t="shared" ca="1" si="120"/>
        <v>0.856209</v>
      </c>
      <c r="DB61" s="1">
        <f ca="1">RANK(DA61,DA$37:DA$62,DA$34)+COUNTIF(DA$37:DA61,DA61)-1</f>
        <v>8</v>
      </c>
      <c r="DC61" s="1">
        <f t="shared" ca="1" si="39"/>
        <v>14</v>
      </c>
      <c r="DD61" s="1">
        <f t="shared" ca="1" si="121"/>
        <v>0</v>
      </c>
      <c r="DE61" s="1">
        <f t="shared" ca="1" si="122"/>
        <v>1</v>
      </c>
      <c r="DF61" s="1" t="str">
        <f t="shared" ca="1" si="123"/>
        <v/>
      </c>
      <c r="DG61" s="1" t="str">
        <f t="shared" ca="1" si="124"/>
        <v/>
      </c>
      <c r="DH61" s="1" t="str">
        <f t="shared" ca="1" si="40"/>
        <v/>
      </c>
      <c r="DI61" s="1" t="str">
        <f t="shared" ca="1" si="41"/>
        <v/>
      </c>
      <c r="DM61" s="1">
        <f>MATCH(CONCATENATE($B61,"_",INDEX($C$4:$C56,DM$34)),lu_DataCode,0)</f>
        <v>194</v>
      </c>
      <c r="DN61" s="1">
        <f t="shared" ca="1" si="42"/>
        <v>2012</v>
      </c>
      <c r="DO61" s="1">
        <f t="shared" ca="1" si="43"/>
        <v>9.9065930590204303</v>
      </c>
      <c r="DP61" s="1">
        <f t="shared" ca="1" si="44"/>
        <v>1</v>
      </c>
      <c r="DQ61" s="1">
        <f t="shared" ca="1" si="125"/>
        <v>9.9065930000000009</v>
      </c>
      <c r="DR61" s="1">
        <f ca="1">RANK(DQ61,DQ$37:DQ$62,DQ$34)+COUNTIF(DQ$37:DQ61,DQ61)-1</f>
        <v>13</v>
      </c>
      <c r="DS61" s="1">
        <f t="shared" ca="1" si="45"/>
        <v>4</v>
      </c>
      <c r="DT61" s="1">
        <f t="shared" ca="1" si="126"/>
        <v>1</v>
      </c>
      <c r="DU61" s="1">
        <f t="shared" ca="1" si="127"/>
        <v>1</v>
      </c>
      <c r="DV61" s="1">
        <f t="shared" ca="1" si="128"/>
        <v>25</v>
      </c>
      <c r="DW61" s="1" t="str">
        <f t="shared" ca="1" si="129"/>
        <v>Belize</v>
      </c>
      <c r="DX61" s="1">
        <f t="shared" ca="1" si="46"/>
        <v>0.63690000000000002</v>
      </c>
      <c r="DY61" s="1">
        <f t="shared" ca="1" si="47"/>
        <v>2012</v>
      </c>
      <c r="EC61" s="1">
        <f>MATCH(CONCATENATE($B61,"_",INDEX($C$4:$C56,EC$34)),lu_DataCode,0)</f>
        <v>219</v>
      </c>
      <c r="ED61" s="1">
        <f t="shared" ca="1" si="48"/>
        <v>2012</v>
      </c>
      <c r="EE61" s="1">
        <f t="shared" ca="1" si="49"/>
        <v>11953003.3525899</v>
      </c>
      <c r="EF61" s="1">
        <f t="shared" ca="1" si="50"/>
        <v>1</v>
      </c>
      <c r="EG61" s="1">
        <f t="shared" ca="1" si="130"/>
        <v>11953003.35259</v>
      </c>
      <c r="EH61" s="1">
        <f ca="1">RANK(EG61,EG$37:EG$62,EG$34)+COUNTIF(EG$37:EG61,EG61)-1</f>
        <v>12</v>
      </c>
      <c r="EI61" s="1">
        <f t="shared" ca="1" si="51"/>
        <v>4</v>
      </c>
      <c r="EJ61" s="1">
        <f t="shared" ca="1" si="131"/>
        <v>1</v>
      </c>
      <c r="EK61" s="1">
        <f t="shared" ca="1" si="132"/>
        <v>1</v>
      </c>
      <c r="EL61" s="1">
        <f t="shared" ca="1" si="133"/>
        <v>25</v>
      </c>
      <c r="EM61" s="1" t="str">
        <f t="shared" ca="1" si="134"/>
        <v>Belize</v>
      </c>
      <c r="EN61" s="1">
        <f t="shared" ca="1" si="52"/>
        <v>352043.95699999999</v>
      </c>
      <c r="EO61" s="1">
        <f t="shared" ca="1" si="53"/>
        <v>2012</v>
      </c>
      <c r="ES61" s="1">
        <f>MATCH(CONCATENATE($B61,"_",INDEX($C$4:$C56,ES$34)),lu_DataCode,0)</f>
        <v>245</v>
      </c>
      <c r="ET61" s="1">
        <f t="shared" ca="1" si="54"/>
        <v>2012</v>
      </c>
      <c r="EU61" s="1">
        <f t="shared" ca="1" si="55"/>
        <v>12.217000623701001</v>
      </c>
      <c r="EV61" s="1">
        <f t="shared" ca="1" si="56"/>
        <v>1</v>
      </c>
      <c r="EW61" s="1">
        <f t="shared" ca="1" si="135"/>
        <v>12.217001</v>
      </c>
      <c r="EX61" s="1">
        <f ca="1">RANK(EW61,EW$37:EW$62,EW$34)+COUNTIF(EW$37:EW61,EW61)-1</f>
        <v>13</v>
      </c>
      <c r="EY61" s="1">
        <f t="shared" ca="1" si="57"/>
        <v>23</v>
      </c>
      <c r="EZ61" s="1">
        <f t="shared" ca="1" si="136"/>
        <v>1</v>
      </c>
      <c r="FA61" s="1">
        <f t="shared" ca="1" si="137"/>
        <v>1</v>
      </c>
      <c r="FB61" s="1">
        <f t="shared" ca="1" si="138"/>
        <v>25</v>
      </c>
      <c r="FC61" s="1" t="str">
        <f t="shared" ca="1" si="139"/>
        <v>Suriname</v>
      </c>
      <c r="FD61" s="1">
        <f t="shared" ca="1" si="58"/>
        <v>1.36799</v>
      </c>
      <c r="FE61" s="1">
        <f t="shared" ca="1" si="59"/>
        <v>2012</v>
      </c>
      <c r="FI61" s="1">
        <f>MATCH(CONCATENATE($B61,"_",INDEX($C$4:$C56,FI$34)),lu_DataCode,0)</f>
        <v>270</v>
      </c>
      <c r="FJ61" s="1">
        <f t="shared" ca="1" si="60"/>
        <v>2012</v>
      </c>
      <c r="FK61" s="1">
        <f t="shared" ca="1" si="61"/>
        <v>5859956.7151799798</v>
      </c>
      <c r="FL61" s="1">
        <f t="shared" ca="1" si="62"/>
        <v>1</v>
      </c>
      <c r="FM61" s="1">
        <f t="shared" ca="1" si="140"/>
        <v>5859956.7151800003</v>
      </c>
      <c r="FN61" s="1">
        <f ca="1">RANK(FM61,FM$37:FM$62,FM$34)+COUNTIF(FM$37:FM61,FM61)-1</f>
        <v>16</v>
      </c>
      <c r="FO61" s="1">
        <f t="shared" ca="1" si="63"/>
        <v>14</v>
      </c>
      <c r="FP61" s="1">
        <f t="shared" ca="1" si="141"/>
        <v>0</v>
      </c>
      <c r="FQ61" s="1">
        <f t="shared" ca="1" si="142"/>
        <v>1</v>
      </c>
      <c r="FR61" s="1" t="str">
        <f t="shared" ca="1" si="143"/>
        <v/>
      </c>
      <c r="FS61" s="1" t="str">
        <f t="shared" ca="1" si="144"/>
        <v/>
      </c>
      <c r="FT61" s="1" t="str">
        <f t="shared" ca="1" si="64"/>
        <v/>
      </c>
      <c r="FU61" s="1" t="str">
        <f t="shared" ca="1" si="65"/>
        <v/>
      </c>
      <c r="FY61" s="1" t="e">
        <f>MATCH(CONCATENATE($B61,"_",INDEX($C$4:$C56,FY$34)),lu_DataCode,0)</f>
        <v>#N/A</v>
      </c>
      <c r="FZ61" s="1" t="e">
        <f t="shared" ca="1" si="66"/>
        <v>#N/A</v>
      </c>
      <c r="GA61" s="1" t="e">
        <f t="shared" ca="1" si="67"/>
        <v>#N/A</v>
      </c>
      <c r="GB61" s="1">
        <f t="shared" ca="1" si="68"/>
        <v>0</v>
      </c>
      <c r="GC61" s="1">
        <f t="shared" ca="1" si="145"/>
        <v>-10000000000</v>
      </c>
      <c r="GD61" s="1">
        <f ca="1">RANK(GC61,GC$37:GC$62,GC$34)+COUNTIF(GC$37:GC61,GC61)-1</f>
        <v>25</v>
      </c>
      <c r="GE61" s="1">
        <f t="shared" ca="1" si="69"/>
        <v>25</v>
      </c>
      <c r="GF61" s="1">
        <f t="shared" ca="1" si="146"/>
        <v>0</v>
      </c>
      <c r="GG61" s="1">
        <f t="shared" ca="1" si="147"/>
        <v>1</v>
      </c>
      <c r="GH61" s="1" t="str">
        <f t="shared" ca="1" si="148"/>
        <v/>
      </c>
      <c r="GI61" s="1" t="str">
        <f t="shared" ca="1" si="149"/>
        <v/>
      </c>
      <c r="GJ61" s="1" t="str">
        <f t="shared" ca="1" si="70"/>
        <v/>
      </c>
      <c r="GK61" s="1" t="str">
        <f t="shared" ca="1" si="71"/>
        <v/>
      </c>
      <c r="GO61" s="1" t="e">
        <f>MATCH(CONCATENATE($B61,"_",INDEX($C$4:$C56,GO$34)),lu_DataCode,0)</f>
        <v>#N/A</v>
      </c>
      <c r="GP61" s="1" t="e">
        <f t="shared" ca="1" si="72"/>
        <v>#N/A</v>
      </c>
      <c r="GQ61" s="1" t="e">
        <f t="shared" ca="1" si="73"/>
        <v>#N/A</v>
      </c>
      <c r="GR61" s="1">
        <f t="shared" ca="1" si="74"/>
        <v>0</v>
      </c>
      <c r="GS61" s="1">
        <f t="shared" ca="1" si="150"/>
        <v>-10000000000</v>
      </c>
      <c r="GT61" s="1">
        <f ca="1">RANK(GS61,GS$37:GS$62,GS$34)+COUNTIF(GS$37:GS61,GS61)-1</f>
        <v>25</v>
      </c>
      <c r="GU61" s="1">
        <f t="shared" ca="1" si="75"/>
        <v>25</v>
      </c>
      <c r="GV61" s="1">
        <f t="shared" ca="1" si="151"/>
        <v>0</v>
      </c>
      <c r="GW61" s="1">
        <f t="shared" ca="1" si="152"/>
        <v>1</v>
      </c>
      <c r="GX61" s="1" t="str">
        <f t="shared" ca="1" si="153"/>
        <v/>
      </c>
      <c r="GY61" s="1" t="str">
        <f t="shared" ca="1" si="154"/>
        <v/>
      </c>
      <c r="GZ61" s="1" t="str">
        <f t="shared" ca="1" si="76"/>
        <v/>
      </c>
      <c r="HA61" s="1" t="str">
        <f t="shared" ca="1" si="77"/>
        <v/>
      </c>
      <c r="HE61" s="1" t="e">
        <f>MATCH(CONCATENATE($B61,"_",INDEX($C$4:$C56,HE$34)),lu_DataCode,0)</f>
        <v>#N/A</v>
      </c>
      <c r="HF61" s="1" t="e">
        <f t="shared" ca="1" si="78"/>
        <v>#N/A</v>
      </c>
      <c r="HG61" s="1" t="e">
        <f t="shared" ca="1" si="79"/>
        <v>#N/A</v>
      </c>
      <c r="HH61" s="1">
        <f t="shared" ca="1" si="80"/>
        <v>0</v>
      </c>
      <c r="HI61" s="1">
        <f t="shared" ca="1" si="155"/>
        <v>-10000000000</v>
      </c>
      <c r="HJ61" s="1">
        <f ca="1">RANK(HI61,HI$37:HI$62,HI$34)+COUNTIF(HI$37:HI61,HI61)-1</f>
        <v>25</v>
      </c>
      <c r="HK61" s="1">
        <f t="shared" ca="1" si="81"/>
        <v>25</v>
      </c>
      <c r="HL61" s="1">
        <f t="shared" ca="1" si="156"/>
        <v>0</v>
      </c>
      <c r="HM61" s="1">
        <f t="shared" ca="1" si="157"/>
        <v>1</v>
      </c>
      <c r="HN61" s="1" t="str">
        <f t="shared" ca="1" si="158"/>
        <v/>
      </c>
      <c r="HO61" s="1" t="str">
        <f t="shared" ca="1" si="159"/>
        <v/>
      </c>
      <c r="HP61" s="1" t="str">
        <f t="shared" ca="1" si="82"/>
        <v/>
      </c>
      <c r="HQ61" s="1" t="str">
        <f t="shared" ca="1" si="83"/>
        <v/>
      </c>
      <c r="HU61" s="1" t="e">
        <f>MATCH(CONCATENATE($B61,"_",INDEX($C$4:$C56,HU$34)),lu_DataCode,0)</f>
        <v>#N/A</v>
      </c>
      <c r="HV61" s="1" t="e">
        <f t="shared" ca="1" si="84"/>
        <v>#N/A</v>
      </c>
      <c r="HW61" s="1" t="e">
        <f t="shared" ca="1" si="85"/>
        <v>#N/A</v>
      </c>
      <c r="HX61" s="1">
        <f t="shared" ca="1" si="86"/>
        <v>0</v>
      </c>
      <c r="HY61" s="1">
        <f t="shared" ca="1" si="160"/>
        <v>-10000000000</v>
      </c>
      <c r="HZ61" s="1">
        <f ca="1">RANK(HY61,HY$37:HY$62,HY$34)+COUNTIF(HY$37:HY61,HY61)-1</f>
        <v>25</v>
      </c>
      <c r="IA61" s="1">
        <f t="shared" ca="1" si="87"/>
        <v>25</v>
      </c>
      <c r="IB61" s="1">
        <f t="shared" ca="1" si="161"/>
        <v>0</v>
      </c>
      <c r="IC61" s="1">
        <f t="shared" ca="1" si="162"/>
        <v>1</v>
      </c>
      <c r="ID61" s="1" t="str">
        <f t="shared" ca="1" si="163"/>
        <v/>
      </c>
      <c r="IE61" s="1" t="str">
        <f t="shared" ca="1" si="164"/>
        <v/>
      </c>
      <c r="IF61" s="1" t="str">
        <f t="shared" ca="1" si="88"/>
        <v/>
      </c>
      <c r="IG61" s="1" t="str">
        <f t="shared" ca="1" si="89"/>
        <v/>
      </c>
    </row>
    <row r="62" spans="1:241" ht="10.15" x14ac:dyDescent="0.2">
      <c r="A62" s="1">
        <v>26</v>
      </c>
      <c r="B62" s="1" t="str">
        <f>tblCountries!E28</f>
        <v>NAC_VE_1</v>
      </c>
      <c r="C62" s="1" t="str">
        <f>tblCountries!C28</f>
        <v>Venezuela</v>
      </c>
      <c r="D62" s="1">
        <f>tblCountries!D28</f>
        <v>1</v>
      </c>
      <c r="E62" s="1">
        <f>MATCH(CONCATENATE($B62,"_",INDEX($C$4:$C57,E$34)),lu_DataCode,0)</f>
        <v>16</v>
      </c>
      <c r="F62" s="1">
        <f t="shared" ca="1" si="165"/>
        <v>2012</v>
      </c>
      <c r="G62" s="1">
        <f t="shared" ca="1" si="166"/>
        <v>3.5627437840933798</v>
      </c>
      <c r="H62" s="1">
        <f t="shared" ca="1" si="167"/>
        <v>1</v>
      </c>
      <c r="I62" s="1">
        <f t="shared" ca="1" si="90"/>
        <v>3.5627439999999999</v>
      </c>
      <c r="J62" s="1">
        <f ca="1">RANK(I62,I$37:I$62,I$34)+COUNTIF(I$37:I62,I62)-1</f>
        <v>24</v>
      </c>
      <c r="K62" s="1">
        <f t="shared" ca="1" si="168"/>
        <v>15</v>
      </c>
      <c r="L62" s="1">
        <f t="shared" ca="1" si="169"/>
        <v>0</v>
      </c>
      <c r="M62" s="1">
        <f t="shared" ca="1" si="92"/>
        <v>1</v>
      </c>
      <c r="N62" s="1" t="str">
        <f t="shared" ca="1" si="93"/>
        <v/>
      </c>
      <c r="O62" s="1" t="str">
        <f t="shared" ca="1" si="94"/>
        <v/>
      </c>
      <c r="P62" s="1" t="str">
        <f t="shared" ca="1" si="170"/>
        <v/>
      </c>
      <c r="Q62" s="1" t="str">
        <f t="shared" ca="1" si="171"/>
        <v/>
      </c>
      <c r="U62" s="1">
        <f>MATCH(CONCATENATE($B62,"_",INDEX($C$4:$C57,U$34)),lu_DataCode,0)</f>
        <v>41</v>
      </c>
      <c r="V62" s="1">
        <f t="shared" ca="1" si="172"/>
        <v>2012</v>
      </c>
      <c r="W62" s="1">
        <f t="shared" ca="1" si="173"/>
        <v>29.516999999999999</v>
      </c>
      <c r="X62" s="1">
        <f t="shared" ca="1" si="174"/>
        <v>1</v>
      </c>
      <c r="Y62" s="1">
        <f t="shared" ca="1" si="95"/>
        <v>29.516999999999999</v>
      </c>
      <c r="Z62" s="1">
        <f ca="1">RANK(Y62,Y$37:Y$62,Y$34)+COUNTIF(Y$37:Y62,Y62)-1</f>
        <v>6</v>
      </c>
      <c r="AA62" s="1">
        <f t="shared" ca="1" si="175"/>
        <v>3</v>
      </c>
      <c r="AB62" s="1">
        <f t="shared" ca="1" si="176"/>
        <v>1</v>
      </c>
      <c r="AC62" s="1">
        <f t="shared" ca="1" si="97"/>
        <v>1</v>
      </c>
      <c r="AD62" s="1">
        <f t="shared" ca="1" si="98"/>
        <v>26</v>
      </c>
      <c r="AE62" s="1" t="str">
        <f t="shared" ca="1" si="99"/>
        <v>Barbados</v>
      </c>
      <c r="AF62" s="1">
        <f t="shared" ca="1" si="177"/>
        <v>0.27451900000000001</v>
      </c>
      <c r="AG62" s="1">
        <f t="shared" ca="1" si="178"/>
        <v>2012</v>
      </c>
      <c r="AK62" s="1">
        <f>MATCH(CONCATENATE($B62,"_",INDEX($C$4:$C57,AK$34)),lu_DataCode,0)</f>
        <v>67</v>
      </c>
      <c r="AL62" s="1">
        <f t="shared" ca="1" si="12"/>
        <v>2012</v>
      </c>
      <c r="AM62" s="1">
        <f t="shared" ca="1" si="13"/>
        <v>912050</v>
      </c>
      <c r="AN62" s="1">
        <f t="shared" ca="1" si="14"/>
        <v>1</v>
      </c>
      <c r="AO62" s="1">
        <f t="shared" ca="1" si="100"/>
        <v>912050</v>
      </c>
      <c r="AP62" s="1">
        <f ca="1">RANK(AO62,AO$37:AO$62,AO$34)+COUNTIF(AO$37:AO62,AO62)-1</f>
        <v>7</v>
      </c>
      <c r="AQ62" s="1">
        <f t="shared" ca="1" si="15"/>
        <v>3</v>
      </c>
      <c r="AR62" s="1">
        <f t="shared" ca="1" si="101"/>
        <v>1</v>
      </c>
      <c r="AS62" s="1">
        <f t="shared" ca="1" si="102"/>
        <v>1</v>
      </c>
      <c r="AT62" s="1">
        <f t="shared" ca="1" si="103"/>
        <v>26</v>
      </c>
      <c r="AU62" s="1" t="str">
        <f t="shared" ca="1" si="104"/>
        <v>Barbados</v>
      </c>
      <c r="AV62" s="1">
        <f t="shared" ca="1" si="16"/>
        <v>430</v>
      </c>
      <c r="AW62" s="1">
        <f t="shared" ca="1" si="17"/>
        <v>2012</v>
      </c>
      <c r="BA62" s="1">
        <f>MATCH(CONCATENATE($B62,"_",INDEX($C$4:$C57,BA$34)),lu_DataCode,0)</f>
        <v>93</v>
      </c>
      <c r="BB62" s="1">
        <f t="shared" ca="1" si="18"/>
        <v>2012</v>
      </c>
      <c r="BC62" s="1">
        <f t="shared" ca="1" si="19"/>
        <v>382.42399999999998</v>
      </c>
      <c r="BD62" s="1">
        <f t="shared" ca="1" si="20"/>
        <v>1</v>
      </c>
      <c r="BE62" s="1">
        <f t="shared" ca="1" si="105"/>
        <v>382.42399999999998</v>
      </c>
      <c r="BF62" s="1">
        <f ca="1">RANK(BE62,BE$37:BE$62,BE$34)+COUNTIF(BE$37:BE62,BE62)-1</f>
        <v>4</v>
      </c>
      <c r="BG62" s="1">
        <f t="shared" ca="1" si="21"/>
        <v>4</v>
      </c>
      <c r="BH62" s="1">
        <f t="shared" ca="1" si="106"/>
        <v>1</v>
      </c>
      <c r="BI62" s="1">
        <f t="shared" ca="1" si="107"/>
        <v>1</v>
      </c>
      <c r="BJ62" s="1">
        <f t="shared" ca="1" si="108"/>
        <v>26</v>
      </c>
      <c r="BK62" s="1" t="str">
        <f t="shared" ca="1" si="109"/>
        <v>Belize</v>
      </c>
      <c r="BL62" s="1">
        <f t="shared" ca="1" si="22"/>
        <v>1.554</v>
      </c>
      <c r="BM62" s="1">
        <f t="shared" ca="1" si="23"/>
        <v>2012</v>
      </c>
      <c r="BQ62" s="1">
        <f>MATCH(CONCATENATE($B62,"_",INDEX($C$4:$C57,BQ$34)),lu_DataCode,0)</f>
        <v>119</v>
      </c>
      <c r="BR62" s="1">
        <f t="shared" ca="1" si="24"/>
        <v>2012</v>
      </c>
      <c r="BS62" s="1">
        <f t="shared" ca="1" si="25"/>
        <v>401.89800000000002</v>
      </c>
      <c r="BT62" s="1">
        <f t="shared" ca="1" si="26"/>
        <v>1</v>
      </c>
      <c r="BU62" s="1">
        <f t="shared" ca="1" si="110"/>
        <v>401.89800000000002</v>
      </c>
      <c r="BV62" s="1">
        <f ca="1">RANK(BU62,BU$37:BU$62,BU$34)+COUNTIF(BU$37:BU62,BU62)-1</f>
        <v>5</v>
      </c>
      <c r="BW62" s="1">
        <f t="shared" ca="1" si="27"/>
        <v>4</v>
      </c>
      <c r="BX62" s="1">
        <f t="shared" ca="1" si="111"/>
        <v>1</v>
      </c>
      <c r="BY62" s="1">
        <f t="shared" ca="1" si="112"/>
        <v>1</v>
      </c>
      <c r="BZ62" s="1">
        <f t="shared" ca="1" si="113"/>
        <v>26</v>
      </c>
      <c r="CA62" s="1" t="str">
        <f t="shared" ca="1" si="114"/>
        <v>Belize</v>
      </c>
      <c r="CB62" s="1">
        <f t="shared" ca="1" si="28"/>
        <v>2.9990000000000001</v>
      </c>
      <c r="CC62" s="1">
        <f t="shared" ca="1" si="29"/>
        <v>2012</v>
      </c>
      <c r="CG62" s="1">
        <f>MATCH(CONCATENATE($B62,"_",INDEX($C$4:$C57,CG$34)),lu_DataCode,0)</f>
        <v>145</v>
      </c>
      <c r="CH62" s="1">
        <f t="shared" ca="1" si="30"/>
        <v>2012</v>
      </c>
      <c r="CI62" s="1">
        <f t="shared" ca="1" si="31"/>
        <v>3.7890000000000001</v>
      </c>
      <c r="CJ62" s="1">
        <f t="shared" ca="1" si="32"/>
        <v>1</v>
      </c>
      <c r="CK62" s="1">
        <f t="shared" ca="1" si="115"/>
        <v>3.7890000000000001</v>
      </c>
      <c r="CL62" s="1">
        <f ca="1">RANK(CK62,CK$37:CK$62,CK$34)+COUNTIF(CK$37:CK62,CK62)-1</f>
        <v>5</v>
      </c>
      <c r="CM62" s="1">
        <f t="shared" ca="1" si="33"/>
        <v>23</v>
      </c>
      <c r="CN62" s="1">
        <f t="shared" ca="1" si="116"/>
        <v>1</v>
      </c>
      <c r="CO62" s="1">
        <f t="shared" ca="1" si="117"/>
        <v>1</v>
      </c>
      <c r="CP62" s="1">
        <f t="shared" ca="1" si="118"/>
        <v>26</v>
      </c>
      <c r="CQ62" s="1" t="str">
        <f t="shared" ca="1" si="119"/>
        <v>Suriname</v>
      </c>
      <c r="CR62" s="1">
        <f t="shared" ca="1" si="34"/>
        <v>7.8880000000000006E-2</v>
      </c>
      <c r="CS62" s="1">
        <f t="shared" ca="1" si="35"/>
        <v>2012</v>
      </c>
      <c r="CW62" s="1">
        <f>MATCH(CONCATENATE($B62,"_",INDEX($C$4:$C57,CW$34)),lu_DataCode,0)</f>
        <v>170</v>
      </c>
      <c r="CX62" s="1">
        <f t="shared" ca="1" si="36"/>
        <v>2012</v>
      </c>
      <c r="CY62" s="1">
        <f t="shared" ca="1" si="37"/>
        <v>0.28100000000000003</v>
      </c>
      <c r="CZ62" s="1">
        <f t="shared" ca="1" si="38"/>
        <v>1</v>
      </c>
      <c r="DA62" s="1">
        <f t="shared" ca="1" si="120"/>
        <v>0.28100000000000003</v>
      </c>
      <c r="DB62" s="1">
        <f ca="1">RANK(DA62,DA$37:DA$62,DA$34)+COUNTIF(DA$37:DA62,DA62)-1</f>
        <v>15</v>
      </c>
      <c r="DC62" s="1">
        <f t="shared" ca="1" si="39"/>
        <v>22</v>
      </c>
      <c r="DD62" s="1">
        <f t="shared" ca="1" si="121"/>
        <v>0</v>
      </c>
      <c r="DE62" s="1">
        <f t="shared" ca="1" si="122"/>
        <v>1</v>
      </c>
      <c r="DF62" s="1" t="str">
        <f t="shared" ca="1" si="123"/>
        <v/>
      </c>
      <c r="DG62" s="1" t="str">
        <f t="shared" ca="1" si="124"/>
        <v/>
      </c>
      <c r="DH62" s="1" t="str">
        <f t="shared" ca="1" si="40"/>
        <v/>
      </c>
      <c r="DI62" s="1" t="str">
        <f t="shared" ca="1" si="41"/>
        <v/>
      </c>
      <c r="DM62" s="1">
        <f>MATCH(CONCATENATE($B62,"_",INDEX($C$4:$C57,DM$34)),lu_DataCode,0)</f>
        <v>195</v>
      </c>
      <c r="DN62" s="1">
        <f t="shared" ca="1" si="42"/>
        <v>2012</v>
      </c>
      <c r="DO62" s="1">
        <f t="shared" ca="1" si="43"/>
        <v>96.461419800000002</v>
      </c>
      <c r="DP62" s="1">
        <f t="shared" ca="1" si="44"/>
        <v>1</v>
      </c>
      <c r="DQ62" s="1">
        <f t="shared" ca="1" si="125"/>
        <v>96.461420000000004</v>
      </c>
      <c r="DR62" s="1">
        <f ca="1">RANK(DQ62,DQ$37:DQ$62,DQ$34)+COUNTIF(DQ$37:DQ62,DQ62)-1</f>
        <v>3</v>
      </c>
      <c r="DS62" s="1">
        <f t="shared" ca="1" si="45"/>
        <v>3</v>
      </c>
      <c r="DT62" s="1">
        <f t="shared" ca="1" si="126"/>
        <v>1</v>
      </c>
      <c r="DU62" s="1">
        <f t="shared" ca="1" si="127"/>
        <v>1</v>
      </c>
      <c r="DV62" s="1">
        <f t="shared" ca="1" si="128"/>
        <v>26</v>
      </c>
      <c r="DW62" s="1" t="str">
        <f t="shared" ca="1" si="129"/>
        <v>Barbados</v>
      </c>
      <c r="DX62" s="1">
        <f t="shared" ca="1" si="46"/>
        <v>0.47486099999999998</v>
      </c>
      <c r="DY62" s="1">
        <f t="shared" ca="1" si="47"/>
        <v>2012</v>
      </c>
      <c r="EC62" s="1">
        <f>MATCH(CONCATENATE($B62,"_",INDEX($C$4:$C57,EC$34)),lu_DataCode,0)</f>
        <v>220</v>
      </c>
      <c r="ED62" s="1">
        <f t="shared" ca="1" si="48"/>
        <v>2012</v>
      </c>
      <c r="EE62" s="1">
        <f t="shared" ca="1" si="49"/>
        <v>117437477.006</v>
      </c>
      <c r="EF62" s="1">
        <f t="shared" ca="1" si="50"/>
        <v>1</v>
      </c>
      <c r="EG62" s="1">
        <f t="shared" ca="1" si="130"/>
        <v>117437477.006</v>
      </c>
      <c r="EH62" s="1">
        <f ca="1">RANK(EG62,EG$37:EG$62,EG$34)+COUNTIF(EG$37:EG62,EG62)-1</f>
        <v>3</v>
      </c>
      <c r="EI62" s="1">
        <f t="shared" ca="1" si="51"/>
        <v>14</v>
      </c>
      <c r="EJ62" s="1">
        <f t="shared" ca="1" si="131"/>
        <v>0</v>
      </c>
      <c r="EK62" s="1">
        <f t="shared" ca="1" si="132"/>
        <v>1</v>
      </c>
      <c r="EL62" s="1" t="str">
        <f t="shared" ca="1" si="133"/>
        <v/>
      </c>
      <c r="EM62" s="1" t="str">
        <f t="shared" ca="1" si="134"/>
        <v/>
      </c>
      <c r="EN62" s="1" t="str">
        <f t="shared" ca="1" si="52"/>
        <v/>
      </c>
      <c r="EO62" s="1" t="str">
        <f t="shared" ca="1" si="53"/>
        <v/>
      </c>
      <c r="ES62" s="1">
        <f>MATCH(CONCATENATE($B62,"_",INDEX($C$4:$C57,ES$34)),lu_DataCode,0)</f>
        <v>246</v>
      </c>
      <c r="ET62" s="1">
        <f t="shared" ca="1" si="54"/>
        <v>2012</v>
      </c>
      <c r="EU62" s="1">
        <f t="shared" ca="1" si="55"/>
        <v>56.392989100000001</v>
      </c>
      <c r="EV62" s="1">
        <f t="shared" ca="1" si="56"/>
        <v>1</v>
      </c>
      <c r="EW62" s="1">
        <f t="shared" ca="1" si="135"/>
        <v>56.392989</v>
      </c>
      <c r="EX62" s="1">
        <f ca="1">RANK(EW62,EW$37:EW$62,EW$34)+COUNTIF(EW$37:EW62,EW62)-1</f>
        <v>5</v>
      </c>
      <c r="EY62" s="1">
        <f t="shared" ca="1" si="57"/>
        <v>4</v>
      </c>
      <c r="EZ62" s="1">
        <f t="shared" ca="1" si="136"/>
        <v>1</v>
      </c>
      <c r="FA62" s="1">
        <f t="shared" ca="1" si="137"/>
        <v>1</v>
      </c>
      <c r="FB62" s="1">
        <f t="shared" ca="1" si="138"/>
        <v>26</v>
      </c>
      <c r="FC62" s="1" t="str">
        <f t="shared" ca="1" si="139"/>
        <v>Belize</v>
      </c>
      <c r="FD62" s="1">
        <f t="shared" ca="1" si="58"/>
        <v>0.82399999999999995</v>
      </c>
      <c r="FE62" s="1">
        <f t="shared" ca="1" si="59"/>
        <v>2012</v>
      </c>
      <c r="FI62" s="1" t="e">
        <f>MATCH(CONCATENATE($B62,"_",INDEX($C$4:$C57,FI$34)),lu_DataCode,0)</f>
        <v>#N/A</v>
      </c>
      <c r="FJ62" s="1" t="e">
        <f t="shared" ca="1" si="60"/>
        <v>#N/A</v>
      </c>
      <c r="FK62" s="1" t="e">
        <f t="shared" ca="1" si="61"/>
        <v>#N/A</v>
      </c>
      <c r="FL62" s="1">
        <f t="shared" ca="1" si="62"/>
        <v>0</v>
      </c>
      <c r="FM62" s="1">
        <f t="shared" ca="1" si="140"/>
        <v>-10000000000</v>
      </c>
      <c r="FN62" s="1">
        <f ca="1">RANK(FM62,FM$37:FM$62,FM$34)+COUNTIF(FM$37:FM62,FM62)-1</f>
        <v>26</v>
      </c>
      <c r="FO62" s="1">
        <f t="shared" ca="1" si="63"/>
        <v>26</v>
      </c>
      <c r="FP62" s="1">
        <f t="shared" ca="1" si="141"/>
        <v>0</v>
      </c>
      <c r="FQ62" s="1">
        <f t="shared" ca="1" si="142"/>
        <v>1</v>
      </c>
      <c r="FR62" s="1" t="str">
        <f t="shared" ca="1" si="143"/>
        <v/>
      </c>
      <c r="FS62" s="1" t="str">
        <f t="shared" ca="1" si="144"/>
        <v/>
      </c>
      <c r="FT62" s="1" t="str">
        <f t="shared" ca="1" si="64"/>
        <v/>
      </c>
      <c r="FU62" s="1" t="str">
        <f t="shared" ca="1" si="65"/>
        <v/>
      </c>
      <c r="FY62" s="1" t="e">
        <f>MATCH(CONCATENATE($B62,"_",INDEX($C$4:$C57,FY$34)),lu_DataCode,0)</f>
        <v>#N/A</v>
      </c>
      <c r="FZ62" s="1" t="e">
        <f t="shared" ca="1" si="66"/>
        <v>#N/A</v>
      </c>
      <c r="GA62" s="1" t="e">
        <f t="shared" ca="1" si="67"/>
        <v>#N/A</v>
      </c>
      <c r="GB62" s="1">
        <f t="shared" ca="1" si="68"/>
        <v>0</v>
      </c>
      <c r="GC62" s="1">
        <f t="shared" ca="1" si="145"/>
        <v>-10000000000</v>
      </c>
      <c r="GD62" s="1">
        <f ca="1">RANK(GC62,GC$37:GC$62,GC$34)+COUNTIF(GC$37:GC62,GC62)-1</f>
        <v>26</v>
      </c>
      <c r="GE62" s="1">
        <f t="shared" ca="1" si="69"/>
        <v>26</v>
      </c>
      <c r="GF62" s="1">
        <f t="shared" ca="1" si="146"/>
        <v>0</v>
      </c>
      <c r="GG62" s="1">
        <f t="shared" ca="1" si="147"/>
        <v>1</v>
      </c>
      <c r="GH62" s="1" t="str">
        <f t="shared" ca="1" si="148"/>
        <v/>
      </c>
      <c r="GI62" s="1" t="str">
        <f t="shared" ca="1" si="149"/>
        <v/>
      </c>
      <c r="GJ62" s="1" t="str">
        <f t="shared" ca="1" si="70"/>
        <v/>
      </c>
      <c r="GK62" s="1" t="str">
        <f t="shared" ca="1" si="71"/>
        <v/>
      </c>
      <c r="GO62" s="1" t="e">
        <f>MATCH(CONCATENATE($B62,"_",INDEX($C$4:$C57,GO$34)),lu_DataCode,0)</f>
        <v>#N/A</v>
      </c>
      <c r="GP62" s="1" t="e">
        <f t="shared" ca="1" si="72"/>
        <v>#N/A</v>
      </c>
      <c r="GQ62" s="1" t="e">
        <f t="shared" ca="1" si="73"/>
        <v>#N/A</v>
      </c>
      <c r="GR62" s="1">
        <f t="shared" ca="1" si="74"/>
        <v>0</v>
      </c>
      <c r="GS62" s="1">
        <f t="shared" ca="1" si="150"/>
        <v>-10000000000</v>
      </c>
      <c r="GT62" s="1">
        <f ca="1">RANK(GS62,GS$37:GS$62,GS$34)+COUNTIF(GS$37:GS62,GS62)-1</f>
        <v>26</v>
      </c>
      <c r="GU62" s="1">
        <f t="shared" ca="1" si="75"/>
        <v>26</v>
      </c>
      <c r="GV62" s="1">
        <f t="shared" ca="1" si="151"/>
        <v>0</v>
      </c>
      <c r="GW62" s="1">
        <f t="shared" ca="1" si="152"/>
        <v>1</v>
      </c>
      <c r="GX62" s="1" t="str">
        <f t="shared" ca="1" si="153"/>
        <v/>
      </c>
      <c r="GY62" s="1" t="str">
        <f t="shared" ca="1" si="154"/>
        <v/>
      </c>
      <c r="GZ62" s="1" t="str">
        <f t="shared" ca="1" si="76"/>
        <v/>
      </c>
      <c r="HA62" s="1" t="str">
        <f t="shared" ca="1" si="77"/>
        <v/>
      </c>
      <c r="HE62" s="1" t="e">
        <f>MATCH(CONCATENATE($B62,"_",INDEX($C$4:$C57,HE$34)),lu_DataCode,0)</f>
        <v>#N/A</v>
      </c>
      <c r="HF62" s="1" t="e">
        <f t="shared" ca="1" si="78"/>
        <v>#N/A</v>
      </c>
      <c r="HG62" s="1" t="e">
        <f t="shared" ca="1" si="79"/>
        <v>#N/A</v>
      </c>
      <c r="HH62" s="1">
        <f t="shared" ca="1" si="80"/>
        <v>0</v>
      </c>
      <c r="HI62" s="1">
        <f t="shared" ca="1" si="155"/>
        <v>-10000000000</v>
      </c>
      <c r="HJ62" s="1">
        <f ca="1">RANK(HI62,HI$37:HI$62,HI$34)+COUNTIF(HI$37:HI62,HI62)-1</f>
        <v>26</v>
      </c>
      <c r="HK62" s="1">
        <f t="shared" ca="1" si="81"/>
        <v>26</v>
      </c>
      <c r="HL62" s="1">
        <f t="shared" ca="1" si="156"/>
        <v>0</v>
      </c>
      <c r="HM62" s="1">
        <f t="shared" ca="1" si="157"/>
        <v>1</v>
      </c>
      <c r="HN62" s="1" t="str">
        <f t="shared" ca="1" si="158"/>
        <v/>
      </c>
      <c r="HO62" s="1" t="str">
        <f t="shared" ca="1" si="159"/>
        <v/>
      </c>
      <c r="HP62" s="1" t="str">
        <f t="shared" ca="1" si="82"/>
        <v/>
      </c>
      <c r="HQ62" s="1" t="str">
        <f t="shared" ca="1" si="83"/>
        <v/>
      </c>
      <c r="HU62" s="1" t="e">
        <f>MATCH(CONCATENATE($B62,"_",INDEX($C$4:$C57,HU$34)),lu_DataCode,0)</f>
        <v>#N/A</v>
      </c>
      <c r="HV62" s="1" t="e">
        <f t="shared" ca="1" si="84"/>
        <v>#N/A</v>
      </c>
      <c r="HW62" s="1" t="e">
        <f t="shared" ca="1" si="85"/>
        <v>#N/A</v>
      </c>
      <c r="HX62" s="1">
        <f t="shared" ca="1" si="86"/>
        <v>0</v>
      </c>
      <c r="HY62" s="1">
        <f t="shared" ca="1" si="160"/>
        <v>-10000000000</v>
      </c>
      <c r="HZ62" s="1">
        <f ca="1">RANK(HY62,HY$37:HY$62,HY$34)+COUNTIF(HY$37:HY62,HY62)-1</f>
        <v>26</v>
      </c>
      <c r="IA62" s="1">
        <f t="shared" ca="1" si="87"/>
        <v>26</v>
      </c>
      <c r="IB62" s="1">
        <f t="shared" ca="1" si="161"/>
        <v>0</v>
      </c>
      <c r="IC62" s="1">
        <f t="shared" ca="1" si="162"/>
        <v>1</v>
      </c>
      <c r="ID62" s="1" t="str">
        <f t="shared" ca="1" si="163"/>
        <v/>
      </c>
      <c r="IE62" s="1" t="str">
        <f t="shared" ca="1" si="164"/>
        <v/>
      </c>
      <c r="IF62" s="1" t="str">
        <f t="shared" ca="1" si="88"/>
        <v/>
      </c>
      <c r="IG62" s="1" t="str">
        <f t="shared" ca="1" si="89"/>
        <v/>
      </c>
    </row>
    <row r="65" spans="1:241" ht="10.15" x14ac:dyDescent="0.2">
      <c r="B65" s="6"/>
      <c r="C65" s="6"/>
      <c r="D65" s="6"/>
      <c r="E65" s="6">
        <v>16</v>
      </c>
      <c r="F65" s="6"/>
      <c r="G65" s="6"/>
      <c r="H65" s="6"/>
      <c r="I65" s="6">
        <f>IF(INDEX($P$4:$P$48,E65)="",0,INDEX($P$4:$P$48,E65))</f>
        <v>0</v>
      </c>
      <c r="J65" s="6"/>
      <c r="K65" s="6"/>
      <c r="L65" s="6"/>
      <c r="M65" s="6"/>
      <c r="N65" s="6"/>
      <c r="O65" s="6"/>
      <c r="P65" s="6"/>
      <c r="Q65" s="6"/>
      <c r="U65" s="6">
        <f>E65+1</f>
        <v>17</v>
      </c>
      <c r="V65" s="6"/>
      <c r="W65" s="6"/>
      <c r="X65" s="6"/>
      <c r="Y65" s="6">
        <f>IF(INDEX($P$4:$P$48,U65)="",0,INDEX($P$4:$P$48,U65))</f>
        <v>0</v>
      </c>
      <c r="Z65" s="6"/>
      <c r="AA65" s="6"/>
      <c r="AB65" s="6"/>
      <c r="AC65" s="6"/>
      <c r="AD65" s="6"/>
      <c r="AE65" s="6"/>
      <c r="AF65" s="6"/>
      <c r="AG65" s="6"/>
      <c r="AK65" s="6">
        <f>U65+1</f>
        <v>18</v>
      </c>
      <c r="AL65" s="6"/>
      <c r="AM65" s="6"/>
      <c r="AN65" s="6"/>
      <c r="AO65" s="6">
        <f>IF(INDEX($P$4:$P$48,AK65)="",0,INDEX($P$4:$P$48,AK65))</f>
        <v>0</v>
      </c>
      <c r="AP65" s="6"/>
      <c r="AQ65" s="6"/>
      <c r="AR65" s="6"/>
      <c r="AS65" s="6"/>
      <c r="AT65" s="6"/>
      <c r="AU65" s="6"/>
      <c r="AV65" s="6"/>
      <c r="AW65" s="6"/>
      <c r="BA65" s="6">
        <f>AK65+1</f>
        <v>19</v>
      </c>
      <c r="BB65" s="6"/>
      <c r="BC65" s="6"/>
      <c r="BD65" s="6"/>
      <c r="BE65" s="6">
        <f>IF(INDEX($P$4:$P$48,BA65)="",0,INDEX($P$4:$P$48,BA65))</f>
        <v>0</v>
      </c>
      <c r="BF65" s="6"/>
      <c r="BG65" s="6"/>
      <c r="BH65" s="6"/>
      <c r="BI65" s="6"/>
      <c r="BJ65" s="6"/>
      <c r="BK65" s="6"/>
      <c r="BL65" s="6"/>
      <c r="BM65" s="6"/>
      <c r="BQ65" s="6">
        <f>BA65+1</f>
        <v>20</v>
      </c>
      <c r="BR65" s="6"/>
      <c r="BS65" s="6"/>
      <c r="BT65" s="6"/>
      <c r="BU65" s="6">
        <f>IF(INDEX($P$4:$P$48,BQ65)="",0,INDEX($P$4:$P$48,BQ65))</f>
        <v>0</v>
      </c>
      <c r="BV65" s="6"/>
      <c r="BW65" s="6"/>
      <c r="BX65" s="6"/>
      <c r="BY65" s="6"/>
      <c r="BZ65" s="6"/>
      <c r="CA65" s="6"/>
      <c r="CB65" s="6"/>
      <c r="CC65" s="6"/>
      <c r="CG65" s="6">
        <f>BQ65+1</f>
        <v>21</v>
      </c>
      <c r="CH65" s="6"/>
      <c r="CI65" s="6"/>
      <c r="CJ65" s="6"/>
      <c r="CK65" s="6">
        <f>IF(INDEX($P$4:$P$48,CG65)="",0,INDEX($P$4:$P$48,CG65))</f>
        <v>0</v>
      </c>
      <c r="CL65" s="6"/>
      <c r="CM65" s="6"/>
      <c r="CN65" s="6"/>
      <c r="CO65" s="6"/>
      <c r="CP65" s="6"/>
      <c r="CQ65" s="6"/>
      <c r="CR65" s="6"/>
      <c r="CS65" s="6"/>
      <c r="CW65" s="6">
        <f>CG65+1</f>
        <v>22</v>
      </c>
      <c r="CX65" s="6"/>
      <c r="CY65" s="6"/>
      <c r="CZ65" s="6"/>
      <c r="DA65" s="6">
        <f>IF(INDEX($P$4:$P$48,CW65)="",0,INDEX($P$4:$P$48,CW65))</f>
        <v>0</v>
      </c>
      <c r="DB65" s="6"/>
      <c r="DC65" s="6"/>
      <c r="DD65" s="6"/>
      <c r="DE65" s="6"/>
      <c r="DF65" s="6"/>
      <c r="DG65" s="6"/>
      <c r="DH65" s="6"/>
      <c r="DI65" s="6"/>
      <c r="DM65" s="6">
        <f>CW65+1</f>
        <v>23</v>
      </c>
      <c r="DN65" s="6"/>
      <c r="DO65" s="6"/>
      <c r="DP65" s="6"/>
      <c r="DQ65" s="6">
        <f>IF(INDEX($P$4:$P$48,DM65)="",0,INDEX($P$4:$P$48,DM65))</f>
        <v>0</v>
      </c>
      <c r="DR65" s="6"/>
      <c r="DS65" s="6"/>
      <c r="DT65" s="6"/>
      <c r="DU65" s="6"/>
      <c r="DV65" s="6"/>
      <c r="DW65" s="6"/>
      <c r="DX65" s="6"/>
      <c r="DY65" s="6"/>
      <c r="EC65" s="6">
        <f>DM65+1</f>
        <v>24</v>
      </c>
      <c r="ED65" s="6"/>
      <c r="EE65" s="6"/>
      <c r="EF65" s="6"/>
      <c r="EG65" s="6">
        <f>IF(INDEX($P$4:$P$48,EC65)="",0,INDEX($P$4:$P$48,EC65))</f>
        <v>0</v>
      </c>
      <c r="EH65" s="6"/>
      <c r="EI65" s="6"/>
      <c r="EJ65" s="6"/>
      <c r="EK65" s="6"/>
      <c r="EL65" s="6"/>
      <c r="EM65" s="6"/>
      <c r="EN65" s="6"/>
      <c r="EO65" s="6"/>
      <c r="ES65" s="6">
        <f>EC65+1</f>
        <v>25</v>
      </c>
      <c r="ET65" s="6"/>
      <c r="EU65" s="6"/>
      <c r="EV65" s="6"/>
      <c r="EW65" s="6">
        <f>IF(INDEX($P$4:$P$48,ES65)="",0,INDEX($P$4:$P$48,ES65))</f>
        <v>0</v>
      </c>
      <c r="EX65" s="6"/>
      <c r="EY65" s="6"/>
      <c r="EZ65" s="6"/>
      <c r="FA65" s="6"/>
      <c r="FB65" s="6"/>
      <c r="FC65" s="6"/>
      <c r="FD65" s="6"/>
      <c r="FE65" s="6"/>
      <c r="FI65" s="6">
        <f>ES65+1</f>
        <v>26</v>
      </c>
      <c r="FJ65" s="6"/>
      <c r="FK65" s="6"/>
      <c r="FL65" s="6"/>
      <c r="FM65" s="6">
        <f>IF(INDEX($P$4:$P$48,FI65)="",0,INDEX($P$4:$P$48,FI65))</f>
        <v>0</v>
      </c>
      <c r="FN65" s="6"/>
      <c r="FO65" s="6"/>
      <c r="FP65" s="6"/>
      <c r="FQ65" s="6"/>
      <c r="FR65" s="6"/>
      <c r="FS65" s="6"/>
      <c r="FT65" s="6"/>
      <c r="FU65" s="6"/>
      <c r="FY65" s="6">
        <f>FI65+1</f>
        <v>27</v>
      </c>
      <c r="FZ65" s="6"/>
      <c r="GA65" s="6"/>
      <c r="GB65" s="6"/>
      <c r="GC65" s="6">
        <f>IF(INDEX($P$4:$P$48,FY65)="",0,INDEX($P$4:$P$48,FY65))</f>
        <v>0</v>
      </c>
      <c r="GD65" s="6"/>
      <c r="GE65" s="6"/>
      <c r="GF65" s="6"/>
      <c r="GG65" s="6"/>
      <c r="GH65" s="6"/>
      <c r="GI65" s="6"/>
      <c r="GJ65" s="6"/>
      <c r="GK65" s="6"/>
      <c r="GO65" s="6">
        <f>FY65+1</f>
        <v>28</v>
      </c>
      <c r="GP65" s="6"/>
      <c r="GQ65" s="6"/>
      <c r="GR65" s="6"/>
      <c r="GS65" s="6">
        <f>IF(INDEX($P$4:$P$48,GO65)="",0,INDEX($P$4:$P$48,GO65))</f>
        <v>0</v>
      </c>
      <c r="GT65" s="6"/>
      <c r="GU65" s="6"/>
      <c r="GV65" s="6"/>
      <c r="GW65" s="6"/>
      <c r="GX65" s="6"/>
      <c r="GY65" s="6"/>
      <c r="GZ65" s="6"/>
      <c r="HA65" s="6"/>
      <c r="HE65" s="6">
        <f>GO65+1</f>
        <v>29</v>
      </c>
      <c r="HF65" s="6"/>
      <c r="HG65" s="6"/>
      <c r="HH65" s="6"/>
      <c r="HI65" s="6">
        <f>IF(INDEX($P$4:$P$48,HE65)="",0,INDEX($P$4:$P$48,HE65))</f>
        <v>0</v>
      </c>
      <c r="HJ65" s="6"/>
      <c r="HK65" s="6"/>
      <c r="HL65" s="6"/>
      <c r="HM65" s="6"/>
      <c r="HN65" s="6"/>
      <c r="HO65" s="6"/>
      <c r="HP65" s="6"/>
      <c r="HQ65" s="6"/>
      <c r="HU65" s="6">
        <f>HE65+1</f>
        <v>30</v>
      </c>
      <c r="HV65" s="6"/>
      <c r="HW65" s="6"/>
      <c r="HX65" s="6"/>
      <c r="HY65" s="6">
        <f>IF(INDEX($P$4:$P$48,HU65)="",0,INDEX($P$4:$P$48,HU65))</f>
        <v>0</v>
      </c>
      <c r="HZ65" s="6"/>
      <c r="IA65" s="6"/>
      <c r="IB65" s="6"/>
      <c r="IC65" s="6"/>
      <c r="ID65" s="6"/>
      <c r="IE65" s="6"/>
      <c r="IF65" s="6"/>
      <c r="IG65" s="6"/>
    </row>
    <row r="66" spans="1:241" ht="10.15" x14ac:dyDescent="0.2">
      <c r="B66" s="6"/>
      <c r="C66" s="6"/>
      <c r="D66" s="6"/>
      <c r="E66" s="6"/>
      <c r="F66" s="6"/>
      <c r="G66" s="6"/>
      <c r="H66" s="6"/>
      <c r="I66" s="6"/>
      <c r="J66" s="6"/>
      <c r="K66" s="6"/>
      <c r="L66" s="6"/>
      <c r="M66" s="6"/>
      <c r="N66" s="6"/>
      <c r="O66" s="6"/>
      <c r="P66" s="6"/>
      <c r="Q66" s="6"/>
      <c r="U66" s="6"/>
      <c r="V66" s="6"/>
      <c r="W66" s="6"/>
      <c r="X66" s="6"/>
      <c r="Y66" s="6"/>
      <c r="Z66" s="6"/>
      <c r="AA66" s="6"/>
      <c r="AB66" s="6"/>
      <c r="AC66" s="6"/>
      <c r="AD66" s="6"/>
      <c r="AE66" s="6"/>
      <c r="AF66" s="6"/>
      <c r="AG66" s="6"/>
      <c r="AK66" s="6"/>
      <c r="AL66" s="6"/>
      <c r="AM66" s="6"/>
      <c r="AN66" s="6"/>
      <c r="AO66" s="6"/>
      <c r="AP66" s="6"/>
      <c r="AQ66" s="6"/>
      <c r="AR66" s="6"/>
      <c r="AS66" s="6"/>
      <c r="AT66" s="6"/>
      <c r="AU66" s="6"/>
      <c r="AV66" s="6"/>
      <c r="AW66" s="6"/>
      <c r="BA66" s="6"/>
      <c r="BB66" s="6"/>
      <c r="BC66" s="6"/>
      <c r="BD66" s="6"/>
      <c r="BE66" s="6"/>
      <c r="BF66" s="6"/>
      <c r="BG66" s="6"/>
      <c r="BH66" s="6"/>
      <c r="BI66" s="6"/>
      <c r="BJ66" s="6"/>
      <c r="BK66" s="6"/>
      <c r="BL66" s="6"/>
      <c r="BM66" s="6"/>
      <c r="BQ66" s="6"/>
      <c r="BR66" s="6"/>
      <c r="BS66" s="6"/>
      <c r="BT66" s="6"/>
      <c r="BU66" s="6"/>
      <c r="BV66" s="6"/>
      <c r="BW66" s="6"/>
      <c r="BX66" s="6"/>
      <c r="BY66" s="6"/>
      <c r="BZ66" s="6"/>
      <c r="CA66" s="6"/>
      <c r="CB66" s="6"/>
      <c r="CC66" s="6"/>
      <c r="CG66" s="6"/>
      <c r="CH66" s="6"/>
      <c r="CI66" s="6"/>
      <c r="CJ66" s="6"/>
      <c r="CK66" s="6"/>
      <c r="CL66" s="6"/>
      <c r="CM66" s="6"/>
      <c r="CN66" s="6"/>
      <c r="CO66" s="6"/>
      <c r="CP66" s="6"/>
      <c r="CQ66" s="6"/>
      <c r="CR66" s="6"/>
      <c r="CS66" s="6"/>
      <c r="CW66" s="6"/>
      <c r="CX66" s="6"/>
      <c r="CY66" s="6"/>
      <c r="CZ66" s="6"/>
      <c r="DA66" s="6"/>
      <c r="DB66" s="6"/>
      <c r="DC66" s="6"/>
      <c r="DD66" s="6"/>
      <c r="DE66" s="6"/>
      <c r="DF66" s="6"/>
      <c r="DG66" s="6"/>
      <c r="DH66" s="6"/>
      <c r="DI66" s="6"/>
      <c r="DM66" s="6"/>
      <c r="DN66" s="6"/>
      <c r="DO66" s="6"/>
      <c r="DP66" s="6"/>
      <c r="DQ66" s="6"/>
      <c r="DR66" s="6"/>
      <c r="DS66" s="6"/>
      <c r="DT66" s="6"/>
      <c r="DU66" s="6"/>
      <c r="DV66" s="6"/>
      <c r="DW66" s="6"/>
      <c r="DX66" s="6"/>
      <c r="DY66" s="6"/>
      <c r="EC66" s="6"/>
      <c r="ED66" s="6"/>
      <c r="EE66" s="6"/>
      <c r="EF66" s="6"/>
      <c r="EG66" s="6"/>
      <c r="EH66" s="6"/>
      <c r="EI66" s="6"/>
      <c r="EJ66" s="6"/>
      <c r="EK66" s="6"/>
      <c r="EL66" s="6"/>
      <c r="EM66" s="6"/>
      <c r="EN66" s="6"/>
      <c r="EO66" s="6"/>
      <c r="ES66" s="6"/>
      <c r="ET66" s="6"/>
      <c r="EU66" s="6"/>
      <c r="EV66" s="6"/>
      <c r="EW66" s="6"/>
      <c r="EX66" s="6"/>
      <c r="EY66" s="6"/>
      <c r="EZ66" s="6"/>
      <c r="FA66" s="6"/>
      <c r="FB66" s="6"/>
      <c r="FC66" s="6"/>
      <c r="FD66" s="6"/>
      <c r="FE66" s="6"/>
      <c r="FI66" s="6"/>
      <c r="FJ66" s="6"/>
      <c r="FK66" s="6"/>
      <c r="FL66" s="6"/>
      <c r="FM66" s="6"/>
      <c r="FN66" s="6"/>
      <c r="FO66" s="6"/>
      <c r="FP66" s="6"/>
      <c r="FQ66" s="6"/>
      <c r="FR66" s="6"/>
      <c r="FS66" s="6"/>
      <c r="FT66" s="6"/>
      <c r="FU66" s="6"/>
      <c r="FY66" s="6"/>
      <c r="FZ66" s="6"/>
      <c r="GA66" s="6"/>
      <c r="GB66" s="6"/>
      <c r="GC66" s="6"/>
      <c r="GD66" s="6"/>
      <c r="GE66" s="6"/>
      <c r="GF66" s="6"/>
      <c r="GG66" s="6"/>
      <c r="GH66" s="6"/>
      <c r="GI66" s="6"/>
      <c r="GJ66" s="6"/>
      <c r="GK66" s="6"/>
      <c r="GO66" s="6"/>
      <c r="GP66" s="6"/>
      <c r="GQ66" s="6"/>
      <c r="GR66" s="6"/>
      <c r="GS66" s="6"/>
      <c r="GT66" s="6"/>
      <c r="GU66" s="6"/>
      <c r="GV66" s="6"/>
      <c r="GW66" s="6"/>
      <c r="GX66" s="6"/>
      <c r="GY66" s="6"/>
      <c r="GZ66" s="6"/>
      <c r="HA66" s="6"/>
      <c r="HE66" s="6"/>
      <c r="HF66" s="6"/>
      <c r="HG66" s="6"/>
      <c r="HH66" s="6"/>
      <c r="HI66" s="6"/>
      <c r="HJ66" s="6"/>
      <c r="HK66" s="6"/>
      <c r="HL66" s="6"/>
      <c r="HM66" s="6"/>
      <c r="HN66" s="6"/>
      <c r="HO66" s="6"/>
      <c r="HP66" s="6"/>
      <c r="HQ66" s="6"/>
      <c r="HU66" s="6"/>
      <c r="HV66" s="6"/>
      <c r="HW66" s="6"/>
      <c r="HX66" s="6"/>
      <c r="HY66" s="6"/>
      <c r="HZ66" s="6"/>
      <c r="IA66" s="6"/>
      <c r="IB66" s="6"/>
      <c r="IC66" s="6"/>
      <c r="ID66" s="6"/>
      <c r="IE66" s="6"/>
      <c r="IF66" s="6"/>
      <c r="IG66" s="6"/>
    </row>
    <row r="67" spans="1:241" ht="10.15" x14ac:dyDescent="0.2">
      <c r="E67" s="12" t="s">
        <v>502</v>
      </c>
      <c r="F67" s="12" t="s">
        <v>497</v>
      </c>
      <c r="G67" s="12" t="s">
        <v>498</v>
      </c>
      <c r="H67" s="12"/>
      <c r="I67" s="12"/>
      <c r="J67" s="12"/>
      <c r="K67" s="12"/>
      <c r="L67" s="12" t="s">
        <v>35</v>
      </c>
      <c r="M67" s="12" t="s">
        <v>501</v>
      </c>
      <c r="N67" s="12" t="s">
        <v>156</v>
      </c>
      <c r="O67" s="12"/>
      <c r="P67" s="12"/>
      <c r="Q67" s="12"/>
      <c r="U67" s="12" t="s">
        <v>502</v>
      </c>
      <c r="V67" s="12" t="s">
        <v>497</v>
      </c>
      <c r="W67" s="12" t="s">
        <v>498</v>
      </c>
      <c r="X67" s="12"/>
      <c r="Y67" s="12"/>
      <c r="Z67" s="12"/>
      <c r="AA67" s="12"/>
      <c r="AB67" s="12" t="s">
        <v>35</v>
      </c>
      <c r="AC67" s="12" t="s">
        <v>501</v>
      </c>
      <c r="AD67" s="12" t="s">
        <v>156</v>
      </c>
      <c r="AE67" s="12"/>
      <c r="AF67" s="12"/>
      <c r="AG67" s="12"/>
      <c r="AK67" s="12" t="s">
        <v>502</v>
      </c>
      <c r="AL67" s="12" t="s">
        <v>497</v>
      </c>
      <c r="AM67" s="12" t="s">
        <v>498</v>
      </c>
      <c r="AN67" s="12"/>
      <c r="AO67" s="12"/>
      <c r="AP67" s="12"/>
      <c r="AQ67" s="12"/>
      <c r="AR67" s="12" t="s">
        <v>35</v>
      </c>
      <c r="AS67" s="12" t="s">
        <v>501</v>
      </c>
      <c r="AT67" s="12" t="s">
        <v>156</v>
      </c>
      <c r="AU67" s="12"/>
      <c r="AV67" s="12"/>
      <c r="AW67" s="12"/>
      <c r="BA67" s="12" t="s">
        <v>502</v>
      </c>
      <c r="BB67" s="12" t="s">
        <v>497</v>
      </c>
      <c r="BC67" s="12" t="s">
        <v>498</v>
      </c>
      <c r="BD67" s="12"/>
      <c r="BE67" s="12"/>
      <c r="BF67" s="12"/>
      <c r="BG67" s="12"/>
      <c r="BH67" s="12" t="s">
        <v>35</v>
      </c>
      <c r="BI67" s="12" t="s">
        <v>501</v>
      </c>
      <c r="BJ67" s="12" t="s">
        <v>156</v>
      </c>
      <c r="BK67" s="12"/>
      <c r="BL67" s="12"/>
      <c r="BM67" s="12"/>
      <c r="BQ67" s="12" t="s">
        <v>502</v>
      </c>
      <c r="BR67" s="12" t="s">
        <v>497</v>
      </c>
      <c r="BS67" s="12" t="s">
        <v>498</v>
      </c>
      <c r="BT67" s="12"/>
      <c r="BU67" s="12"/>
      <c r="BV67" s="12"/>
      <c r="BW67" s="12"/>
      <c r="BX67" s="12" t="s">
        <v>35</v>
      </c>
      <c r="BY67" s="12" t="s">
        <v>501</v>
      </c>
      <c r="BZ67" s="12" t="s">
        <v>156</v>
      </c>
      <c r="CA67" s="12"/>
      <c r="CB67" s="12"/>
      <c r="CC67" s="12"/>
      <c r="CG67" s="12" t="s">
        <v>502</v>
      </c>
      <c r="CH67" s="12" t="s">
        <v>497</v>
      </c>
      <c r="CI67" s="12" t="s">
        <v>498</v>
      </c>
      <c r="CJ67" s="12"/>
      <c r="CK67" s="12"/>
      <c r="CL67" s="12"/>
      <c r="CM67" s="12"/>
      <c r="CN67" s="12" t="s">
        <v>35</v>
      </c>
      <c r="CO67" s="12" t="s">
        <v>501</v>
      </c>
      <c r="CP67" s="12" t="s">
        <v>156</v>
      </c>
      <c r="CQ67" s="12"/>
      <c r="CR67" s="12"/>
      <c r="CS67" s="12"/>
      <c r="CW67" s="12" t="s">
        <v>502</v>
      </c>
      <c r="CX67" s="12" t="s">
        <v>497</v>
      </c>
      <c r="CY67" s="12" t="s">
        <v>498</v>
      </c>
      <c r="CZ67" s="12"/>
      <c r="DA67" s="12"/>
      <c r="DB67" s="12"/>
      <c r="DC67" s="12"/>
      <c r="DD67" s="12" t="s">
        <v>35</v>
      </c>
      <c r="DE67" s="12" t="s">
        <v>501</v>
      </c>
      <c r="DF67" s="12" t="s">
        <v>156</v>
      </c>
      <c r="DG67" s="12"/>
      <c r="DH67" s="12"/>
      <c r="DI67" s="12"/>
      <c r="DM67" s="12" t="s">
        <v>502</v>
      </c>
      <c r="DN67" s="12" t="s">
        <v>497</v>
      </c>
      <c r="DO67" s="12" t="s">
        <v>498</v>
      </c>
      <c r="DP67" s="12"/>
      <c r="DQ67" s="12"/>
      <c r="DR67" s="12"/>
      <c r="DS67" s="12"/>
      <c r="DT67" s="12" t="s">
        <v>35</v>
      </c>
      <c r="DU67" s="12" t="s">
        <v>501</v>
      </c>
      <c r="DV67" s="12" t="s">
        <v>156</v>
      </c>
      <c r="DW67" s="12"/>
      <c r="DX67" s="12"/>
      <c r="DY67" s="12"/>
      <c r="EC67" s="12" t="s">
        <v>502</v>
      </c>
      <c r="ED67" s="12" t="s">
        <v>497</v>
      </c>
      <c r="EE67" s="12" t="s">
        <v>498</v>
      </c>
      <c r="EF67" s="12"/>
      <c r="EG67" s="12"/>
      <c r="EH67" s="12"/>
      <c r="EI67" s="12"/>
      <c r="EJ67" s="12" t="s">
        <v>35</v>
      </c>
      <c r="EK67" s="12" t="s">
        <v>501</v>
      </c>
      <c r="EL67" s="12" t="s">
        <v>156</v>
      </c>
      <c r="EM67" s="12"/>
      <c r="EN67" s="12"/>
      <c r="EO67" s="12"/>
      <c r="ES67" s="12" t="s">
        <v>502</v>
      </c>
      <c r="ET67" s="12" t="s">
        <v>497</v>
      </c>
      <c r="EU67" s="12" t="s">
        <v>498</v>
      </c>
      <c r="EV67" s="12"/>
      <c r="EW67" s="12"/>
      <c r="EX67" s="12"/>
      <c r="EY67" s="12"/>
      <c r="EZ67" s="12" t="s">
        <v>35</v>
      </c>
      <c r="FA67" s="12" t="s">
        <v>501</v>
      </c>
      <c r="FB67" s="12" t="s">
        <v>156</v>
      </c>
      <c r="FC67" s="12"/>
      <c r="FD67" s="12"/>
      <c r="FE67" s="12"/>
      <c r="FI67" s="12" t="s">
        <v>502</v>
      </c>
      <c r="FJ67" s="12" t="s">
        <v>497</v>
      </c>
      <c r="FK67" s="12" t="s">
        <v>498</v>
      </c>
      <c r="FL67" s="12"/>
      <c r="FM67" s="12"/>
      <c r="FN67" s="12"/>
      <c r="FO67" s="12"/>
      <c r="FP67" s="12" t="s">
        <v>35</v>
      </c>
      <c r="FQ67" s="12" t="s">
        <v>501</v>
      </c>
      <c r="FR67" s="12" t="s">
        <v>156</v>
      </c>
      <c r="FS67" s="12"/>
      <c r="FT67" s="12"/>
      <c r="FU67" s="12"/>
      <c r="FY67" s="12" t="s">
        <v>502</v>
      </c>
      <c r="FZ67" s="12" t="s">
        <v>497</v>
      </c>
      <c r="GA67" s="12" t="s">
        <v>498</v>
      </c>
      <c r="GB67" s="12"/>
      <c r="GC67" s="12"/>
      <c r="GD67" s="12"/>
      <c r="GE67" s="12"/>
      <c r="GF67" s="12" t="s">
        <v>35</v>
      </c>
      <c r="GG67" s="12" t="s">
        <v>501</v>
      </c>
      <c r="GH67" s="12" t="s">
        <v>156</v>
      </c>
      <c r="GI67" s="12"/>
      <c r="GJ67" s="12"/>
      <c r="GK67" s="12"/>
      <c r="GO67" s="12" t="s">
        <v>502</v>
      </c>
      <c r="GP67" s="12" t="s">
        <v>497</v>
      </c>
      <c r="GQ67" s="12" t="s">
        <v>498</v>
      </c>
      <c r="GR67" s="12"/>
      <c r="GS67" s="12"/>
      <c r="GT67" s="12"/>
      <c r="GU67" s="12"/>
      <c r="GV67" s="12" t="s">
        <v>35</v>
      </c>
      <c r="GW67" s="12" t="s">
        <v>501</v>
      </c>
      <c r="GX67" s="12" t="s">
        <v>156</v>
      </c>
      <c r="GY67" s="12"/>
      <c r="GZ67" s="12"/>
      <c r="HA67" s="12"/>
      <c r="HE67" s="12" t="s">
        <v>502</v>
      </c>
      <c r="HF67" s="12" t="s">
        <v>497</v>
      </c>
      <c r="HG67" s="12" t="s">
        <v>498</v>
      </c>
      <c r="HH67" s="12"/>
      <c r="HI67" s="12"/>
      <c r="HJ67" s="12"/>
      <c r="HK67" s="12"/>
      <c r="HL67" s="12" t="s">
        <v>35</v>
      </c>
      <c r="HM67" s="12" t="s">
        <v>501</v>
      </c>
      <c r="HN67" s="12" t="s">
        <v>156</v>
      </c>
      <c r="HO67" s="12"/>
      <c r="HP67" s="12"/>
      <c r="HQ67" s="12"/>
      <c r="HU67" s="12" t="s">
        <v>502</v>
      </c>
      <c r="HV67" s="12" t="s">
        <v>497</v>
      </c>
      <c r="HW67" s="12" t="s">
        <v>498</v>
      </c>
      <c r="HX67" s="12"/>
      <c r="HY67" s="12"/>
      <c r="HZ67" s="12"/>
      <c r="IA67" s="12"/>
      <c r="IB67" s="12" t="s">
        <v>35</v>
      </c>
      <c r="IC67" s="12" t="s">
        <v>501</v>
      </c>
      <c r="ID67" s="12" t="s">
        <v>156</v>
      </c>
      <c r="IE67" s="12"/>
      <c r="IF67" s="12"/>
      <c r="IG67" s="12"/>
    </row>
    <row r="68" spans="1:241" ht="10.15" x14ac:dyDescent="0.2">
      <c r="A68" s="1">
        <f t="shared" ref="A68:D76" si="179">A37</f>
        <v>1</v>
      </c>
      <c r="B68" s="1" t="str">
        <f t="shared" si="179"/>
        <v>NAC_AR_1</v>
      </c>
      <c r="C68" s="1" t="str">
        <f t="shared" si="179"/>
        <v>Argentina</v>
      </c>
      <c r="D68" s="1">
        <f t="shared" si="179"/>
        <v>1</v>
      </c>
      <c r="E68" s="1" t="e">
        <f>MATCH(CONCATENATE($B68,"_",INDEX($C$4:$C63,E$65)),lu_DataCode,0)</f>
        <v>#N/A</v>
      </c>
      <c r="F68" s="1" t="e">
        <f t="shared" ref="F68:F76" ca="1" si="180">INDEX(OFFSET(lu_DataCode,0,3),E68)</f>
        <v>#N/A</v>
      </c>
      <c r="G68" s="1" t="e">
        <f t="shared" ref="G68:G76" ca="1" si="181">INDEX(OFFSET(lu_DataCode,0,4),E68)</f>
        <v>#N/A</v>
      </c>
      <c r="H68" s="1">
        <f t="shared" ref="H68:H76" ca="1" si="182">IF(ISNUMBER(G68),1,0)</f>
        <v>0</v>
      </c>
      <c r="I68" s="1">
        <f ca="1">IF(ISNUMBER(G68),ROUND(G68,6),IF(I$65=0,-10000000000,100000000000))</f>
        <v>-10000000000</v>
      </c>
      <c r="J68" s="1">
        <f ca="1">RANK(I68,I$68:I$93,I$65)+COUNTIF(I$68:I68,I68)-1</f>
        <v>1</v>
      </c>
      <c r="K68" s="1">
        <f ca="1">MATCH($A68,J$68:J$93,0)</f>
        <v>1</v>
      </c>
      <c r="L68" s="1">
        <f ca="1">INDEX(H$68:H$93,K68)</f>
        <v>0</v>
      </c>
      <c r="M68" s="1">
        <f ca="1">IF(L68=0,1,INDEX($D$68:$D$93,K68))</f>
        <v>1</v>
      </c>
      <c r="N68" s="1" t="str">
        <f ca="1">IF(L68=0,"",IF(OR(P68=P67,P68=P69),CONCATENATE("=",RANK(P68,P$68:P$93)),$A68))</f>
        <v/>
      </c>
      <c r="O68" s="1" t="str">
        <f ca="1">IF(L68=0,"",INDEX($C$68:$C$93,K68))</f>
        <v/>
      </c>
      <c r="P68" s="1" t="str">
        <f ca="1">IF(L68=0,"",INDEX(G$68:G$93,K68))</f>
        <v/>
      </c>
      <c r="Q68" s="1" t="str">
        <f ca="1">IF(L68=0,"",INDEX(F$68:F$93,K68))</f>
        <v/>
      </c>
      <c r="U68" s="1" t="e">
        <f>MATCH(CONCATENATE($B68,"_",INDEX($C$4:$C63,U$65)),lu_DataCode,0)</f>
        <v>#N/A</v>
      </c>
      <c r="V68" s="1" t="e">
        <f t="shared" ref="V68:V76" ca="1" si="183">INDEX(OFFSET(lu_DataCode,0,3),U68)</f>
        <v>#N/A</v>
      </c>
      <c r="W68" s="1" t="e">
        <f t="shared" ref="W68:W76" ca="1" si="184">INDEX(OFFSET(lu_DataCode,0,4),U68)</f>
        <v>#N/A</v>
      </c>
      <c r="X68" s="1">
        <f t="shared" ref="X68:X76" ca="1" si="185">IF(ISNUMBER(W68),1,0)</f>
        <v>0</v>
      </c>
      <c r="Y68" s="1">
        <f ca="1">IF(ISNUMBER(W68),ROUND(W68,6),IF(Y$65=0,-10000000000,100000000000))</f>
        <v>-10000000000</v>
      </c>
      <c r="Z68" s="1">
        <f ca="1">RANK(Y68,Y$68:Y$93,Y$65)+COUNTIF(Y$68:Y68,Y68)-1</f>
        <v>1</v>
      </c>
      <c r="AA68" s="1">
        <f ca="1">MATCH($A68,Z$68:Z$93,0)</f>
        <v>1</v>
      </c>
      <c r="AB68" s="1">
        <f ca="1">INDEX(X$68:X$93,AA68)</f>
        <v>0</v>
      </c>
      <c r="AC68" s="1">
        <f ca="1">IF(AB68=0,1,INDEX($D$68:$D$93,AA68))</f>
        <v>1</v>
      </c>
      <c r="AD68" s="1" t="str">
        <f ca="1">IF(AB68=0,"",IF(OR(AF68=AF67,AF68=AF69),CONCATENATE("=",RANK(AF68,AF$68:AF$93)),$A68))</f>
        <v/>
      </c>
      <c r="AE68" s="1" t="str">
        <f ca="1">IF(AB68=0,"",INDEX($C$68:$C$93,AA68))</f>
        <v/>
      </c>
      <c r="AF68" s="1" t="str">
        <f ca="1">IF(AB68=0,"",INDEX(W$68:W$93,AA68))</f>
        <v/>
      </c>
      <c r="AG68" s="1" t="str">
        <f ca="1">IF(AB68=0,"",INDEX(V$68:V$93,AA68))</f>
        <v/>
      </c>
      <c r="AK68" s="1" t="e">
        <f>MATCH(CONCATENATE($B68,"_",INDEX($C$4:$C63,AK$65)),lu_DataCode,0)</f>
        <v>#N/A</v>
      </c>
      <c r="AL68" s="1" t="e">
        <f t="shared" ref="AL68:AL93" ca="1" si="186">INDEX(OFFSET(lu_DataCode,0,3),AK68)</f>
        <v>#N/A</v>
      </c>
      <c r="AM68" s="1" t="e">
        <f t="shared" ref="AM68:AM93" ca="1" si="187">INDEX(OFFSET(lu_DataCode,0,4),AK68)</f>
        <v>#N/A</v>
      </c>
      <c r="AN68" s="1">
        <f t="shared" ref="AN68:AN93" ca="1" si="188">IF(ISNUMBER(AM68),1,0)</f>
        <v>0</v>
      </c>
      <c r="AO68" s="1">
        <f ca="1">IF(ISNUMBER(AM68),ROUND(AM68,6),IF(AO$65=0,-10000000000,100000000000))</f>
        <v>-10000000000</v>
      </c>
      <c r="AP68" s="1">
        <f ca="1">RANK(AO68,AO$68:AO$93,AO$65)+COUNTIF(AO$68:AO68,AO68)-1</f>
        <v>1</v>
      </c>
      <c r="AQ68" s="1">
        <f ca="1">MATCH($A68,AP$68:AP$93,0)</f>
        <v>1</v>
      </c>
      <c r="AR68" s="1">
        <f ca="1">INDEX(AN$68:AN$93,AQ68)</f>
        <v>0</v>
      </c>
      <c r="AS68" s="1">
        <f ca="1">IF(AR68=0,1,INDEX($D$68:$D$93,AQ68))</f>
        <v>1</v>
      </c>
      <c r="AT68" s="1" t="str">
        <f ca="1">IF(AR68=0,"",IF(OR(AV68=AV67,AV68=AV69),CONCATENATE("=",RANK(AV68,AV$68:AV$93)),$A68))</f>
        <v/>
      </c>
      <c r="AU68" s="1" t="str">
        <f ca="1">IF(AR68=0,"",INDEX($C$68:$C$93,AQ68))</f>
        <v/>
      </c>
      <c r="AV68" s="1" t="str">
        <f ca="1">IF(AR68=0,"",INDEX(AM$68:AM$93,AQ68))</f>
        <v/>
      </c>
      <c r="AW68" s="1" t="str">
        <f ca="1">IF(AR68=0,"",INDEX(AL$68:AL$93,AQ68))</f>
        <v/>
      </c>
      <c r="BA68" s="1" t="e">
        <f>MATCH(CONCATENATE($B68,"_",INDEX($C$4:$C63,BA$65)),lu_DataCode,0)</f>
        <v>#N/A</v>
      </c>
      <c r="BB68" s="1" t="e">
        <f t="shared" ref="BB68:BB93" ca="1" si="189">INDEX(OFFSET(lu_DataCode,0,3),BA68)</f>
        <v>#N/A</v>
      </c>
      <c r="BC68" s="1" t="e">
        <f t="shared" ref="BC68:BC93" ca="1" si="190">INDEX(OFFSET(lu_DataCode,0,4),BA68)</f>
        <v>#N/A</v>
      </c>
      <c r="BD68" s="1">
        <f t="shared" ref="BD68:BD93" ca="1" si="191">IF(ISNUMBER(BC68),1,0)</f>
        <v>0</v>
      </c>
      <c r="BE68" s="1">
        <f ca="1">IF(ISNUMBER(BC68),ROUND(BC68,6),IF(BE$65=0,-10000000000,100000000000))</f>
        <v>-10000000000</v>
      </c>
      <c r="BF68" s="1">
        <f ca="1">RANK(BE68,BE$68:BE$93,BE$65)+COUNTIF(BE$68:BE68,BE68)-1</f>
        <v>1</v>
      </c>
      <c r="BG68" s="1">
        <f ca="1">MATCH($A68,BF$68:BF$93,0)</f>
        <v>1</v>
      </c>
      <c r="BH68" s="1">
        <f ca="1">INDEX(BD$68:BD$93,BG68)</f>
        <v>0</v>
      </c>
      <c r="BI68" s="1">
        <f ca="1">IF(BH68=0,1,INDEX($D$68:$D$93,BG68))</f>
        <v>1</v>
      </c>
      <c r="BJ68" s="1" t="str">
        <f ca="1">IF(BH68=0,"",IF(OR(BL68=BL67,BL68=BL69),CONCATENATE("=",RANK(BL68,BL$68:BL$93)),$A68))</f>
        <v/>
      </c>
      <c r="BK68" s="1" t="str">
        <f ca="1">IF(BH68=0,"",INDEX($C$68:$C$93,BG68))</f>
        <v/>
      </c>
      <c r="BL68" s="1" t="str">
        <f ca="1">IF(BH68=0,"",INDEX(BC$68:BC$93,BG68))</f>
        <v/>
      </c>
      <c r="BM68" s="1" t="str">
        <f ca="1">IF(BH68=0,"",INDEX(BB$68:BB$93,BG68))</f>
        <v/>
      </c>
      <c r="BQ68" s="1" t="e">
        <f>MATCH(CONCATENATE($B68,"_",INDEX($C$4:$C63,BQ$65)),lu_DataCode,0)</f>
        <v>#N/A</v>
      </c>
      <c r="BR68" s="1" t="e">
        <f t="shared" ref="BR68:BR93" ca="1" si="192">INDEX(OFFSET(lu_DataCode,0,3),BQ68)</f>
        <v>#N/A</v>
      </c>
      <c r="BS68" s="1" t="e">
        <f t="shared" ref="BS68:BS93" ca="1" si="193">INDEX(OFFSET(lu_DataCode,0,4),BQ68)</f>
        <v>#N/A</v>
      </c>
      <c r="BT68" s="1">
        <f t="shared" ref="BT68:BT93" ca="1" si="194">IF(ISNUMBER(BS68),1,0)</f>
        <v>0</v>
      </c>
      <c r="BU68" s="1">
        <f ca="1">IF(ISNUMBER(BS68),ROUND(BS68,6),IF(BU$65=0,-10000000000,100000000000))</f>
        <v>-10000000000</v>
      </c>
      <c r="BV68" s="1">
        <f ca="1">RANK(BU68,BU$68:BU$93,BU$65)+COUNTIF(BU$68:BU68,BU68)-1</f>
        <v>1</v>
      </c>
      <c r="BW68" s="1">
        <f ca="1">MATCH($A68,BV$68:BV$93,0)</f>
        <v>1</v>
      </c>
      <c r="BX68" s="1">
        <f ca="1">INDEX(BT$68:BT$93,BW68)</f>
        <v>0</v>
      </c>
      <c r="BY68" s="1">
        <f ca="1">IF(BX68=0,1,INDEX($D$68:$D$93,BW68))</f>
        <v>1</v>
      </c>
      <c r="BZ68" s="1" t="str">
        <f ca="1">IF(BX68=0,"",IF(OR(CB68=CB67,CB68=CB69),CONCATENATE("=",RANK(CB68,CB$68:CB$93)),$A68))</f>
        <v/>
      </c>
      <c r="CA68" s="1" t="str">
        <f ca="1">IF(BX68=0,"",INDEX($C$68:$C$93,BW68))</f>
        <v/>
      </c>
      <c r="CB68" s="1" t="str">
        <f ca="1">IF(BX68=0,"",INDEX(BS$68:BS$93,BW68))</f>
        <v/>
      </c>
      <c r="CC68" s="1" t="str">
        <f ca="1">IF(BX68=0,"",INDEX(BR$68:BR$93,BW68))</f>
        <v/>
      </c>
      <c r="CG68" s="1" t="e">
        <f>MATCH(CONCATENATE($B68,"_",INDEX($C$4:$C63,CG$65)),lu_DataCode,0)</f>
        <v>#N/A</v>
      </c>
      <c r="CH68" s="1" t="e">
        <f t="shared" ref="CH68:CH93" ca="1" si="195">INDEX(OFFSET(lu_DataCode,0,3),CG68)</f>
        <v>#N/A</v>
      </c>
      <c r="CI68" s="1" t="e">
        <f t="shared" ref="CI68:CI93" ca="1" si="196">INDEX(OFFSET(lu_DataCode,0,4),CG68)</f>
        <v>#N/A</v>
      </c>
      <c r="CJ68" s="1">
        <f t="shared" ref="CJ68:CJ93" ca="1" si="197">IF(ISNUMBER(CI68),1,0)</f>
        <v>0</v>
      </c>
      <c r="CK68" s="1">
        <f ca="1">IF(ISNUMBER(CI68),ROUND(CI68,6),IF(CK$65=0,-10000000000,100000000000))</f>
        <v>-10000000000</v>
      </c>
      <c r="CL68" s="1">
        <f ca="1">RANK(CK68,CK$68:CK$93,CK$65)+COUNTIF(CK$68:CK68,CK68)-1</f>
        <v>1</v>
      </c>
      <c r="CM68" s="1">
        <f ca="1">MATCH($A68,CL$68:CL$93,0)</f>
        <v>1</v>
      </c>
      <c r="CN68" s="1">
        <f ca="1">INDEX(CJ$68:CJ$93,CM68)</f>
        <v>0</v>
      </c>
      <c r="CO68" s="1">
        <f ca="1">IF(CN68=0,1,INDEX($D$68:$D$93,CM68))</f>
        <v>1</v>
      </c>
      <c r="CP68" s="1" t="str">
        <f ca="1">IF(CN68=0,"",IF(OR(CR68=CR67,CR68=CR69),CONCATENATE("=",RANK(CR68,CR$68:CR$93)),$A68))</f>
        <v/>
      </c>
      <c r="CQ68" s="1" t="str">
        <f ca="1">IF(CN68=0,"",INDEX($C$68:$C$93,CM68))</f>
        <v/>
      </c>
      <c r="CR68" s="1" t="str">
        <f ca="1">IF(CN68=0,"",INDEX(CI$68:CI$93,CM68))</f>
        <v/>
      </c>
      <c r="CS68" s="1" t="str">
        <f ca="1">IF(CN68=0,"",INDEX(CH$68:CH$93,CM68))</f>
        <v/>
      </c>
      <c r="CW68" s="1" t="e">
        <f>MATCH(CONCATENATE($B68,"_",INDEX($C$4:$C63,CW$65)),lu_DataCode,0)</f>
        <v>#N/A</v>
      </c>
      <c r="CX68" s="1" t="e">
        <f t="shared" ref="CX68:CX93" ca="1" si="198">INDEX(OFFSET(lu_DataCode,0,3),CW68)</f>
        <v>#N/A</v>
      </c>
      <c r="CY68" s="1" t="e">
        <f t="shared" ref="CY68:CY93" ca="1" si="199">INDEX(OFFSET(lu_DataCode,0,4),CW68)</f>
        <v>#N/A</v>
      </c>
      <c r="CZ68" s="1">
        <f t="shared" ref="CZ68:CZ93" ca="1" si="200">IF(ISNUMBER(CY68),1,0)</f>
        <v>0</v>
      </c>
      <c r="DA68" s="1">
        <f ca="1">IF(ISNUMBER(CY68),ROUND(CY68,6),IF(DA$65=0,-10000000000,100000000000))</f>
        <v>-10000000000</v>
      </c>
      <c r="DB68" s="1">
        <f ca="1">RANK(DA68,DA$68:DA$93,DA$65)+COUNTIF(DA$68:DA68,DA68)-1</f>
        <v>1</v>
      </c>
      <c r="DC68" s="1">
        <f ca="1">MATCH($A68,DB$68:DB$93,0)</f>
        <v>1</v>
      </c>
      <c r="DD68" s="1">
        <f ca="1">INDEX(CZ$68:CZ$93,DC68)</f>
        <v>0</v>
      </c>
      <c r="DE68" s="1">
        <f ca="1">IF(DD68=0,1,INDEX($D$68:$D$93,DC68))</f>
        <v>1</v>
      </c>
      <c r="DF68" s="1" t="str">
        <f ca="1">IF(DD68=0,"",IF(OR(DH68=DH67,DH68=DH69),CONCATENATE("=",RANK(DH68,DH$68:DH$93)),$A68))</f>
        <v/>
      </c>
      <c r="DG68" s="1" t="str">
        <f ca="1">IF(DD68=0,"",INDEX($C$68:$C$93,DC68))</f>
        <v/>
      </c>
      <c r="DH68" s="1" t="str">
        <f ca="1">IF(DD68=0,"",INDEX(CY$68:CY$93,DC68))</f>
        <v/>
      </c>
      <c r="DI68" s="1" t="str">
        <f ca="1">IF(DD68=0,"",INDEX(CX$68:CX$93,DC68))</f>
        <v/>
      </c>
      <c r="DM68" s="1" t="e">
        <f>MATCH(CONCATENATE($B68,"_",INDEX($C$4:$C63,DM$65)),lu_DataCode,0)</f>
        <v>#N/A</v>
      </c>
      <c r="DN68" s="1" t="e">
        <f t="shared" ref="DN68:DN93" ca="1" si="201">INDEX(OFFSET(lu_DataCode,0,3),DM68)</f>
        <v>#N/A</v>
      </c>
      <c r="DO68" s="1" t="e">
        <f t="shared" ref="DO68:DO93" ca="1" si="202">INDEX(OFFSET(lu_DataCode,0,4),DM68)</f>
        <v>#N/A</v>
      </c>
      <c r="DP68" s="1">
        <f t="shared" ref="DP68:DP93" ca="1" si="203">IF(ISNUMBER(DO68),1,0)</f>
        <v>0</v>
      </c>
      <c r="DQ68" s="1">
        <f ca="1">IF(ISNUMBER(DO68),ROUND(DO68,6),IF(DQ$65=0,-10000000000,100000000000))</f>
        <v>-10000000000</v>
      </c>
      <c r="DR68" s="1">
        <f ca="1">RANK(DQ68,DQ$68:DQ$93,DQ$65)+COUNTIF(DQ$68:DQ68,DQ68)-1</f>
        <v>1</v>
      </c>
      <c r="DS68" s="1">
        <f ca="1">MATCH($A68,DR$68:DR$93,0)</f>
        <v>1</v>
      </c>
      <c r="DT68" s="1">
        <f ca="1">INDEX(DP$68:DP$93,DS68)</f>
        <v>0</v>
      </c>
      <c r="DU68" s="1">
        <f ca="1">IF(DT68=0,1,INDEX($D$68:$D$93,DS68))</f>
        <v>1</v>
      </c>
      <c r="DV68" s="1" t="str">
        <f ca="1">IF(DT68=0,"",IF(OR(DX68=DX67,DX68=DX69),CONCATENATE("=",RANK(DX68,DX$68:DX$93)),$A68))</f>
        <v/>
      </c>
      <c r="DW68" s="1" t="str">
        <f ca="1">IF(DT68=0,"",INDEX($C$68:$C$93,DS68))</f>
        <v/>
      </c>
      <c r="DX68" s="1" t="str">
        <f ca="1">IF(DT68=0,"",INDEX(DO$68:DO$93,DS68))</f>
        <v/>
      </c>
      <c r="DY68" s="1" t="str">
        <f ca="1">IF(DT68=0,"",INDEX(DN$68:DN$93,DS68))</f>
        <v/>
      </c>
      <c r="EC68" s="1" t="e">
        <f>MATCH(CONCATENATE($B68,"_",INDEX($C$4:$C63,EC$65)),lu_DataCode,0)</f>
        <v>#N/A</v>
      </c>
      <c r="ED68" s="1" t="e">
        <f t="shared" ref="ED68:ED93" ca="1" si="204">INDEX(OFFSET(lu_DataCode,0,3),EC68)</f>
        <v>#N/A</v>
      </c>
      <c r="EE68" s="1" t="e">
        <f t="shared" ref="EE68:EE93" ca="1" si="205">INDEX(OFFSET(lu_DataCode,0,4),EC68)</f>
        <v>#N/A</v>
      </c>
      <c r="EF68" s="1">
        <f t="shared" ref="EF68:EF93" ca="1" si="206">IF(ISNUMBER(EE68),1,0)</f>
        <v>0</v>
      </c>
      <c r="EG68" s="1">
        <f ca="1">IF(ISNUMBER(EE68),ROUND(EE68,6),IF(EG$65=0,-10000000000,100000000000))</f>
        <v>-10000000000</v>
      </c>
      <c r="EH68" s="1">
        <f ca="1">RANK(EG68,EG$68:EG$93,EG$65)+COUNTIF(EG$68:EG68,EG68)-1</f>
        <v>1</v>
      </c>
      <c r="EI68" s="1">
        <f ca="1">MATCH($A68,EH$68:EH$93,0)</f>
        <v>1</v>
      </c>
      <c r="EJ68" s="1">
        <f ca="1">INDEX(EF$68:EF$93,EI68)</f>
        <v>0</v>
      </c>
      <c r="EK68" s="1">
        <f ca="1">IF(EJ68=0,1,INDEX($D$68:$D$93,EI68))</f>
        <v>1</v>
      </c>
      <c r="EL68" s="1" t="str">
        <f ca="1">IF(EJ68=0,"",IF(OR(EN68=EN67,EN68=EN69),CONCATENATE("=",RANK(EN68,EN$68:EN$93)),$A68))</f>
        <v/>
      </c>
      <c r="EM68" s="1" t="str">
        <f ca="1">IF(EJ68=0,"",INDEX($C$68:$C$93,EI68))</f>
        <v/>
      </c>
      <c r="EN68" s="1" t="str">
        <f ca="1">IF(EJ68=0,"",INDEX(EE$68:EE$93,EI68))</f>
        <v/>
      </c>
      <c r="EO68" s="1" t="str">
        <f ca="1">IF(EJ68=0,"",INDEX(ED$68:ED$93,EI68))</f>
        <v/>
      </c>
      <c r="ES68" s="1" t="e">
        <f>MATCH(CONCATENATE($B68,"_",INDEX($C$4:$C63,ES$65)),lu_DataCode,0)</f>
        <v>#N/A</v>
      </c>
      <c r="ET68" s="1" t="e">
        <f t="shared" ref="ET68:ET93" ca="1" si="207">INDEX(OFFSET(lu_DataCode,0,3),ES68)</f>
        <v>#N/A</v>
      </c>
      <c r="EU68" s="1" t="e">
        <f t="shared" ref="EU68:EU93" ca="1" si="208">INDEX(OFFSET(lu_DataCode,0,4),ES68)</f>
        <v>#N/A</v>
      </c>
      <c r="EV68" s="1">
        <f t="shared" ref="EV68:EV93" ca="1" si="209">IF(ISNUMBER(EU68),1,0)</f>
        <v>0</v>
      </c>
      <c r="EW68" s="1">
        <f ca="1">IF(ISNUMBER(EU68),ROUND(EU68,6),IF(EW$65=0,-10000000000,100000000000))</f>
        <v>-10000000000</v>
      </c>
      <c r="EX68" s="1">
        <f ca="1">RANK(EW68,EW$68:EW$93,EW$65)+COUNTIF(EW$68:EW68,EW68)-1</f>
        <v>1</v>
      </c>
      <c r="EY68" s="1">
        <f ca="1">MATCH($A68,EX$68:EX$93,0)</f>
        <v>1</v>
      </c>
      <c r="EZ68" s="1">
        <f ca="1">INDEX(EV$68:EV$93,EY68)</f>
        <v>0</v>
      </c>
      <c r="FA68" s="1">
        <f ca="1">IF(EZ68=0,1,INDEX($D$68:$D$93,EY68))</f>
        <v>1</v>
      </c>
      <c r="FB68" s="1" t="str">
        <f ca="1">IF(EZ68=0,"",IF(OR(FD68=FD67,FD68=FD69),CONCATENATE("=",RANK(FD68,FD$68:FD$93)),$A68))</f>
        <v/>
      </c>
      <c r="FC68" s="1" t="str">
        <f ca="1">IF(EZ68=0,"",INDEX($C$68:$C$93,EY68))</f>
        <v/>
      </c>
      <c r="FD68" s="1" t="str">
        <f ca="1">IF(EZ68=0,"",INDEX(EU$68:EU$93,EY68))</f>
        <v/>
      </c>
      <c r="FE68" s="1" t="str">
        <f ca="1">IF(EZ68=0,"",INDEX(ET$68:ET$93,EY68))</f>
        <v/>
      </c>
      <c r="FI68" s="1" t="e">
        <f>MATCH(CONCATENATE($B68,"_",INDEX($C$4:$C63,FI$65)),lu_DataCode,0)</f>
        <v>#N/A</v>
      </c>
      <c r="FJ68" s="1" t="e">
        <f t="shared" ref="FJ68:FJ93" ca="1" si="210">INDEX(OFFSET(lu_DataCode,0,3),FI68)</f>
        <v>#N/A</v>
      </c>
      <c r="FK68" s="1" t="e">
        <f t="shared" ref="FK68:FK93" ca="1" si="211">INDEX(OFFSET(lu_DataCode,0,4),FI68)</f>
        <v>#N/A</v>
      </c>
      <c r="FL68" s="1">
        <f t="shared" ref="FL68:FL93" ca="1" si="212">IF(ISNUMBER(FK68),1,0)</f>
        <v>0</v>
      </c>
      <c r="FM68" s="1">
        <f ca="1">IF(ISNUMBER(FK68),ROUND(FK68,6),IF(FM$65=0,-10000000000,100000000000))</f>
        <v>-10000000000</v>
      </c>
      <c r="FN68" s="1">
        <f ca="1">RANK(FM68,FM$68:FM$93,FM$65)+COUNTIF(FM$68:FM68,FM68)-1</f>
        <v>1</v>
      </c>
      <c r="FO68" s="1">
        <f ca="1">MATCH($A68,FN$68:FN$93,0)</f>
        <v>1</v>
      </c>
      <c r="FP68" s="1">
        <f ca="1">INDEX(FL$68:FL$93,FO68)</f>
        <v>0</v>
      </c>
      <c r="FQ68" s="1">
        <f ca="1">IF(FP68=0,1,INDEX($D$68:$D$93,FO68))</f>
        <v>1</v>
      </c>
      <c r="FR68" s="1" t="str">
        <f ca="1">IF(FP68=0,"",IF(OR(FT68=FT67,FT68=FT69),CONCATENATE("=",RANK(FT68,FT$68:FT$93)),$A68))</f>
        <v/>
      </c>
      <c r="FS68" s="1" t="str">
        <f ca="1">IF(FP68=0,"",INDEX($C$68:$C$93,FO68))</f>
        <v/>
      </c>
      <c r="FT68" s="1" t="str">
        <f ca="1">IF(FP68=0,"",INDEX(FK$68:FK$93,FO68))</f>
        <v/>
      </c>
      <c r="FU68" s="1" t="str">
        <f ca="1">IF(FP68=0,"",INDEX(FJ$68:FJ$93,FO68))</f>
        <v/>
      </c>
      <c r="FY68" s="1" t="e">
        <f>MATCH(CONCATENATE($B68,"_",INDEX($C$4:$C63,FY$65)),lu_DataCode,0)</f>
        <v>#N/A</v>
      </c>
      <c r="FZ68" s="1" t="e">
        <f t="shared" ref="FZ68:FZ93" ca="1" si="213">INDEX(OFFSET(lu_DataCode,0,3),FY68)</f>
        <v>#N/A</v>
      </c>
      <c r="GA68" s="1" t="e">
        <f t="shared" ref="GA68:GA93" ca="1" si="214">INDEX(OFFSET(lu_DataCode,0,4),FY68)</f>
        <v>#N/A</v>
      </c>
      <c r="GB68" s="1">
        <f t="shared" ref="GB68:GB93" ca="1" si="215">IF(ISNUMBER(GA68),1,0)</f>
        <v>0</v>
      </c>
      <c r="GC68" s="1">
        <f ca="1">IF(ISNUMBER(GA68),ROUND(GA68,6),IF(GC$65=0,-10000000000,100000000000))</f>
        <v>-10000000000</v>
      </c>
      <c r="GD68" s="1">
        <f ca="1">RANK(GC68,GC$68:GC$93,GC$65)+COUNTIF(GC$68:GC68,GC68)-1</f>
        <v>1</v>
      </c>
      <c r="GE68" s="1">
        <f ca="1">MATCH($A68,GD$68:GD$93,0)</f>
        <v>1</v>
      </c>
      <c r="GF68" s="1">
        <f ca="1">INDEX(GB$68:GB$93,GE68)</f>
        <v>0</v>
      </c>
      <c r="GG68" s="1">
        <f ca="1">IF(GF68=0,1,INDEX($D$68:$D$93,GE68))</f>
        <v>1</v>
      </c>
      <c r="GH68" s="1" t="str">
        <f ca="1">IF(GF68=0,"",IF(OR(GJ68=GJ67,GJ68=GJ69),CONCATENATE("=",RANK(GJ68,GJ$68:GJ$93)),$A68))</f>
        <v/>
      </c>
      <c r="GI68" s="1" t="str">
        <f ca="1">IF(GF68=0,"",INDEX($C$68:$C$93,GE68))</f>
        <v/>
      </c>
      <c r="GJ68" s="1" t="str">
        <f ca="1">IF(GF68=0,"",INDEX(GA$68:GA$93,GE68))</f>
        <v/>
      </c>
      <c r="GK68" s="1" t="str">
        <f ca="1">IF(GF68=0,"",INDEX(FZ$68:FZ$93,GE68))</f>
        <v/>
      </c>
      <c r="GO68" s="1" t="e">
        <f>MATCH(CONCATENATE($B68,"_",INDEX($C$4:$C63,GO$65)),lu_DataCode,0)</f>
        <v>#N/A</v>
      </c>
      <c r="GP68" s="1" t="e">
        <f t="shared" ref="GP68:GP93" ca="1" si="216">INDEX(OFFSET(lu_DataCode,0,3),GO68)</f>
        <v>#N/A</v>
      </c>
      <c r="GQ68" s="1" t="e">
        <f t="shared" ref="GQ68:GQ93" ca="1" si="217">INDEX(OFFSET(lu_DataCode,0,4),GO68)</f>
        <v>#N/A</v>
      </c>
      <c r="GR68" s="1">
        <f t="shared" ref="GR68:GR93" ca="1" si="218">IF(ISNUMBER(GQ68),1,0)</f>
        <v>0</v>
      </c>
      <c r="GS68" s="1">
        <f ca="1">IF(ISNUMBER(GQ68),ROUND(GQ68,6),IF(GS$65=0,-10000000000,100000000000))</f>
        <v>-10000000000</v>
      </c>
      <c r="GT68" s="1">
        <f ca="1">RANK(GS68,GS$68:GS$93,GS$65)+COUNTIF(GS$68:GS68,GS68)-1</f>
        <v>1</v>
      </c>
      <c r="GU68" s="1">
        <f ca="1">MATCH($A68,GT$68:GT$93,0)</f>
        <v>1</v>
      </c>
      <c r="GV68" s="1">
        <f ca="1">INDEX(GR$68:GR$93,GU68)</f>
        <v>0</v>
      </c>
      <c r="GW68" s="1">
        <f ca="1">IF(GV68=0,1,INDEX($D$68:$D$93,GU68))</f>
        <v>1</v>
      </c>
      <c r="GX68" s="1" t="str">
        <f ca="1">IF(GV68=0,"",IF(OR(GZ68=GZ67,GZ68=GZ69),CONCATENATE("=",RANK(GZ68,GZ$68:GZ$93)),$A68))</f>
        <v/>
      </c>
      <c r="GY68" s="1" t="str">
        <f ca="1">IF(GV68=0,"",INDEX($C$68:$C$93,GU68))</f>
        <v/>
      </c>
      <c r="GZ68" s="1" t="str">
        <f ca="1">IF(GV68=0,"",INDEX(GQ$68:GQ$93,GU68))</f>
        <v/>
      </c>
      <c r="HA68" s="1" t="str">
        <f ca="1">IF(GV68=0,"",INDEX(GP$68:GP$93,GU68))</f>
        <v/>
      </c>
      <c r="HE68" s="1" t="e">
        <f>MATCH(CONCATENATE($B68,"_",INDEX($C$4:$C63,HE$65)),lu_DataCode,0)</f>
        <v>#N/A</v>
      </c>
      <c r="HF68" s="1" t="e">
        <f t="shared" ref="HF68:HF93" ca="1" si="219">INDEX(OFFSET(lu_DataCode,0,3),HE68)</f>
        <v>#N/A</v>
      </c>
      <c r="HG68" s="1" t="e">
        <f t="shared" ref="HG68:HG93" ca="1" si="220">INDEX(OFFSET(lu_DataCode,0,4),HE68)</f>
        <v>#N/A</v>
      </c>
      <c r="HH68" s="1">
        <f t="shared" ref="HH68:HH93" ca="1" si="221">IF(ISNUMBER(HG68),1,0)</f>
        <v>0</v>
      </c>
      <c r="HI68" s="1">
        <f ca="1">IF(ISNUMBER(HG68),ROUND(HG68,6),IF(HI$65=0,-10000000000,100000000000))</f>
        <v>-10000000000</v>
      </c>
      <c r="HJ68" s="1">
        <f ca="1">RANK(HI68,HI$68:HI$93,HI$65)+COUNTIF(HI$68:HI68,HI68)-1</f>
        <v>1</v>
      </c>
      <c r="HK68" s="1">
        <f ca="1">MATCH($A68,HJ$68:HJ$93,0)</f>
        <v>1</v>
      </c>
      <c r="HL68" s="1">
        <f ca="1">INDEX(HH$68:HH$93,HK68)</f>
        <v>0</v>
      </c>
      <c r="HM68" s="1">
        <f ca="1">IF(HL68=0,1,INDEX($D$68:$D$93,HK68))</f>
        <v>1</v>
      </c>
      <c r="HN68" s="1" t="str">
        <f ca="1">IF(HL68=0,"",IF(OR(HP68=HP67,HP68=HP69),CONCATENATE("=",RANK(HP68,HP$68:HP$93)),$A68))</f>
        <v/>
      </c>
      <c r="HO68" s="1" t="str">
        <f ca="1">IF(HL68=0,"",INDEX($C$68:$C$93,HK68))</f>
        <v/>
      </c>
      <c r="HP68" s="1" t="str">
        <f ca="1">IF(HL68=0,"",INDEX(HG$68:HG$93,HK68))</f>
        <v/>
      </c>
      <c r="HQ68" s="1" t="str">
        <f ca="1">IF(HL68=0,"",INDEX(HF$68:HF$93,HK68))</f>
        <v/>
      </c>
      <c r="HU68" s="1" t="e">
        <f>MATCH(CONCATENATE($B68,"_",INDEX($C$4:$C63,HU$65)),lu_DataCode,0)</f>
        <v>#N/A</v>
      </c>
      <c r="HV68" s="1" t="e">
        <f t="shared" ref="HV68:HV93" ca="1" si="222">INDEX(OFFSET(lu_DataCode,0,3),HU68)</f>
        <v>#N/A</v>
      </c>
      <c r="HW68" s="1" t="e">
        <f t="shared" ref="HW68:HW93" ca="1" si="223">INDEX(OFFSET(lu_DataCode,0,4),HU68)</f>
        <v>#N/A</v>
      </c>
      <c r="HX68" s="1">
        <f t="shared" ref="HX68:HX93" ca="1" si="224">IF(ISNUMBER(HW68),1,0)</f>
        <v>0</v>
      </c>
      <c r="HY68" s="1">
        <f ca="1">IF(ISNUMBER(HW68),ROUND(HW68,6),IF(HY$65=0,-10000000000,100000000000))</f>
        <v>-10000000000</v>
      </c>
      <c r="HZ68" s="1">
        <f ca="1">RANK(HY68,HY$68:HY$93,HY$65)+COUNTIF(HY$68:HY68,HY68)-1</f>
        <v>1</v>
      </c>
      <c r="IA68" s="1">
        <f ca="1">MATCH($A68,HZ$68:HZ$93,0)</f>
        <v>1</v>
      </c>
      <c r="IB68" s="1">
        <f ca="1">INDEX(HX$68:HX$93,IA68)</f>
        <v>0</v>
      </c>
      <c r="IC68" s="1">
        <f ca="1">IF(IB68=0,1,INDEX($D$68:$D$93,IA68))</f>
        <v>1</v>
      </c>
      <c r="ID68" s="1" t="str">
        <f ca="1">IF(IB68=0,"",IF(OR(IF68=IF67,IF68=IF69),CONCATENATE("=",RANK(IF68,IF$68:IF$93)),$A68))</f>
        <v/>
      </c>
      <c r="IE68" s="1" t="str">
        <f ca="1">IF(IB68=0,"",INDEX($C$68:$C$93,IA68))</f>
        <v/>
      </c>
      <c r="IF68" s="1" t="str">
        <f ca="1">IF(IB68=0,"",INDEX(HW$68:HW$93,IA68))</f>
        <v/>
      </c>
      <c r="IG68" s="1" t="str">
        <f ca="1">IF(IB68=0,"",INDEX(HV$68:HV$93,IA68))</f>
        <v/>
      </c>
    </row>
    <row r="69" spans="1:241" ht="10.15" x14ac:dyDescent="0.2">
      <c r="A69" s="1">
        <f t="shared" si="179"/>
        <v>2</v>
      </c>
      <c r="B69" s="1" t="str">
        <f t="shared" si="179"/>
        <v>NAC_BS_1</v>
      </c>
      <c r="C69" s="1" t="str">
        <f t="shared" si="179"/>
        <v>Bahamas</v>
      </c>
      <c r="D69" s="1">
        <f t="shared" si="179"/>
        <v>1</v>
      </c>
      <c r="E69" s="1" t="e">
        <f>MATCH(CONCATENATE($B69,"_",INDEX($C$4:$C64,E$65)),lu_DataCode,0)</f>
        <v>#N/A</v>
      </c>
      <c r="F69" s="1" t="e">
        <f t="shared" ca="1" si="180"/>
        <v>#N/A</v>
      </c>
      <c r="G69" s="1" t="e">
        <f t="shared" ca="1" si="181"/>
        <v>#N/A</v>
      </c>
      <c r="H69" s="1">
        <f t="shared" ca="1" si="182"/>
        <v>0</v>
      </c>
      <c r="I69" s="1">
        <f t="shared" ref="I69:I93" ca="1" si="225">IF(ISNUMBER(G69),ROUND(G69,6),IF(I$65=0,-10000000000,100000000000))</f>
        <v>-10000000000</v>
      </c>
      <c r="J69" s="1">
        <f ca="1">RANK(I69,I$68:I$93,I$65)+COUNTIF(I$68:I69,I69)-1</f>
        <v>2</v>
      </c>
      <c r="K69" s="1">
        <f t="shared" ref="K69:K76" ca="1" si="226">MATCH($A69,J$68:J$93,0)</f>
        <v>2</v>
      </c>
      <c r="L69" s="1">
        <f t="shared" ref="L69:L76" ca="1" si="227">INDEX(H$68:H$93,K69)</f>
        <v>0</v>
      </c>
      <c r="M69" s="1">
        <f t="shared" ref="M69:M93" ca="1" si="228">IF(L69=0,1,INDEX($D$68:$D$93,K69))</f>
        <v>1</v>
      </c>
      <c r="N69" s="1" t="str">
        <f t="shared" ref="N69:N93" ca="1" si="229">IF(L69=0,"",IF(OR(P69=P68,P69=P70),CONCATENATE("=",RANK(P69,P$68:P$93)),$A69))</f>
        <v/>
      </c>
      <c r="O69" s="1" t="str">
        <f t="shared" ref="O69:O93" ca="1" si="230">IF(L69=0,"",INDEX($C$68:$C$93,K69))</f>
        <v/>
      </c>
      <c r="P69" s="1" t="str">
        <f t="shared" ref="P69:P76" ca="1" si="231">IF(L69=0,"",INDEX(G$68:G$93,K69))</f>
        <v/>
      </c>
      <c r="Q69" s="1" t="str">
        <f t="shared" ref="Q69:Q76" ca="1" si="232">IF(L69=0,"",INDEX(F$68:F$93,K69))</f>
        <v/>
      </c>
      <c r="U69" s="1" t="e">
        <f>MATCH(CONCATENATE($B69,"_",INDEX($C$4:$C64,U$65)),lu_DataCode,0)</f>
        <v>#N/A</v>
      </c>
      <c r="V69" s="1" t="e">
        <f t="shared" ca="1" si="183"/>
        <v>#N/A</v>
      </c>
      <c r="W69" s="1" t="e">
        <f t="shared" ca="1" si="184"/>
        <v>#N/A</v>
      </c>
      <c r="X69" s="1">
        <f t="shared" ca="1" si="185"/>
        <v>0</v>
      </c>
      <c r="Y69" s="1">
        <f t="shared" ref="Y69:Y93" ca="1" si="233">IF(ISNUMBER(W69),ROUND(W69,6),IF(Y$65=0,-10000000000,100000000000))</f>
        <v>-10000000000</v>
      </c>
      <c r="Z69" s="1">
        <f ca="1">RANK(Y69,Y$68:Y$93,Y$65)+COUNTIF(Y$68:Y69,Y69)-1</f>
        <v>2</v>
      </c>
      <c r="AA69" s="1">
        <f t="shared" ref="AA69:AA93" ca="1" si="234">MATCH($A69,Z$68:Z$93,0)</f>
        <v>2</v>
      </c>
      <c r="AB69" s="1">
        <f t="shared" ref="AB69:AB93" ca="1" si="235">INDEX(X$68:X$93,AA69)</f>
        <v>0</v>
      </c>
      <c r="AC69" s="1">
        <f t="shared" ref="AC69:AC93" ca="1" si="236">IF(AB69=0,1,INDEX($D$68:$D$93,AA69))</f>
        <v>1</v>
      </c>
      <c r="AD69" s="1" t="str">
        <f t="shared" ref="AD69:AD93" ca="1" si="237">IF(AB69=0,"",IF(OR(AF69=AF68,AF69=AF70),CONCATENATE("=",RANK(AF69,AF$68:AF$93)),$A69))</f>
        <v/>
      </c>
      <c r="AE69" s="1" t="str">
        <f t="shared" ref="AE69:AE93" ca="1" si="238">IF(AB69=0,"",INDEX($C$68:$C$93,AA69))</f>
        <v/>
      </c>
      <c r="AF69" s="1" t="str">
        <f t="shared" ref="AF69:AF93" ca="1" si="239">IF(AB69=0,"",INDEX(W$68:W$93,AA69))</f>
        <v/>
      </c>
      <c r="AG69" s="1" t="str">
        <f t="shared" ref="AG69:AG93" ca="1" si="240">IF(AB69=0,"",INDEX(V$68:V$93,AA69))</f>
        <v/>
      </c>
      <c r="AK69" s="1" t="e">
        <f>MATCH(CONCATENATE($B69,"_",INDEX($C$4:$C64,AK$65)),lu_DataCode,0)</f>
        <v>#N/A</v>
      </c>
      <c r="AL69" s="1" t="e">
        <f t="shared" ca="1" si="186"/>
        <v>#N/A</v>
      </c>
      <c r="AM69" s="1" t="e">
        <f t="shared" ca="1" si="187"/>
        <v>#N/A</v>
      </c>
      <c r="AN69" s="1">
        <f t="shared" ca="1" si="188"/>
        <v>0</v>
      </c>
      <c r="AO69" s="1">
        <f t="shared" ref="AO69:AO93" ca="1" si="241">IF(ISNUMBER(AM69),ROUND(AM69,6),IF(AO$65=0,-10000000000,100000000000))</f>
        <v>-10000000000</v>
      </c>
      <c r="AP69" s="1">
        <f ca="1">RANK(AO69,AO$68:AO$93,AO$65)+COUNTIF(AO$68:AO69,AO69)-1</f>
        <v>2</v>
      </c>
      <c r="AQ69" s="1">
        <f t="shared" ref="AQ69:AQ93" ca="1" si="242">MATCH($A69,AP$68:AP$93,0)</f>
        <v>2</v>
      </c>
      <c r="AR69" s="1">
        <f t="shared" ref="AR69:AR93" ca="1" si="243">INDEX(AN$68:AN$93,AQ69)</f>
        <v>0</v>
      </c>
      <c r="AS69" s="1">
        <f t="shared" ref="AS69:AS93" ca="1" si="244">IF(AR69=0,1,INDEX($D$68:$D$93,AQ69))</f>
        <v>1</v>
      </c>
      <c r="AT69" s="1" t="str">
        <f t="shared" ref="AT69:AT93" ca="1" si="245">IF(AR69=0,"",IF(OR(AV69=AV68,AV69=AV70),CONCATENATE("=",RANK(AV69,AV$68:AV$93)),$A69))</f>
        <v/>
      </c>
      <c r="AU69" s="1" t="str">
        <f t="shared" ref="AU69:AU93" ca="1" si="246">IF(AR69=0,"",INDEX($C$68:$C$93,AQ69))</f>
        <v/>
      </c>
      <c r="AV69" s="1" t="str">
        <f t="shared" ref="AV69:AV93" ca="1" si="247">IF(AR69=0,"",INDEX(AM$68:AM$93,AQ69))</f>
        <v/>
      </c>
      <c r="AW69" s="1" t="str">
        <f t="shared" ref="AW69:AW93" ca="1" si="248">IF(AR69=0,"",INDEX(AL$68:AL$93,AQ69))</f>
        <v/>
      </c>
      <c r="BA69" s="1" t="e">
        <f>MATCH(CONCATENATE($B69,"_",INDEX($C$4:$C64,BA$65)),lu_DataCode,0)</f>
        <v>#N/A</v>
      </c>
      <c r="BB69" s="1" t="e">
        <f t="shared" ca="1" si="189"/>
        <v>#N/A</v>
      </c>
      <c r="BC69" s="1" t="e">
        <f t="shared" ca="1" si="190"/>
        <v>#N/A</v>
      </c>
      <c r="BD69" s="1">
        <f t="shared" ca="1" si="191"/>
        <v>0</v>
      </c>
      <c r="BE69" s="1">
        <f t="shared" ref="BE69:BE93" ca="1" si="249">IF(ISNUMBER(BC69),ROUND(BC69,6),IF(BE$65=0,-10000000000,100000000000))</f>
        <v>-10000000000</v>
      </c>
      <c r="BF69" s="1">
        <f ca="1">RANK(BE69,BE$68:BE$93,BE$65)+COUNTIF(BE$68:BE69,BE69)-1</f>
        <v>2</v>
      </c>
      <c r="BG69" s="1">
        <f t="shared" ref="BG69:BG93" ca="1" si="250">MATCH($A69,BF$68:BF$93,0)</f>
        <v>2</v>
      </c>
      <c r="BH69" s="1">
        <f t="shared" ref="BH69:BH93" ca="1" si="251">INDEX(BD$68:BD$93,BG69)</f>
        <v>0</v>
      </c>
      <c r="BI69" s="1">
        <f t="shared" ref="BI69:BI93" ca="1" si="252">IF(BH69=0,1,INDEX($D$68:$D$93,BG69))</f>
        <v>1</v>
      </c>
      <c r="BJ69" s="1" t="str">
        <f t="shared" ref="BJ69:BJ93" ca="1" si="253">IF(BH69=0,"",IF(OR(BL69=BL68,BL69=BL70),CONCATENATE("=",RANK(BL69,BL$68:BL$93)),$A69))</f>
        <v/>
      </c>
      <c r="BK69" s="1" t="str">
        <f t="shared" ref="BK69:BK93" ca="1" si="254">IF(BH69=0,"",INDEX($C$68:$C$93,BG69))</f>
        <v/>
      </c>
      <c r="BL69" s="1" t="str">
        <f t="shared" ref="BL69:BL93" ca="1" si="255">IF(BH69=0,"",INDEX(BC$68:BC$93,BG69))</f>
        <v/>
      </c>
      <c r="BM69" s="1" t="str">
        <f t="shared" ref="BM69:BM93" ca="1" si="256">IF(BH69=0,"",INDEX(BB$68:BB$93,BG69))</f>
        <v/>
      </c>
      <c r="BQ69" s="1" t="e">
        <f>MATCH(CONCATENATE($B69,"_",INDEX($C$4:$C64,BQ$65)),lu_DataCode,0)</f>
        <v>#N/A</v>
      </c>
      <c r="BR69" s="1" t="e">
        <f t="shared" ca="1" si="192"/>
        <v>#N/A</v>
      </c>
      <c r="BS69" s="1" t="e">
        <f t="shared" ca="1" si="193"/>
        <v>#N/A</v>
      </c>
      <c r="BT69" s="1">
        <f t="shared" ca="1" si="194"/>
        <v>0</v>
      </c>
      <c r="BU69" s="1">
        <f t="shared" ref="BU69:BU93" ca="1" si="257">IF(ISNUMBER(BS69),ROUND(BS69,6),IF(BU$65=0,-10000000000,100000000000))</f>
        <v>-10000000000</v>
      </c>
      <c r="BV69" s="1">
        <f ca="1">RANK(BU69,BU$68:BU$93,BU$65)+COUNTIF(BU$68:BU69,BU69)-1</f>
        <v>2</v>
      </c>
      <c r="BW69" s="1">
        <f t="shared" ref="BW69:BW93" ca="1" si="258">MATCH($A69,BV$68:BV$93,0)</f>
        <v>2</v>
      </c>
      <c r="BX69" s="1">
        <f t="shared" ref="BX69:BX93" ca="1" si="259">INDEX(BT$68:BT$93,BW69)</f>
        <v>0</v>
      </c>
      <c r="BY69" s="1">
        <f t="shared" ref="BY69:BY93" ca="1" si="260">IF(BX69=0,1,INDEX($D$68:$D$93,BW69))</f>
        <v>1</v>
      </c>
      <c r="BZ69" s="1" t="str">
        <f t="shared" ref="BZ69:BZ93" ca="1" si="261">IF(BX69=0,"",IF(OR(CB69=CB68,CB69=CB70),CONCATENATE("=",RANK(CB69,CB$68:CB$93)),$A69))</f>
        <v/>
      </c>
      <c r="CA69" s="1" t="str">
        <f t="shared" ref="CA69:CA93" ca="1" si="262">IF(BX69=0,"",INDEX($C$68:$C$93,BW69))</f>
        <v/>
      </c>
      <c r="CB69" s="1" t="str">
        <f t="shared" ref="CB69:CB93" ca="1" si="263">IF(BX69=0,"",INDEX(BS$68:BS$93,BW69))</f>
        <v/>
      </c>
      <c r="CC69" s="1" t="str">
        <f t="shared" ref="CC69:CC93" ca="1" si="264">IF(BX69=0,"",INDEX(BR$68:BR$93,BW69))</f>
        <v/>
      </c>
      <c r="CG69" s="1" t="e">
        <f>MATCH(CONCATENATE($B69,"_",INDEX($C$4:$C64,CG$65)),lu_DataCode,0)</f>
        <v>#N/A</v>
      </c>
      <c r="CH69" s="1" t="e">
        <f t="shared" ca="1" si="195"/>
        <v>#N/A</v>
      </c>
      <c r="CI69" s="1" t="e">
        <f t="shared" ca="1" si="196"/>
        <v>#N/A</v>
      </c>
      <c r="CJ69" s="1">
        <f t="shared" ca="1" si="197"/>
        <v>0</v>
      </c>
      <c r="CK69" s="1">
        <f t="shared" ref="CK69:CK93" ca="1" si="265">IF(ISNUMBER(CI69),ROUND(CI69,6),IF(CK$65=0,-10000000000,100000000000))</f>
        <v>-10000000000</v>
      </c>
      <c r="CL69" s="1">
        <f ca="1">RANK(CK69,CK$68:CK$93,CK$65)+COUNTIF(CK$68:CK69,CK69)-1</f>
        <v>2</v>
      </c>
      <c r="CM69" s="1">
        <f t="shared" ref="CM69:CM93" ca="1" si="266">MATCH($A69,CL$68:CL$93,0)</f>
        <v>2</v>
      </c>
      <c r="CN69" s="1">
        <f t="shared" ref="CN69:CN93" ca="1" si="267">INDEX(CJ$68:CJ$93,CM69)</f>
        <v>0</v>
      </c>
      <c r="CO69" s="1">
        <f t="shared" ref="CO69:CO93" ca="1" si="268">IF(CN69=0,1,INDEX($D$68:$D$93,CM69))</f>
        <v>1</v>
      </c>
      <c r="CP69" s="1" t="str">
        <f t="shared" ref="CP69:CP93" ca="1" si="269">IF(CN69=0,"",IF(OR(CR69=CR68,CR69=CR70),CONCATENATE("=",RANK(CR69,CR$68:CR$93)),$A69))</f>
        <v/>
      </c>
      <c r="CQ69" s="1" t="str">
        <f t="shared" ref="CQ69:CQ93" ca="1" si="270">IF(CN69=0,"",INDEX($C$68:$C$93,CM69))</f>
        <v/>
      </c>
      <c r="CR69" s="1" t="str">
        <f t="shared" ref="CR69:CR93" ca="1" si="271">IF(CN69=0,"",INDEX(CI$68:CI$93,CM69))</f>
        <v/>
      </c>
      <c r="CS69" s="1" t="str">
        <f t="shared" ref="CS69:CS93" ca="1" si="272">IF(CN69=0,"",INDEX(CH$68:CH$93,CM69))</f>
        <v/>
      </c>
      <c r="CW69" s="1" t="e">
        <f>MATCH(CONCATENATE($B69,"_",INDEX($C$4:$C64,CW$65)),lu_DataCode,0)</f>
        <v>#N/A</v>
      </c>
      <c r="CX69" s="1" t="e">
        <f t="shared" ca="1" si="198"/>
        <v>#N/A</v>
      </c>
      <c r="CY69" s="1" t="e">
        <f t="shared" ca="1" si="199"/>
        <v>#N/A</v>
      </c>
      <c r="CZ69" s="1">
        <f t="shared" ca="1" si="200"/>
        <v>0</v>
      </c>
      <c r="DA69" s="1">
        <f t="shared" ref="DA69:DA93" ca="1" si="273">IF(ISNUMBER(CY69),ROUND(CY69,6),IF(DA$65=0,-10000000000,100000000000))</f>
        <v>-10000000000</v>
      </c>
      <c r="DB69" s="1">
        <f ca="1">RANK(DA69,DA$68:DA$93,DA$65)+COUNTIF(DA$68:DA69,DA69)-1</f>
        <v>2</v>
      </c>
      <c r="DC69" s="1">
        <f t="shared" ref="DC69:DC93" ca="1" si="274">MATCH($A69,DB$68:DB$93,0)</f>
        <v>2</v>
      </c>
      <c r="DD69" s="1">
        <f t="shared" ref="DD69:DD93" ca="1" si="275">INDEX(CZ$68:CZ$93,DC69)</f>
        <v>0</v>
      </c>
      <c r="DE69" s="1">
        <f t="shared" ref="DE69:DE93" ca="1" si="276">IF(DD69=0,1,INDEX($D$68:$D$93,DC69))</f>
        <v>1</v>
      </c>
      <c r="DF69" s="1" t="str">
        <f t="shared" ref="DF69:DF93" ca="1" si="277">IF(DD69=0,"",IF(OR(DH69=DH68,DH69=DH70),CONCATENATE("=",RANK(DH69,DH$68:DH$93)),$A69))</f>
        <v/>
      </c>
      <c r="DG69" s="1" t="str">
        <f t="shared" ref="DG69:DG93" ca="1" si="278">IF(DD69=0,"",INDEX($C$68:$C$93,DC69))</f>
        <v/>
      </c>
      <c r="DH69" s="1" t="str">
        <f t="shared" ref="DH69:DH93" ca="1" si="279">IF(DD69=0,"",INDEX(CY$68:CY$93,DC69))</f>
        <v/>
      </c>
      <c r="DI69" s="1" t="str">
        <f t="shared" ref="DI69:DI93" ca="1" si="280">IF(DD69=0,"",INDEX(CX$68:CX$93,DC69))</f>
        <v/>
      </c>
      <c r="DM69" s="1" t="e">
        <f>MATCH(CONCATENATE($B69,"_",INDEX($C$4:$C64,DM$65)),lu_DataCode,0)</f>
        <v>#N/A</v>
      </c>
      <c r="DN69" s="1" t="e">
        <f t="shared" ca="1" si="201"/>
        <v>#N/A</v>
      </c>
      <c r="DO69" s="1" t="e">
        <f t="shared" ca="1" si="202"/>
        <v>#N/A</v>
      </c>
      <c r="DP69" s="1">
        <f t="shared" ca="1" si="203"/>
        <v>0</v>
      </c>
      <c r="DQ69" s="1">
        <f t="shared" ref="DQ69:DQ93" ca="1" si="281">IF(ISNUMBER(DO69),ROUND(DO69,6),IF(DQ$65=0,-10000000000,100000000000))</f>
        <v>-10000000000</v>
      </c>
      <c r="DR69" s="1">
        <f ca="1">RANK(DQ69,DQ$68:DQ$93,DQ$65)+COUNTIF(DQ$68:DQ69,DQ69)-1</f>
        <v>2</v>
      </c>
      <c r="DS69" s="1">
        <f t="shared" ref="DS69:DS93" ca="1" si="282">MATCH($A69,DR$68:DR$93,0)</f>
        <v>2</v>
      </c>
      <c r="DT69" s="1">
        <f t="shared" ref="DT69:DT93" ca="1" si="283">INDEX(DP$68:DP$93,DS69)</f>
        <v>0</v>
      </c>
      <c r="DU69" s="1">
        <f t="shared" ref="DU69:DU93" ca="1" si="284">IF(DT69=0,1,INDEX($D$68:$D$93,DS69))</f>
        <v>1</v>
      </c>
      <c r="DV69" s="1" t="str">
        <f t="shared" ref="DV69:DV93" ca="1" si="285">IF(DT69=0,"",IF(OR(DX69=DX68,DX69=DX70),CONCATENATE("=",RANK(DX69,DX$68:DX$93)),$A69))</f>
        <v/>
      </c>
      <c r="DW69" s="1" t="str">
        <f t="shared" ref="DW69:DW93" ca="1" si="286">IF(DT69=0,"",INDEX($C$68:$C$93,DS69))</f>
        <v/>
      </c>
      <c r="DX69" s="1" t="str">
        <f t="shared" ref="DX69:DX93" ca="1" si="287">IF(DT69=0,"",INDEX(DO$68:DO$93,DS69))</f>
        <v/>
      </c>
      <c r="DY69" s="1" t="str">
        <f t="shared" ref="DY69:DY93" ca="1" si="288">IF(DT69=0,"",INDEX(DN$68:DN$93,DS69))</f>
        <v/>
      </c>
      <c r="EC69" s="1" t="e">
        <f>MATCH(CONCATENATE($B69,"_",INDEX($C$4:$C64,EC$65)),lu_DataCode,0)</f>
        <v>#N/A</v>
      </c>
      <c r="ED69" s="1" t="e">
        <f t="shared" ca="1" si="204"/>
        <v>#N/A</v>
      </c>
      <c r="EE69" s="1" t="e">
        <f t="shared" ca="1" si="205"/>
        <v>#N/A</v>
      </c>
      <c r="EF69" s="1">
        <f t="shared" ca="1" si="206"/>
        <v>0</v>
      </c>
      <c r="EG69" s="1">
        <f t="shared" ref="EG69:EG93" ca="1" si="289">IF(ISNUMBER(EE69),ROUND(EE69,6),IF(EG$65=0,-10000000000,100000000000))</f>
        <v>-10000000000</v>
      </c>
      <c r="EH69" s="1">
        <f ca="1">RANK(EG69,EG$68:EG$93,EG$65)+COUNTIF(EG$68:EG69,EG69)-1</f>
        <v>2</v>
      </c>
      <c r="EI69" s="1">
        <f t="shared" ref="EI69:EI93" ca="1" si="290">MATCH($A69,EH$68:EH$93,0)</f>
        <v>2</v>
      </c>
      <c r="EJ69" s="1">
        <f t="shared" ref="EJ69:EJ93" ca="1" si="291">INDEX(EF$68:EF$93,EI69)</f>
        <v>0</v>
      </c>
      <c r="EK69" s="1">
        <f t="shared" ref="EK69:EK93" ca="1" si="292">IF(EJ69=0,1,INDEX($D$68:$D$93,EI69))</f>
        <v>1</v>
      </c>
      <c r="EL69" s="1" t="str">
        <f t="shared" ref="EL69:EL93" ca="1" si="293">IF(EJ69=0,"",IF(OR(EN69=EN68,EN69=EN70),CONCATENATE("=",RANK(EN69,EN$68:EN$93)),$A69))</f>
        <v/>
      </c>
      <c r="EM69" s="1" t="str">
        <f t="shared" ref="EM69:EM93" ca="1" si="294">IF(EJ69=0,"",INDEX($C$68:$C$93,EI69))</f>
        <v/>
      </c>
      <c r="EN69" s="1" t="str">
        <f t="shared" ref="EN69:EN93" ca="1" si="295">IF(EJ69=0,"",INDEX(EE$68:EE$93,EI69))</f>
        <v/>
      </c>
      <c r="EO69" s="1" t="str">
        <f t="shared" ref="EO69:EO93" ca="1" si="296">IF(EJ69=0,"",INDEX(ED$68:ED$93,EI69))</f>
        <v/>
      </c>
      <c r="ES69" s="1" t="e">
        <f>MATCH(CONCATENATE($B69,"_",INDEX($C$4:$C64,ES$65)),lu_DataCode,0)</f>
        <v>#N/A</v>
      </c>
      <c r="ET69" s="1" t="e">
        <f t="shared" ca="1" si="207"/>
        <v>#N/A</v>
      </c>
      <c r="EU69" s="1" t="e">
        <f t="shared" ca="1" si="208"/>
        <v>#N/A</v>
      </c>
      <c r="EV69" s="1">
        <f t="shared" ca="1" si="209"/>
        <v>0</v>
      </c>
      <c r="EW69" s="1">
        <f t="shared" ref="EW69:EW93" ca="1" si="297">IF(ISNUMBER(EU69),ROUND(EU69,6),IF(EW$65=0,-10000000000,100000000000))</f>
        <v>-10000000000</v>
      </c>
      <c r="EX69" s="1">
        <f ca="1">RANK(EW69,EW$68:EW$93,EW$65)+COUNTIF(EW$68:EW69,EW69)-1</f>
        <v>2</v>
      </c>
      <c r="EY69" s="1">
        <f t="shared" ref="EY69:EY93" ca="1" si="298">MATCH($A69,EX$68:EX$93,0)</f>
        <v>2</v>
      </c>
      <c r="EZ69" s="1">
        <f t="shared" ref="EZ69:EZ93" ca="1" si="299">INDEX(EV$68:EV$93,EY69)</f>
        <v>0</v>
      </c>
      <c r="FA69" s="1">
        <f t="shared" ref="FA69:FA93" ca="1" si="300">IF(EZ69=0,1,INDEX($D$68:$D$93,EY69))</f>
        <v>1</v>
      </c>
      <c r="FB69" s="1" t="str">
        <f t="shared" ref="FB69:FB93" ca="1" si="301">IF(EZ69=0,"",IF(OR(FD69=FD68,FD69=FD70),CONCATENATE("=",RANK(FD69,FD$68:FD$93)),$A69))</f>
        <v/>
      </c>
      <c r="FC69" s="1" t="str">
        <f t="shared" ref="FC69:FC93" ca="1" si="302">IF(EZ69=0,"",INDEX($C$68:$C$93,EY69))</f>
        <v/>
      </c>
      <c r="FD69" s="1" t="str">
        <f t="shared" ref="FD69:FD93" ca="1" si="303">IF(EZ69=0,"",INDEX(EU$68:EU$93,EY69))</f>
        <v/>
      </c>
      <c r="FE69" s="1" t="str">
        <f t="shared" ref="FE69:FE93" ca="1" si="304">IF(EZ69=0,"",INDEX(ET$68:ET$93,EY69))</f>
        <v/>
      </c>
      <c r="FI69" s="1" t="e">
        <f>MATCH(CONCATENATE($B69,"_",INDEX($C$4:$C64,FI$65)),lu_DataCode,0)</f>
        <v>#N/A</v>
      </c>
      <c r="FJ69" s="1" t="e">
        <f t="shared" ca="1" si="210"/>
        <v>#N/A</v>
      </c>
      <c r="FK69" s="1" t="e">
        <f t="shared" ca="1" si="211"/>
        <v>#N/A</v>
      </c>
      <c r="FL69" s="1">
        <f t="shared" ca="1" si="212"/>
        <v>0</v>
      </c>
      <c r="FM69" s="1">
        <f t="shared" ref="FM69:FM93" ca="1" si="305">IF(ISNUMBER(FK69),ROUND(FK69,6),IF(FM$65=0,-10000000000,100000000000))</f>
        <v>-10000000000</v>
      </c>
      <c r="FN69" s="1">
        <f ca="1">RANK(FM69,FM$68:FM$93,FM$65)+COUNTIF(FM$68:FM69,FM69)-1</f>
        <v>2</v>
      </c>
      <c r="FO69" s="1">
        <f t="shared" ref="FO69:FO93" ca="1" si="306">MATCH($A69,FN$68:FN$93,0)</f>
        <v>2</v>
      </c>
      <c r="FP69" s="1">
        <f t="shared" ref="FP69:FP93" ca="1" si="307">INDEX(FL$68:FL$93,FO69)</f>
        <v>0</v>
      </c>
      <c r="FQ69" s="1">
        <f t="shared" ref="FQ69:FQ93" ca="1" si="308">IF(FP69=0,1,INDEX($D$68:$D$93,FO69))</f>
        <v>1</v>
      </c>
      <c r="FR69" s="1" t="str">
        <f t="shared" ref="FR69:FR93" ca="1" si="309">IF(FP69=0,"",IF(OR(FT69=FT68,FT69=FT70),CONCATENATE("=",RANK(FT69,FT$68:FT$93)),$A69))</f>
        <v/>
      </c>
      <c r="FS69" s="1" t="str">
        <f t="shared" ref="FS69:FS93" ca="1" si="310">IF(FP69=0,"",INDEX($C$68:$C$93,FO69))</f>
        <v/>
      </c>
      <c r="FT69" s="1" t="str">
        <f t="shared" ref="FT69:FT93" ca="1" si="311">IF(FP69=0,"",INDEX(FK$68:FK$93,FO69))</f>
        <v/>
      </c>
      <c r="FU69" s="1" t="str">
        <f t="shared" ref="FU69:FU93" ca="1" si="312">IF(FP69=0,"",INDEX(FJ$68:FJ$93,FO69))</f>
        <v/>
      </c>
      <c r="FY69" s="1" t="e">
        <f>MATCH(CONCATENATE($B69,"_",INDEX($C$4:$C64,FY$65)),lu_DataCode,0)</f>
        <v>#N/A</v>
      </c>
      <c r="FZ69" s="1" t="e">
        <f t="shared" ca="1" si="213"/>
        <v>#N/A</v>
      </c>
      <c r="GA69" s="1" t="e">
        <f t="shared" ca="1" si="214"/>
        <v>#N/A</v>
      </c>
      <c r="GB69" s="1">
        <f t="shared" ca="1" si="215"/>
        <v>0</v>
      </c>
      <c r="GC69" s="1">
        <f t="shared" ref="GC69:GC93" ca="1" si="313">IF(ISNUMBER(GA69),ROUND(GA69,6),IF(GC$65=0,-10000000000,100000000000))</f>
        <v>-10000000000</v>
      </c>
      <c r="GD69" s="1">
        <f ca="1">RANK(GC69,GC$68:GC$93,GC$65)+COUNTIF(GC$68:GC69,GC69)-1</f>
        <v>2</v>
      </c>
      <c r="GE69" s="1">
        <f t="shared" ref="GE69:GE93" ca="1" si="314">MATCH($A69,GD$68:GD$93,0)</f>
        <v>2</v>
      </c>
      <c r="GF69" s="1">
        <f t="shared" ref="GF69:GF93" ca="1" si="315">INDEX(GB$68:GB$93,GE69)</f>
        <v>0</v>
      </c>
      <c r="GG69" s="1">
        <f t="shared" ref="GG69:GG93" ca="1" si="316">IF(GF69=0,1,INDEX($D$68:$D$93,GE69))</f>
        <v>1</v>
      </c>
      <c r="GH69" s="1" t="str">
        <f t="shared" ref="GH69:GH93" ca="1" si="317">IF(GF69=0,"",IF(OR(GJ69=GJ68,GJ69=GJ70),CONCATENATE("=",RANK(GJ69,GJ$68:GJ$93)),$A69))</f>
        <v/>
      </c>
      <c r="GI69" s="1" t="str">
        <f t="shared" ref="GI69:GI93" ca="1" si="318">IF(GF69=0,"",INDEX($C$68:$C$93,GE69))</f>
        <v/>
      </c>
      <c r="GJ69" s="1" t="str">
        <f t="shared" ref="GJ69:GJ93" ca="1" si="319">IF(GF69=0,"",INDEX(GA$68:GA$93,GE69))</f>
        <v/>
      </c>
      <c r="GK69" s="1" t="str">
        <f t="shared" ref="GK69:GK93" ca="1" si="320">IF(GF69=0,"",INDEX(FZ$68:FZ$93,GE69))</f>
        <v/>
      </c>
      <c r="GO69" s="1" t="e">
        <f>MATCH(CONCATENATE($B69,"_",INDEX($C$4:$C64,GO$65)),lu_DataCode,0)</f>
        <v>#N/A</v>
      </c>
      <c r="GP69" s="1" t="e">
        <f t="shared" ca="1" si="216"/>
        <v>#N/A</v>
      </c>
      <c r="GQ69" s="1" t="e">
        <f t="shared" ca="1" si="217"/>
        <v>#N/A</v>
      </c>
      <c r="GR69" s="1">
        <f t="shared" ca="1" si="218"/>
        <v>0</v>
      </c>
      <c r="GS69" s="1">
        <f t="shared" ref="GS69:GS93" ca="1" si="321">IF(ISNUMBER(GQ69),ROUND(GQ69,6),IF(GS$65=0,-10000000000,100000000000))</f>
        <v>-10000000000</v>
      </c>
      <c r="GT69" s="1">
        <f ca="1">RANK(GS69,GS$68:GS$93,GS$65)+COUNTIF(GS$68:GS69,GS69)-1</f>
        <v>2</v>
      </c>
      <c r="GU69" s="1">
        <f t="shared" ref="GU69:GU93" ca="1" si="322">MATCH($A69,GT$68:GT$93,0)</f>
        <v>2</v>
      </c>
      <c r="GV69" s="1">
        <f t="shared" ref="GV69:GV93" ca="1" si="323">INDEX(GR$68:GR$93,GU69)</f>
        <v>0</v>
      </c>
      <c r="GW69" s="1">
        <f t="shared" ref="GW69:GW93" ca="1" si="324">IF(GV69=0,1,INDEX($D$68:$D$93,GU69))</f>
        <v>1</v>
      </c>
      <c r="GX69" s="1" t="str">
        <f t="shared" ref="GX69:GX93" ca="1" si="325">IF(GV69=0,"",IF(OR(GZ69=GZ68,GZ69=GZ70),CONCATENATE("=",RANK(GZ69,GZ$68:GZ$93)),$A69))</f>
        <v/>
      </c>
      <c r="GY69" s="1" t="str">
        <f t="shared" ref="GY69:GY93" ca="1" si="326">IF(GV69=0,"",INDEX($C$68:$C$93,GU69))</f>
        <v/>
      </c>
      <c r="GZ69" s="1" t="str">
        <f t="shared" ref="GZ69:GZ93" ca="1" si="327">IF(GV69=0,"",INDEX(GQ$68:GQ$93,GU69))</f>
        <v/>
      </c>
      <c r="HA69" s="1" t="str">
        <f t="shared" ref="HA69:HA93" ca="1" si="328">IF(GV69=0,"",INDEX(GP$68:GP$93,GU69))</f>
        <v/>
      </c>
      <c r="HE69" s="1" t="e">
        <f>MATCH(CONCATENATE($B69,"_",INDEX($C$4:$C64,HE$65)),lu_DataCode,0)</f>
        <v>#N/A</v>
      </c>
      <c r="HF69" s="1" t="e">
        <f t="shared" ca="1" si="219"/>
        <v>#N/A</v>
      </c>
      <c r="HG69" s="1" t="e">
        <f t="shared" ca="1" si="220"/>
        <v>#N/A</v>
      </c>
      <c r="HH69" s="1">
        <f t="shared" ca="1" si="221"/>
        <v>0</v>
      </c>
      <c r="HI69" s="1">
        <f t="shared" ref="HI69:HI93" ca="1" si="329">IF(ISNUMBER(HG69),ROUND(HG69,6),IF(HI$65=0,-10000000000,100000000000))</f>
        <v>-10000000000</v>
      </c>
      <c r="HJ69" s="1">
        <f ca="1">RANK(HI69,HI$68:HI$93,HI$65)+COUNTIF(HI$68:HI69,HI69)-1</f>
        <v>2</v>
      </c>
      <c r="HK69" s="1">
        <f t="shared" ref="HK69:HK93" ca="1" si="330">MATCH($A69,HJ$68:HJ$93,0)</f>
        <v>2</v>
      </c>
      <c r="HL69" s="1">
        <f t="shared" ref="HL69:HL93" ca="1" si="331">INDEX(HH$68:HH$93,HK69)</f>
        <v>0</v>
      </c>
      <c r="HM69" s="1">
        <f t="shared" ref="HM69:HM93" ca="1" si="332">IF(HL69=0,1,INDEX($D$68:$D$93,HK69))</f>
        <v>1</v>
      </c>
      <c r="HN69" s="1" t="str">
        <f t="shared" ref="HN69:HN93" ca="1" si="333">IF(HL69=0,"",IF(OR(HP69=HP68,HP69=HP70),CONCATENATE("=",RANK(HP69,HP$68:HP$93)),$A69))</f>
        <v/>
      </c>
      <c r="HO69" s="1" t="str">
        <f t="shared" ref="HO69:HO93" ca="1" si="334">IF(HL69=0,"",INDEX($C$68:$C$93,HK69))</f>
        <v/>
      </c>
      <c r="HP69" s="1" t="str">
        <f t="shared" ref="HP69:HP93" ca="1" si="335">IF(HL69=0,"",INDEX(HG$68:HG$93,HK69))</f>
        <v/>
      </c>
      <c r="HQ69" s="1" t="str">
        <f t="shared" ref="HQ69:HQ93" ca="1" si="336">IF(HL69=0,"",INDEX(HF$68:HF$93,HK69))</f>
        <v/>
      </c>
      <c r="HU69" s="1" t="e">
        <f>MATCH(CONCATENATE($B69,"_",INDEX($C$4:$C64,HU$65)),lu_DataCode,0)</f>
        <v>#N/A</v>
      </c>
      <c r="HV69" s="1" t="e">
        <f t="shared" ca="1" si="222"/>
        <v>#N/A</v>
      </c>
      <c r="HW69" s="1" t="e">
        <f t="shared" ca="1" si="223"/>
        <v>#N/A</v>
      </c>
      <c r="HX69" s="1">
        <f t="shared" ca="1" si="224"/>
        <v>0</v>
      </c>
      <c r="HY69" s="1">
        <f t="shared" ref="HY69:HY93" ca="1" si="337">IF(ISNUMBER(HW69),ROUND(HW69,6),IF(HY$65=0,-10000000000,100000000000))</f>
        <v>-10000000000</v>
      </c>
      <c r="HZ69" s="1">
        <f ca="1">RANK(HY69,HY$68:HY$93,HY$65)+COUNTIF(HY$68:HY69,HY69)-1</f>
        <v>2</v>
      </c>
      <c r="IA69" s="1">
        <f t="shared" ref="IA69:IA93" ca="1" si="338">MATCH($A69,HZ$68:HZ$93,0)</f>
        <v>2</v>
      </c>
      <c r="IB69" s="1">
        <f t="shared" ref="IB69:IB93" ca="1" si="339">INDEX(HX$68:HX$93,IA69)</f>
        <v>0</v>
      </c>
      <c r="IC69" s="1">
        <f t="shared" ref="IC69:IC93" ca="1" si="340">IF(IB69=0,1,INDEX($D$68:$D$93,IA69))</f>
        <v>1</v>
      </c>
      <c r="ID69" s="1" t="str">
        <f t="shared" ref="ID69:ID93" ca="1" si="341">IF(IB69=0,"",IF(OR(IF69=IF68,IF69=IF70),CONCATENATE("=",RANK(IF69,IF$68:IF$93)),$A69))</f>
        <v/>
      </c>
      <c r="IE69" s="1" t="str">
        <f t="shared" ref="IE69:IE93" ca="1" si="342">IF(IB69=0,"",INDEX($C$68:$C$93,IA69))</f>
        <v/>
      </c>
      <c r="IF69" s="1" t="str">
        <f t="shared" ref="IF69:IF93" ca="1" si="343">IF(IB69=0,"",INDEX(HW$68:HW$93,IA69))</f>
        <v/>
      </c>
      <c r="IG69" s="1" t="str">
        <f t="shared" ref="IG69:IG93" ca="1" si="344">IF(IB69=0,"",INDEX(HV$68:HV$93,IA69))</f>
        <v/>
      </c>
    </row>
    <row r="70" spans="1:241" ht="10.15" x14ac:dyDescent="0.2">
      <c r="A70" s="1">
        <f t="shared" si="179"/>
        <v>3</v>
      </c>
      <c r="B70" s="1" t="str">
        <f t="shared" si="179"/>
        <v>NAC_BB_1</v>
      </c>
      <c r="C70" s="1" t="str">
        <f t="shared" si="179"/>
        <v>Barbados</v>
      </c>
      <c r="D70" s="1">
        <f t="shared" si="179"/>
        <v>1</v>
      </c>
      <c r="E70" s="1" t="e">
        <f>MATCH(CONCATENATE($B70,"_",INDEX($C$4:$C65,E$65)),lu_DataCode,0)</f>
        <v>#N/A</v>
      </c>
      <c r="F70" s="1" t="e">
        <f t="shared" ca="1" si="180"/>
        <v>#N/A</v>
      </c>
      <c r="G70" s="1" t="e">
        <f t="shared" ca="1" si="181"/>
        <v>#N/A</v>
      </c>
      <c r="H70" s="1">
        <f t="shared" ca="1" si="182"/>
        <v>0</v>
      </c>
      <c r="I70" s="1">
        <f t="shared" ca="1" si="225"/>
        <v>-10000000000</v>
      </c>
      <c r="J70" s="1">
        <f ca="1">RANK(I70,I$68:I$93,I$65)+COUNTIF(I$68:I70,I70)-1</f>
        <v>3</v>
      </c>
      <c r="K70" s="1">
        <f t="shared" ca="1" si="226"/>
        <v>3</v>
      </c>
      <c r="L70" s="1">
        <f t="shared" ca="1" si="227"/>
        <v>0</v>
      </c>
      <c r="M70" s="1">
        <f t="shared" ca="1" si="228"/>
        <v>1</v>
      </c>
      <c r="N70" s="1" t="str">
        <f t="shared" ca="1" si="229"/>
        <v/>
      </c>
      <c r="O70" s="1" t="str">
        <f t="shared" ca="1" si="230"/>
        <v/>
      </c>
      <c r="P70" s="1" t="str">
        <f t="shared" ca="1" si="231"/>
        <v/>
      </c>
      <c r="Q70" s="1" t="str">
        <f t="shared" ca="1" si="232"/>
        <v/>
      </c>
      <c r="U70" s="1" t="e">
        <f>MATCH(CONCATENATE($B70,"_",INDEX($C$4:$C65,U$65)),lu_DataCode,0)</f>
        <v>#N/A</v>
      </c>
      <c r="V70" s="1" t="e">
        <f t="shared" ca="1" si="183"/>
        <v>#N/A</v>
      </c>
      <c r="W70" s="1" t="e">
        <f t="shared" ca="1" si="184"/>
        <v>#N/A</v>
      </c>
      <c r="X70" s="1">
        <f t="shared" ca="1" si="185"/>
        <v>0</v>
      </c>
      <c r="Y70" s="1">
        <f t="shared" ca="1" si="233"/>
        <v>-10000000000</v>
      </c>
      <c r="Z70" s="1">
        <f ca="1">RANK(Y70,Y$68:Y$93,Y$65)+COUNTIF(Y$68:Y70,Y70)-1</f>
        <v>3</v>
      </c>
      <c r="AA70" s="1">
        <f t="shared" ca="1" si="234"/>
        <v>3</v>
      </c>
      <c r="AB70" s="1">
        <f t="shared" ca="1" si="235"/>
        <v>0</v>
      </c>
      <c r="AC70" s="1">
        <f t="shared" ca="1" si="236"/>
        <v>1</v>
      </c>
      <c r="AD70" s="1" t="str">
        <f t="shared" ca="1" si="237"/>
        <v/>
      </c>
      <c r="AE70" s="1" t="str">
        <f t="shared" ca="1" si="238"/>
        <v/>
      </c>
      <c r="AF70" s="1" t="str">
        <f t="shared" ca="1" si="239"/>
        <v/>
      </c>
      <c r="AG70" s="1" t="str">
        <f t="shared" ca="1" si="240"/>
        <v/>
      </c>
      <c r="AK70" s="1" t="e">
        <f>MATCH(CONCATENATE($B70,"_",INDEX($C$4:$C65,AK$65)),lu_DataCode,0)</f>
        <v>#N/A</v>
      </c>
      <c r="AL70" s="1" t="e">
        <f t="shared" ca="1" si="186"/>
        <v>#N/A</v>
      </c>
      <c r="AM70" s="1" t="e">
        <f t="shared" ca="1" si="187"/>
        <v>#N/A</v>
      </c>
      <c r="AN70" s="1">
        <f t="shared" ca="1" si="188"/>
        <v>0</v>
      </c>
      <c r="AO70" s="1">
        <f t="shared" ca="1" si="241"/>
        <v>-10000000000</v>
      </c>
      <c r="AP70" s="1">
        <f ca="1">RANK(AO70,AO$68:AO$93,AO$65)+COUNTIF(AO$68:AO70,AO70)-1</f>
        <v>3</v>
      </c>
      <c r="AQ70" s="1">
        <f t="shared" ca="1" si="242"/>
        <v>3</v>
      </c>
      <c r="AR70" s="1">
        <f t="shared" ca="1" si="243"/>
        <v>0</v>
      </c>
      <c r="AS70" s="1">
        <f t="shared" ca="1" si="244"/>
        <v>1</v>
      </c>
      <c r="AT70" s="1" t="str">
        <f t="shared" ca="1" si="245"/>
        <v/>
      </c>
      <c r="AU70" s="1" t="str">
        <f t="shared" ca="1" si="246"/>
        <v/>
      </c>
      <c r="AV70" s="1" t="str">
        <f t="shared" ca="1" si="247"/>
        <v/>
      </c>
      <c r="AW70" s="1" t="str">
        <f t="shared" ca="1" si="248"/>
        <v/>
      </c>
      <c r="BA70" s="1" t="e">
        <f>MATCH(CONCATENATE($B70,"_",INDEX($C$4:$C65,BA$65)),lu_DataCode,0)</f>
        <v>#N/A</v>
      </c>
      <c r="BB70" s="1" t="e">
        <f t="shared" ca="1" si="189"/>
        <v>#N/A</v>
      </c>
      <c r="BC70" s="1" t="e">
        <f t="shared" ca="1" si="190"/>
        <v>#N/A</v>
      </c>
      <c r="BD70" s="1">
        <f t="shared" ca="1" si="191"/>
        <v>0</v>
      </c>
      <c r="BE70" s="1">
        <f t="shared" ca="1" si="249"/>
        <v>-10000000000</v>
      </c>
      <c r="BF70" s="1">
        <f ca="1">RANK(BE70,BE$68:BE$93,BE$65)+COUNTIF(BE$68:BE70,BE70)-1</f>
        <v>3</v>
      </c>
      <c r="BG70" s="1">
        <f t="shared" ca="1" si="250"/>
        <v>3</v>
      </c>
      <c r="BH70" s="1">
        <f t="shared" ca="1" si="251"/>
        <v>0</v>
      </c>
      <c r="BI70" s="1">
        <f t="shared" ca="1" si="252"/>
        <v>1</v>
      </c>
      <c r="BJ70" s="1" t="str">
        <f t="shared" ca="1" si="253"/>
        <v/>
      </c>
      <c r="BK70" s="1" t="str">
        <f t="shared" ca="1" si="254"/>
        <v/>
      </c>
      <c r="BL70" s="1" t="str">
        <f t="shared" ca="1" si="255"/>
        <v/>
      </c>
      <c r="BM70" s="1" t="str">
        <f t="shared" ca="1" si="256"/>
        <v/>
      </c>
      <c r="BQ70" s="1" t="e">
        <f>MATCH(CONCATENATE($B70,"_",INDEX($C$4:$C65,BQ$65)),lu_DataCode,0)</f>
        <v>#N/A</v>
      </c>
      <c r="BR70" s="1" t="e">
        <f t="shared" ca="1" si="192"/>
        <v>#N/A</v>
      </c>
      <c r="BS70" s="1" t="e">
        <f t="shared" ca="1" si="193"/>
        <v>#N/A</v>
      </c>
      <c r="BT70" s="1">
        <f t="shared" ca="1" si="194"/>
        <v>0</v>
      </c>
      <c r="BU70" s="1">
        <f t="shared" ca="1" si="257"/>
        <v>-10000000000</v>
      </c>
      <c r="BV70" s="1">
        <f ca="1">RANK(BU70,BU$68:BU$93,BU$65)+COUNTIF(BU$68:BU70,BU70)-1</f>
        <v>3</v>
      </c>
      <c r="BW70" s="1">
        <f t="shared" ca="1" si="258"/>
        <v>3</v>
      </c>
      <c r="BX70" s="1">
        <f t="shared" ca="1" si="259"/>
        <v>0</v>
      </c>
      <c r="BY70" s="1">
        <f t="shared" ca="1" si="260"/>
        <v>1</v>
      </c>
      <c r="BZ70" s="1" t="str">
        <f t="shared" ca="1" si="261"/>
        <v/>
      </c>
      <c r="CA70" s="1" t="str">
        <f t="shared" ca="1" si="262"/>
        <v/>
      </c>
      <c r="CB70" s="1" t="str">
        <f t="shared" ca="1" si="263"/>
        <v/>
      </c>
      <c r="CC70" s="1" t="str">
        <f t="shared" ca="1" si="264"/>
        <v/>
      </c>
      <c r="CG70" s="1" t="e">
        <f>MATCH(CONCATENATE($B70,"_",INDEX($C$4:$C65,CG$65)),lu_DataCode,0)</f>
        <v>#N/A</v>
      </c>
      <c r="CH70" s="1" t="e">
        <f t="shared" ca="1" si="195"/>
        <v>#N/A</v>
      </c>
      <c r="CI70" s="1" t="e">
        <f t="shared" ca="1" si="196"/>
        <v>#N/A</v>
      </c>
      <c r="CJ70" s="1">
        <f t="shared" ca="1" si="197"/>
        <v>0</v>
      </c>
      <c r="CK70" s="1">
        <f t="shared" ca="1" si="265"/>
        <v>-10000000000</v>
      </c>
      <c r="CL70" s="1">
        <f ca="1">RANK(CK70,CK$68:CK$93,CK$65)+COUNTIF(CK$68:CK70,CK70)-1</f>
        <v>3</v>
      </c>
      <c r="CM70" s="1">
        <f t="shared" ca="1" si="266"/>
        <v>3</v>
      </c>
      <c r="CN70" s="1">
        <f t="shared" ca="1" si="267"/>
        <v>0</v>
      </c>
      <c r="CO70" s="1">
        <f t="shared" ca="1" si="268"/>
        <v>1</v>
      </c>
      <c r="CP70" s="1" t="str">
        <f t="shared" ca="1" si="269"/>
        <v/>
      </c>
      <c r="CQ70" s="1" t="str">
        <f t="shared" ca="1" si="270"/>
        <v/>
      </c>
      <c r="CR70" s="1" t="str">
        <f t="shared" ca="1" si="271"/>
        <v/>
      </c>
      <c r="CS70" s="1" t="str">
        <f t="shared" ca="1" si="272"/>
        <v/>
      </c>
      <c r="CW70" s="1" t="e">
        <f>MATCH(CONCATENATE($B70,"_",INDEX($C$4:$C65,CW$65)),lu_DataCode,0)</f>
        <v>#N/A</v>
      </c>
      <c r="CX70" s="1" t="e">
        <f t="shared" ca="1" si="198"/>
        <v>#N/A</v>
      </c>
      <c r="CY70" s="1" t="e">
        <f t="shared" ca="1" si="199"/>
        <v>#N/A</v>
      </c>
      <c r="CZ70" s="1">
        <f t="shared" ca="1" si="200"/>
        <v>0</v>
      </c>
      <c r="DA70" s="1">
        <f t="shared" ca="1" si="273"/>
        <v>-10000000000</v>
      </c>
      <c r="DB70" s="1">
        <f ca="1">RANK(DA70,DA$68:DA$93,DA$65)+COUNTIF(DA$68:DA70,DA70)-1</f>
        <v>3</v>
      </c>
      <c r="DC70" s="1">
        <f t="shared" ca="1" si="274"/>
        <v>3</v>
      </c>
      <c r="DD70" s="1">
        <f t="shared" ca="1" si="275"/>
        <v>0</v>
      </c>
      <c r="DE70" s="1">
        <f t="shared" ca="1" si="276"/>
        <v>1</v>
      </c>
      <c r="DF70" s="1" t="str">
        <f t="shared" ca="1" si="277"/>
        <v/>
      </c>
      <c r="DG70" s="1" t="str">
        <f t="shared" ca="1" si="278"/>
        <v/>
      </c>
      <c r="DH70" s="1" t="str">
        <f t="shared" ca="1" si="279"/>
        <v/>
      </c>
      <c r="DI70" s="1" t="str">
        <f t="shared" ca="1" si="280"/>
        <v/>
      </c>
      <c r="DM70" s="1" t="e">
        <f>MATCH(CONCATENATE($B70,"_",INDEX($C$4:$C65,DM$65)),lu_DataCode,0)</f>
        <v>#N/A</v>
      </c>
      <c r="DN70" s="1" t="e">
        <f t="shared" ca="1" si="201"/>
        <v>#N/A</v>
      </c>
      <c r="DO70" s="1" t="e">
        <f t="shared" ca="1" si="202"/>
        <v>#N/A</v>
      </c>
      <c r="DP70" s="1">
        <f t="shared" ca="1" si="203"/>
        <v>0</v>
      </c>
      <c r="DQ70" s="1">
        <f t="shared" ca="1" si="281"/>
        <v>-10000000000</v>
      </c>
      <c r="DR70" s="1">
        <f ca="1">RANK(DQ70,DQ$68:DQ$93,DQ$65)+COUNTIF(DQ$68:DQ70,DQ70)-1</f>
        <v>3</v>
      </c>
      <c r="DS70" s="1">
        <f t="shared" ca="1" si="282"/>
        <v>3</v>
      </c>
      <c r="DT70" s="1">
        <f t="shared" ca="1" si="283"/>
        <v>0</v>
      </c>
      <c r="DU70" s="1">
        <f t="shared" ca="1" si="284"/>
        <v>1</v>
      </c>
      <c r="DV70" s="1" t="str">
        <f t="shared" ca="1" si="285"/>
        <v/>
      </c>
      <c r="DW70" s="1" t="str">
        <f t="shared" ca="1" si="286"/>
        <v/>
      </c>
      <c r="DX70" s="1" t="str">
        <f t="shared" ca="1" si="287"/>
        <v/>
      </c>
      <c r="DY70" s="1" t="str">
        <f t="shared" ca="1" si="288"/>
        <v/>
      </c>
      <c r="EC70" s="1" t="e">
        <f>MATCH(CONCATENATE($B70,"_",INDEX($C$4:$C65,EC$65)),lu_DataCode,0)</f>
        <v>#N/A</v>
      </c>
      <c r="ED70" s="1" t="e">
        <f t="shared" ca="1" si="204"/>
        <v>#N/A</v>
      </c>
      <c r="EE70" s="1" t="e">
        <f t="shared" ca="1" si="205"/>
        <v>#N/A</v>
      </c>
      <c r="EF70" s="1">
        <f t="shared" ca="1" si="206"/>
        <v>0</v>
      </c>
      <c r="EG70" s="1">
        <f t="shared" ca="1" si="289"/>
        <v>-10000000000</v>
      </c>
      <c r="EH70" s="1">
        <f ca="1">RANK(EG70,EG$68:EG$93,EG$65)+COUNTIF(EG$68:EG70,EG70)-1</f>
        <v>3</v>
      </c>
      <c r="EI70" s="1">
        <f t="shared" ca="1" si="290"/>
        <v>3</v>
      </c>
      <c r="EJ70" s="1">
        <f t="shared" ca="1" si="291"/>
        <v>0</v>
      </c>
      <c r="EK70" s="1">
        <f t="shared" ca="1" si="292"/>
        <v>1</v>
      </c>
      <c r="EL70" s="1" t="str">
        <f t="shared" ca="1" si="293"/>
        <v/>
      </c>
      <c r="EM70" s="1" t="str">
        <f t="shared" ca="1" si="294"/>
        <v/>
      </c>
      <c r="EN70" s="1" t="str">
        <f t="shared" ca="1" si="295"/>
        <v/>
      </c>
      <c r="EO70" s="1" t="str">
        <f t="shared" ca="1" si="296"/>
        <v/>
      </c>
      <c r="ES70" s="1" t="e">
        <f>MATCH(CONCATENATE($B70,"_",INDEX($C$4:$C65,ES$65)),lu_DataCode,0)</f>
        <v>#N/A</v>
      </c>
      <c r="ET70" s="1" t="e">
        <f t="shared" ca="1" si="207"/>
        <v>#N/A</v>
      </c>
      <c r="EU70" s="1" t="e">
        <f t="shared" ca="1" si="208"/>
        <v>#N/A</v>
      </c>
      <c r="EV70" s="1">
        <f t="shared" ca="1" si="209"/>
        <v>0</v>
      </c>
      <c r="EW70" s="1">
        <f t="shared" ca="1" si="297"/>
        <v>-10000000000</v>
      </c>
      <c r="EX70" s="1">
        <f ca="1">RANK(EW70,EW$68:EW$93,EW$65)+COUNTIF(EW$68:EW70,EW70)-1</f>
        <v>3</v>
      </c>
      <c r="EY70" s="1">
        <f t="shared" ca="1" si="298"/>
        <v>3</v>
      </c>
      <c r="EZ70" s="1">
        <f t="shared" ca="1" si="299"/>
        <v>0</v>
      </c>
      <c r="FA70" s="1">
        <f t="shared" ca="1" si="300"/>
        <v>1</v>
      </c>
      <c r="FB70" s="1" t="str">
        <f t="shared" ca="1" si="301"/>
        <v/>
      </c>
      <c r="FC70" s="1" t="str">
        <f t="shared" ca="1" si="302"/>
        <v/>
      </c>
      <c r="FD70" s="1" t="str">
        <f t="shared" ca="1" si="303"/>
        <v/>
      </c>
      <c r="FE70" s="1" t="str">
        <f t="shared" ca="1" si="304"/>
        <v/>
      </c>
      <c r="FI70" s="1" t="e">
        <f>MATCH(CONCATENATE($B70,"_",INDEX($C$4:$C65,FI$65)),lu_DataCode,0)</f>
        <v>#N/A</v>
      </c>
      <c r="FJ70" s="1" t="e">
        <f t="shared" ca="1" si="210"/>
        <v>#N/A</v>
      </c>
      <c r="FK70" s="1" t="e">
        <f t="shared" ca="1" si="211"/>
        <v>#N/A</v>
      </c>
      <c r="FL70" s="1">
        <f t="shared" ca="1" si="212"/>
        <v>0</v>
      </c>
      <c r="FM70" s="1">
        <f t="shared" ca="1" si="305"/>
        <v>-10000000000</v>
      </c>
      <c r="FN70" s="1">
        <f ca="1">RANK(FM70,FM$68:FM$93,FM$65)+COUNTIF(FM$68:FM70,FM70)-1</f>
        <v>3</v>
      </c>
      <c r="FO70" s="1">
        <f t="shared" ca="1" si="306"/>
        <v>3</v>
      </c>
      <c r="FP70" s="1">
        <f t="shared" ca="1" si="307"/>
        <v>0</v>
      </c>
      <c r="FQ70" s="1">
        <f t="shared" ca="1" si="308"/>
        <v>1</v>
      </c>
      <c r="FR70" s="1" t="str">
        <f t="shared" ca="1" si="309"/>
        <v/>
      </c>
      <c r="FS70" s="1" t="str">
        <f t="shared" ca="1" si="310"/>
        <v/>
      </c>
      <c r="FT70" s="1" t="str">
        <f t="shared" ca="1" si="311"/>
        <v/>
      </c>
      <c r="FU70" s="1" t="str">
        <f t="shared" ca="1" si="312"/>
        <v/>
      </c>
      <c r="FY70" s="1" t="e">
        <f>MATCH(CONCATENATE($B70,"_",INDEX($C$4:$C65,FY$65)),lu_DataCode,0)</f>
        <v>#N/A</v>
      </c>
      <c r="FZ70" s="1" t="e">
        <f t="shared" ca="1" si="213"/>
        <v>#N/A</v>
      </c>
      <c r="GA70" s="1" t="e">
        <f t="shared" ca="1" si="214"/>
        <v>#N/A</v>
      </c>
      <c r="GB70" s="1">
        <f t="shared" ca="1" si="215"/>
        <v>0</v>
      </c>
      <c r="GC70" s="1">
        <f t="shared" ca="1" si="313"/>
        <v>-10000000000</v>
      </c>
      <c r="GD70" s="1">
        <f ca="1">RANK(GC70,GC$68:GC$93,GC$65)+COUNTIF(GC$68:GC70,GC70)-1</f>
        <v>3</v>
      </c>
      <c r="GE70" s="1">
        <f t="shared" ca="1" si="314"/>
        <v>3</v>
      </c>
      <c r="GF70" s="1">
        <f t="shared" ca="1" si="315"/>
        <v>0</v>
      </c>
      <c r="GG70" s="1">
        <f t="shared" ca="1" si="316"/>
        <v>1</v>
      </c>
      <c r="GH70" s="1" t="str">
        <f t="shared" ca="1" si="317"/>
        <v/>
      </c>
      <c r="GI70" s="1" t="str">
        <f t="shared" ca="1" si="318"/>
        <v/>
      </c>
      <c r="GJ70" s="1" t="str">
        <f t="shared" ca="1" si="319"/>
        <v/>
      </c>
      <c r="GK70" s="1" t="str">
        <f t="shared" ca="1" si="320"/>
        <v/>
      </c>
      <c r="GO70" s="1" t="e">
        <f>MATCH(CONCATENATE($B70,"_",INDEX($C$4:$C65,GO$65)),lu_DataCode,0)</f>
        <v>#N/A</v>
      </c>
      <c r="GP70" s="1" t="e">
        <f t="shared" ca="1" si="216"/>
        <v>#N/A</v>
      </c>
      <c r="GQ70" s="1" t="e">
        <f t="shared" ca="1" si="217"/>
        <v>#N/A</v>
      </c>
      <c r="GR70" s="1">
        <f t="shared" ca="1" si="218"/>
        <v>0</v>
      </c>
      <c r="GS70" s="1">
        <f t="shared" ca="1" si="321"/>
        <v>-10000000000</v>
      </c>
      <c r="GT70" s="1">
        <f ca="1">RANK(GS70,GS$68:GS$93,GS$65)+COUNTIF(GS$68:GS70,GS70)-1</f>
        <v>3</v>
      </c>
      <c r="GU70" s="1">
        <f t="shared" ca="1" si="322"/>
        <v>3</v>
      </c>
      <c r="GV70" s="1">
        <f t="shared" ca="1" si="323"/>
        <v>0</v>
      </c>
      <c r="GW70" s="1">
        <f t="shared" ca="1" si="324"/>
        <v>1</v>
      </c>
      <c r="GX70" s="1" t="str">
        <f t="shared" ca="1" si="325"/>
        <v/>
      </c>
      <c r="GY70" s="1" t="str">
        <f t="shared" ca="1" si="326"/>
        <v/>
      </c>
      <c r="GZ70" s="1" t="str">
        <f t="shared" ca="1" si="327"/>
        <v/>
      </c>
      <c r="HA70" s="1" t="str">
        <f t="shared" ca="1" si="328"/>
        <v/>
      </c>
      <c r="HE70" s="1" t="e">
        <f>MATCH(CONCATENATE($B70,"_",INDEX($C$4:$C65,HE$65)),lu_DataCode,0)</f>
        <v>#N/A</v>
      </c>
      <c r="HF70" s="1" t="e">
        <f t="shared" ca="1" si="219"/>
        <v>#N/A</v>
      </c>
      <c r="HG70" s="1" t="e">
        <f t="shared" ca="1" si="220"/>
        <v>#N/A</v>
      </c>
      <c r="HH70" s="1">
        <f t="shared" ca="1" si="221"/>
        <v>0</v>
      </c>
      <c r="HI70" s="1">
        <f t="shared" ca="1" si="329"/>
        <v>-10000000000</v>
      </c>
      <c r="HJ70" s="1">
        <f ca="1">RANK(HI70,HI$68:HI$93,HI$65)+COUNTIF(HI$68:HI70,HI70)-1</f>
        <v>3</v>
      </c>
      <c r="HK70" s="1">
        <f t="shared" ca="1" si="330"/>
        <v>3</v>
      </c>
      <c r="HL70" s="1">
        <f t="shared" ca="1" si="331"/>
        <v>0</v>
      </c>
      <c r="HM70" s="1">
        <f t="shared" ca="1" si="332"/>
        <v>1</v>
      </c>
      <c r="HN70" s="1" t="str">
        <f t="shared" ca="1" si="333"/>
        <v/>
      </c>
      <c r="HO70" s="1" t="str">
        <f t="shared" ca="1" si="334"/>
        <v/>
      </c>
      <c r="HP70" s="1" t="str">
        <f t="shared" ca="1" si="335"/>
        <v/>
      </c>
      <c r="HQ70" s="1" t="str">
        <f t="shared" ca="1" si="336"/>
        <v/>
      </c>
      <c r="HU70" s="1" t="e">
        <f>MATCH(CONCATENATE($B70,"_",INDEX($C$4:$C65,HU$65)),lu_DataCode,0)</f>
        <v>#N/A</v>
      </c>
      <c r="HV70" s="1" t="e">
        <f t="shared" ca="1" si="222"/>
        <v>#N/A</v>
      </c>
      <c r="HW70" s="1" t="e">
        <f t="shared" ca="1" si="223"/>
        <v>#N/A</v>
      </c>
      <c r="HX70" s="1">
        <f t="shared" ca="1" si="224"/>
        <v>0</v>
      </c>
      <c r="HY70" s="1">
        <f t="shared" ca="1" si="337"/>
        <v>-10000000000</v>
      </c>
      <c r="HZ70" s="1">
        <f ca="1">RANK(HY70,HY$68:HY$93,HY$65)+COUNTIF(HY$68:HY70,HY70)-1</f>
        <v>3</v>
      </c>
      <c r="IA70" s="1">
        <f t="shared" ca="1" si="338"/>
        <v>3</v>
      </c>
      <c r="IB70" s="1">
        <f t="shared" ca="1" si="339"/>
        <v>0</v>
      </c>
      <c r="IC70" s="1">
        <f t="shared" ca="1" si="340"/>
        <v>1</v>
      </c>
      <c r="ID70" s="1" t="str">
        <f t="shared" ca="1" si="341"/>
        <v/>
      </c>
      <c r="IE70" s="1" t="str">
        <f t="shared" ca="1" si="342"/>
        <v/>
      </c>
      <c r="IF70" s="1" t="str">
        <f t="shared" ca="1" si="343"/>
        <v/>
      </c>
      <c r="IG70" s="1" t="str">
        <f t="shared" ca="1" si="344"/>
        <v/>
      </c>
    </row>
    <row r="71" spans="1:241" ht="10.15" x14ac:dyDescent="0.2">
      <c r="A71" s="1">
        <f t="shared" si="179"/>
        <v>4</v>
      </c>
      <c r="B71" s="1" t="str">
        <f t="shared" si="179"/>
        <v>NAC_BZ_1</v>
      </c>
      <c r="C71" s="1" t="str">
        <f t="shared" si="179"/>
        <v>Belize</v>
      </c>
      <c r="D71" s="1">
        <f t="shared" si="179"/>
        <v>1</v>
      </c>
      <c r="E71" s="1" t="e">
        <f>MATCH(CONCATENATE($B71,"_",INDEX($C$4:$C66,E$65)),lu_DataCode,0)</f>
        <v>#N/A</v>
      </c>
      <c r="F71" s="1" t="e">
        <f t="shared" ca="1" si="180"/>
        <v>#N/A</v>
      </c>
      <c r="G71" s="1" t="e">
        <f t="shared" ca="1" si="181"/>
        <v>#N/A</v>
      </c>
      <c r="H71" s="1">
        <f t="shared" ca="1" si="182"/>
        <v>0</v>
      </c>
      <c r="I71" s="1">
        <f t="shared" ca="1" si="225"/>
        <v>-10000000000</v>
      </c>
      <c r="J71" s="1">
        <f ca="1">RANK(I71,I$68:I$93,I$65)+COUNTIF(I$68:I71,I71)-1</f>
        <v>4</v>
      </c>
      <c r="K71" s="1">
        <f t="shared" ca="1" si="226"/>
        <v>4</v>
      </c>
      <c r="L71" s="1">
        <f t="shared" ca="1" si="227"/>
        <v>0</v>
      </c>
      <c r="M71" s="1">
        <f t="shared" ca="1" si="228"/>
        <v>1</v>
      </c>
      <c r="N71" s="1" t="str">
        <f t="shared" ca="1" si="229"/>
        <v/>
      </c>
      <c r="O71" s="1" t="str">
        <f t="shared" ca="1" si="230"/>
        <v/>
      </c>
      <c r="P71" s="1" t="str">
        <f t="shared" ca="1" si="231"/>
        <v/>
      </c>
      <c r="Q71" s="1" t="str">
        <f t="shared" ca="1" si="232"/>
        <v/>
      </c>
      <c r="U71" s="1" t="e">
        <f>MATCH(CONCATENATE($B71,"_",INDEX($C$4:$C66,U$65)),lu_DataCode,0)</f>
        <v>#N/A</v>
      </c>
      <c r="V71" s="1" t="e">
        <f t="shared" ca="1" si="183"/>
        <v>#N/A</v>
      </c>
      <c r="W71" s="1" t="e">
        <f t="shared" ca="1" si="184"/>
        <v>#N/A</v>
      </c>
      <c r="X71" s="1">
        <f t="shared" ca="1" si="185"/>
        <v>0</v>
      </c>
      <c r="Y71" s="1">
        <f t="shared" ca="1" si="233"/>
        <v>-10000000000</v>
      </c>
      <c r="Z71" s="1">
        <f ca="1">RANK(Y71,Y$68:Y$93,Y$65)+COUNTIF(Y$68:Y71,Y71)-1</f>
        <v>4</v>
      </c>
      <c r="AA71" s="1">
        <f t="shared" ca="1" si="234"/>
        <v>4</v>
      </c>
      <c r="AB71" s="1">
        <f t="shared" ca="1" si="235"/>
        <v>0</v>
      </c>
      <c r="AC71" s="1">
        <f t="shared" ca="1" si="236"/>
        <v>1</v>
      </c>
      <c r="AD71" s="1" t="str">
        <f t="shared" ca="1" si="237"/>
        <v/>
      </c>
      <c r="AE71" s="1" t="str">
        <f t="shared" ca="1" si="238"/>
        <v/>
      </c>
      <c r="AF71" s="1" t="str">
        <f t="shared" ca="1" si="239"/>
        <v/>
      </c>
      <c r="AG71" s="1" t="str">
        <f t="shared" ca="1" si="240"/>
        <v/>
      </c>
      <c r="AK71" s="1" t="e">
        <f>MATCH(CONCATENATE($B71,"_",INDEX($C$4:$C66,AK$65)),lu_DataCode,0)</f>
        <v>#N/A</v>
      </c>
      <c r="AL71" s="1" t="e">
        <f t="shared" ca="1" si="186"/>
        <v>#N/A</v>
      </c>
      <c r="AM71" s="1" t="e">
        <f t="shared" ca="1" si="187"/>
        <v>#N/A</v>
      </c>
      <c r="AN71" s="1">
        <f t="shared" ca="1" si="188"/>
        <v>0</v>
      </c>
      <c r="AO71" s="1">
        <f t="shared" ca="1" si="241"/>
        <v>-10000000000</v>
      </c>
      <c r="AP71" s="1">
        <f ca="1">RANK(AO71,AO$68:AO$93,AO$65)+COUNTIF(AO$68:AO71,AO71)-1</f>
        <v>4</v>
      </c>
      <c r="AQ71" s="1">
        <f t="shared" ca="1" si="242"/>
        <v>4</v>
      </c>
      <c r="AR71" s="1">
        <f t="shared" ca="1" si="243"/>
        <v>0</v>
      </c>
      <c r="AS71" s="1">
        <f t="shared" ca="1" si="244"/>
        <v>1</v>
      </c>
      <c r="AT71" s="1" t="str">
        <f t="shared" ca="1" si="245"/>
        <v/>
      </c>
      <c r="AU71" s="1" t="str">
        <f t="shared" ca="1" si="246"/>
        <v/>
      </c>
      <c r="AV71" s="1" t="str">
        <f t="shared" ca="1" si="247"/>
        <v/>
      </c>
      <c r="AW71" s="1" t="str">
        <f t="shared" ca="1" si="248"/>
        <v/>
      </c>
      <c r="BA71" s="1" t="e">
        <f>MATCH(CONCATENATE($B71,"_",INDEX($C$4:$C66,BA$65)),lu_DataCode,0)</f>
        <v>#N/A</v>
      </c>
      <c r="BB71" s="1" t="e">
        <f t="shared" ca="1" si="189"/>
        <v>#N/A</v>
      </c>
      <c r="BC71" s="1" t="e">
        <f t="shared" ca="1" si="190"/>
        <v>#N/A</v>
      </c>
      <c r="BD71" s="1">
        <f t="shared" ca="1" si="191"/>
        <v>0</v>
      </c>
      <c r="BE71" s="1">
        <f t="shared" ca="1" si="249"/>
        <v>-10000000000</v>
      </c>
      <c r="BF71" s="1">
        <f ca="1">RANK(BE71,BE$68:BE$93,BE$65)+COUNTIF(BE$68:BE71,BE71)-1</f>
        <v>4</v>
      </c>
      <c r="BG71" s="1">
        <f t="shared" ca="1" si="250"/>
        <v>4</v>
      </c>
      <c r="BH71" s="1">
        <f t="shared" ca="1" si="251"/>
        <v>0</v>
      </c>
      <c r="BI71" s="1">
        <f t="shared" ca="1" si="252"/>
        <v>1</v>
      </c>
      <c r="BJ71" s="1" t="str">
        <f t="shared" ca="1" si="253"/>
        <v/>
      </c>
      <c r="BK71" s="1" t="str">
        <f t="shared" ca="1" si="254"/>
        <v/>
      </c>
      <c r="BL71" s="1" t="str">
        <f t="shared" ca="1" si="255"/>
        <v/>
      </c>
      <c r="BM71" s="1" t="str">
        <f t="shared" ca="1" si="256"/>
        <v/>
      </c>
      <c r="BQ71" s="1" t="e">
        <f>MATCH(CONCATENATE($B71,"_",INDEX($C$4:$C66,BQ$65)),lu_DataCode,0)</f>
        <v>#N/A</v>
      </c>
      <c r="BR71" s="1" t="e">
        <f t="shared" ca="1" si="192"/>
        <v>#N/A</v>
      </c>
      <c r="BS71" s="1" t="e">
        <f t="shared" ca="1" si="193"/>
        <v>#N/A</v>
      </c>
      <c r="BT71" s="1">
        <f t="shared" ca="1" si="194"/>
        <v>0</v>
      </c>
      <c r="BU71" s="1">
        <f t="shared" ca="1" si="257"/>
        <v>-10000000000</v>
      </c>
      <c r="BV71" s="1">
        <f ca="1">RANK(BU71,BU$68:BU$93,BU$65)+COUNTIF(BU$68:BU71,BU71)-1</f>
        <v>4</v>
      </c>
      <c r="BW71" s="1">
        <f t="shared" ca="1" si="258"/>
        <v>4</v>
      </c>
      <c r="BX71" s="1">
        <f t="shared" ca="1" si="259"/>
        <v>0</v>
      </c>
      <c r="BY71" s="1">
        <f t="shared" ca="1" si="260"/>
        <v>1</v>
      </c>
      <c r="BZ71" s="1" t="str">
        <f t="shared" ca="1" si="261"/>
        <v/>
      </c>
      <c r="CA71" s="1" t="str">
        <f t="shared" ca="1" si="262"/>
        <v/>
      </c>
      <c r="CB71" s="1" t="str">
        <f t="shared" ca="1" si="263"/>
        <v/>
      </c>
      <c r="CC71" s="1" t="str">
        <f t="shared" ca="1" si="264"/>
        <v/>
      </c>
      <c r="CG71" s="1" t="e">
        <f>MATCH(CONCATENATE($B71,"_",INDEX($C$4:$C66,CG$65)),lu_DataCode,0)</f>
        <v>#N/A</v>
      </c>
      <c r="CH71" s="1" t="e">
        <f t="shared" ca="1" si="195"/>
        <v>#N/A</v>
      </c>
      <c r="CI71" s="1" t="e">
        <f t="shared" ca="1" si="196"/>
        <v>#N/A</v>
      </c>
      <c r="CJ71" s="1">
        <f t="shared" ca="1" si="197"/>
        <v>0</v>
      </c>
      <c r="CK71" s="1">
        <f t="shared" ca="1" si="265"/>
        <v>-10000000000</v>
      </c>
      <c r="CL71" s="1">
        <f ca="1">RANK(CK71,CK$68:CK$93,CK$65)+COUNTIF(CK$68:CK71,CK71)-1</f>
        <v>4</v>
      </c>
      <c r="CM71" s="1">
        <f t="shared" ca="1" si="266"/>
        <v>4</v>
      </c>
      <c r="CN71" s="1">
        <f t="shared" ca="1" si="267"/>
        <v>0</v>
      </c>
      <c r="CO71" s="1">
        <f t="shared" ca="1" si="268"/>
        <v>1</v>
      </c>
      <c r="CP71" s="1" t="str">
        <f t="shared" ca="1" si="269"/>
        <v/>
      </c>
      <c r="CQ71" s="1" t="str">
        <f t="shared" ca="1" si="270"/>
        <v/>
      </c>
      <c r="CR71" s="1" t="str">
        <f t="shared" ca="1" si="271"/>
        <v/>
      </c>
      <c r="CS71" s="1" t="str">
        <f t="shared" ca="1" si="272"/>
        <v/>
      </c>
      <c r="CW71" s="1" t="e">
        <f>MATCH(CONCATENATE($B71,"_",INDEX($C$4:$C66,CW$65)),lu_DataCode,0)</f>
        <v>#N/A</v>
      </c>
      <c r="CX71" s="1" t="e">
        <f t="shared" ca="1" si="198"/>
        <v>#N/A</v>
      </c>
      <c r="CY71" s="1" t="e">
        <f t="shared" ca="1" si="199"/>
        <v>#N/A</v>
      </c>
      <c r="CZ71" s="1">
        <f t="shared" ca="1" si="200"/>
        <v>0</v>
      </c>
      <c r="DA71" s="1">
        <f t="shared" ca="1" si="273"/>
        <v>-10000000000</v>
      </c>
      <c r="DB71" s="1">
        <f ca="1">RANK(DA71,DA$68:DA$93,DA$65)+COUNTIF(DA$68:DA71,DA71)-1</f>
        <v>4</v>
      </c>
      <c r="DC71" s="1">
        <f t="shared" ca="1" si="274"/>
        <v>4</v>
      </c>
      <c r="DD71" s="1">
        <f t="shared" ca="1" si="275"/>
        <v>0</v>
      </c>
      <c r="DE71" s="1">
        <f t="shared" ca="1" si="276"/>
        <v>1</v>
      </c>
      <c r="DF71" s="1" t="str">
        <f t="shared" ca="1" si="277"/>
        <v/>
      </c>
      <c r="DG71" s="1" t="str">
        <f t="shared" ca="1" si="278"/>
        <v/>
      </c>
      <c r="DH71" s="1" t="str">
        <f t="shared" ca="1" si="279"/>
        <v/>
      </c>
      <c r="DI71" s="1" t="str">
        <f t="shared" ca="1" si="280"/>
        <v/>
      </c>
      <c r="DM71" s="1" t="e">
        <f>MATCH(CONCATENATE($B71,"_",INDEX($C$4:$C66,DM$65)),lu_DataCode,0)</f>
        <v>#N/A</v>
      </c>
      <c r="DN71" s="1" t="e">
        <f t="shared" ca="1" si="201"/>
        <v>#N/A</v>
      </c>
      <c r="DO71" s="1" t="e">
        <f t="shared" ca="1" si="202"/>
        <v>#N/A</v>
      </c>
      <c r="DP71" s="1">
        <f t="shared" ca="1" si="203"/>
        <v>0</v>
      </c>
      <c r="DQ71" s="1">
        <f t="shared" ca="1" si="281"/>
        <v>-10000000000</v>
      </c>
      <c r="DR71" s="1">
        <f ca="1">RANK(DQ71,DQ$68:DQ$93,DQ$65)+COUNTIF(DQ$68:DQ71,DQ71)-1</f>
        <v>4</v>
      </c>
      <c r="DS71" s="1">
        <f t="shared" ca="1" si="282"/>
        <v>4</v>
      </c>
      <c r="DT71" s="1">
        <f t="shared" ca="1" si="283"/>
        <v>0</v>
      </c>
      <c r="DU71" s="1">
        <f t="shared" ca="1" si="284"/>
        <v>1</v>
      </c>
      <c r="DV71" s="1" t="str">
        <f t="shared" ca="1" si="285"/>
        <v/>
      </c>
      <c r="DW71" s="1" t="str">
        <f t="shared" ca="1" si="286"/>
        <v/>
      </c>
      <c r="DX71" s="1" t="str">
        <f t="shared" ca="1" si="287"/>
        <v/>
      </c>
      <c r="DY71" s="1" t="str">
        <f t="shared" ca="1" si="288"/>
        <v/>
      </c>
      <c r="EC71" s="1" t="e">
        <f>MATCH(CONCATENATE($B71,"_",INDEX($C$4:$C66,EC$65)),lu_DataCode,0)</f>
        <v>#N/A</v>
      </c>
      <c r="ED71" s="1" t="e">
        <f t="shared" ca="1" si="204"/>
        <v>#N/A</v>
      </c>
      <c r="EE71" s="1" t="e">
        <f t="shared" ca="1" si="205"/>
        <v>#N/A</v>
      </c>
      <c r="EF71" s="1">
        <f t="shared" ca="1" si="206"/>
        <v>0</v>
      </c>
      <c r="EG71" s="1">
        <f t="shared" ca="1" si="289"/>
        <v>-10000000000</v>
      </c>
      <c r="EH71" s="1">
        <f ca="1">RANK(EG71,EG$68:EG$93,EG$65)+COUNTIF(EG$68:EG71,EG71)-1</f>
        <v>4</v>
      </c>
      <c r="EI71" s="1">
        <f t="shared" ca="1" si="290"/>
        <v>4</v>
      </c>
      <c r="EJ71" s="1">
        <f t="shared" ca="1" si="291"/>
        <v>0</v>
      </c>
      <c r="EK71" s="1">
        <f t="shared" ca="1" si="292"/>
        <v>1</v>
      </c>
      <c r="EL71" s="1" t="str">
        <f t="shared" ca="1" si="293"/>
        <v/>
      </c>
      <c r="EM71" s="1" t="str">
        <f t="shared" ca="1" si="294"/>
        <v/>
      </c>
      <c r="EN71" s="1" t="str">
        <f t="shared" ca="1" si="295"/>
        <v/>
      </c>
      <c r="EO71" s="1" t="str">
        <f t="shared" ca="1" si="296"/>
        <v/>
      </c>
      <c r="ES71" s="1" t="e">
        <f>MATCH(CONCATENATE($B71,"_",INDEX($C$4:$C66,ES$65)),lu_DataCode,0)</f>
        <v>#N/A</v>
      </c>
      <c r="ET71" s="1" t="e">
        <f t="shared" ca="1" si="207"/>
        <v>#N/A</v>
      </c>
      <c r="EU71" s="1" t="e">
        <f t="shared" ca="1" si="208"/>
        <v>#N/A</v>
      </c>
      <c r="EV71" s="1">
        <f t="shared" ca="1" si="209"/>
        <v>0</v>
      </c>
      <c r="EW71" s="1">
        <f t="shared" ca="1" si="297"/>
        <v>-10000000000</v>
      </c>
      <c r="EX71" s="1">
        <f ca="1">RANK(EW71,EW$68:EW$93,EW$65)+COUNTIF(EW$68:EW71,EW71)-1</f>
        <v>4</v>
      </c>
      <c r="EY71" s="1">
        <f t="shared" ca="1" si="298"/>
        <v>4</v>
      </c>
      <c r="EZ71" s="1">
        <f t="shared" ca="1" si="299"/>
        <v>0</v>
      </c>
      <c r="FA71" s="1">
        <f t="shared" ca="1" si="300"/>
        <v>1</v>
      </c>
      <c r="FB71" s="1" t="str">
        <f t="shared" ca="1" si="301"/>
        <v/>
      </c>
      <c r="FC71" s="1" t="str">
        <f t="shared" ca="1" si="302"/>
        <v/>
      </c>
      <c r="FD71" s="1" t="str">
        <f t="shared" ca="1" si="303"/>
        <v/>
      </c>
      <c r="FE71" s="1" t="str">
        <f t="shared" ca="1" si="304"/>
        <v/>
      </c>
      <c r="FI71" s="1" t="e">
        <f>MATCH(CONCATENATE($B71,"_",INDEX($C$4:$C66,FI$65)),lu_DataCode,0)</f>
        <v>#N/A</v>
      </c>
      <c r="FJ71" s="1" t="e">
        <f t="shared" ca="1" si="210"/>
        <v>#N/A</v>
      </c>
      <c r="FK71" s="1" t="e">
        <f t="shared" ca="1" si="211"/>
        <v>#N/A</v>
      </c>
      <c r="FL71" s="1">
        <f t="shared" ca="1" si="212"/>
        <v>0</v>
      </c>
      <c r="FM71" s="1">
        <f t="shared" ca="1" si="305"/>
        <v>-10000000000</v>
      </c>
      <c r="FN71" s="1">
        <f ca="1">RANK(FM71,FM$68:FM$93,FM$65)+COUNTIF(FM$68:FM71,FM71)-1</f>
        <v>4</v>
      </c>
      <c r="FO71" s="1">
        <f t="shared" ca="1" si="306"/>
        <v>4</v>
      </c>
      <c r="FP71" s="1">
        <f t="shared" ca="1" si="307"/>
        <v>0</v>
      </c>
      <c r="FQ71" s="1">
        <f t="shared" ca="1" si="308"/>
        <v>1</v>
      </c>
      <c r="FR71" s="1" t="str">
        <f t="shared" ca="1" si="309"/>
        <v/>
      </c>
      <c r="FS71" s="1" t="str">
        <f t="shared" ca="1" si="310"/>
        <v/>
      </c>
      <c r="FT71" s="1" t="str">
        <f t="shared" ca="1" si="311"/>
        <v/>
      </c>
      <c r="FU71" s="1" t="str">
        <f t="shared" ca="1" si="312"/>
        <v/>
      </c>
      <c r="FY71" s="1" t="e">
        <f>MATCH(CONCATENATE($B71,"_",INDEX($C$4:$C66,FY$65)),lu_DataCode,0)</f>
        <v>#N/A</v>
      </c>
      <c r="FZ71" s="1" t="e">
        <f t="shared" ca="1" si="213"/>
        <v>#N/A</v>
      </c>
      <c r="GA71" s="1" t="e">
        <f t="shared" ca="1" si="214"/>
        <v>#N/A</v>
      </c>
      <c r="GB71" s="1">
        <f t="shared" ca="1" si="215"/>
        <v>0</v>
      </c>
      <c r="GC71" s="1">
        <f t="shared" ca="1" si="313"/>
        <v>-10000000000</v>
      </c>
      <c r="GD71" s="1">
        <f ca="1">RANK(GC71,GC$68:GC$93,GC$65)+COUNTIF(GC$68:GC71,GC71)-1</f>
        <v>4</v>
      </c>
      <c r="GE71" s="1">
        <f t="shared" ca="1" si="314"/>
        <v>4</v>
      </c>
      <c r="GF71" s="1">
        <f t="shared" ca="1" si="315"/>
        <v>0</v>
      </c>
      <c r="GG71" s="1">
        <f t="shared" ca="1" si="316"/>
        <v>1</v>
      </c>
      <c r="GH71" s="1" t="str">
        <f t="shared" ca="1" si="317"/>
        <v/>
      </c>
      <c r="GI71" s="1" t="str">
        <f t="shared" ca="1" si="318"/>
        <v/>
      </c>
      <c r="GJ71" s="1" t="str">
        <f t="shared" ca="1" si="319"/>
        <v/>
      </c>
      <c r="GK71" s="1" t="str">
        <f t="shared" ca="1" si="320"/>
        <v/>
      </c>
      <c r="GO71" s="1" t="e">
        <f>MATCH(CONCATENATE($B71,"_",INDEX($C$4:$C66,GO$65)),lu_DataCode,0)</f>
        <v>#N/A</v>
      </c>
      <c r="GP71" s="1" t="e">
        <f t="shared" ca="1" si="216"/>
        <v>#N/A</v>
      </c>
      <c r="GQ71" s="1" t="e">
        <f t="shared" ca="1" si="217"/>
        <v>#N/A</v>
      </c>
      <c r="GR71" s="1">
        <f t="shared" ca="1" si="218"/>
        <v>0</v>
      </c>
      <c r="GS71" s="1">
        <f t="shared" ca="1" si="321"/>
        <v>-10000000000</v>
      </c>
      <c r="GT71" s="1">
        <f ca="1">RANK(GS71,GS$68:GS$93,GS$65)+COUNTIF(GS$68:GS71,GS71)-1</f>
        <v>4</v>
      </c>
      <c r="GU71" s="1">
        <f t="shared" ca="1" si="322"/>
        <v>4</v>
      </c>
      <c r="GV71" s="1">
        <f t="shared" ca="1" si="323"/>
        <v>0</v>
      </c>
      <c r="GW71" s="1">
        <f t="shared" ca="1" si="324"/>
        <v>1</v>
      </c>
      <c r="GX71" s="1" t="str">
        <f t="shared" ca="1" si="325"/>
        <v/>
      </c>
      <c r="GY71" s="1" t="str">
        <f t="shared" ca="1" si="326"/>
        <v/>
      </c>
      <c r="GZ71" s="1" t="str">
        <f t="shared" ca="1" si="327"/>
        <v/>
      </c>
      <c r="HA71" s="1" t="str">
        <f t="shared" ca="1" si="328"/>
        <v/>
      </c>
      <c r="HE71" s="1" t="e">
        <f>MATCH(CONCATENATE($B71,"_",INDEX($C$4:$C66,HE$65)),lu_DataCode,0)</f>
        <v>#N/A</v>
      </c>
      <c r="HF71" s="1" t="e">
        <f t="shared" ca="1" si="219"/>
        <v>#N/A</v>
      </c>
      <c r="HG71" s="1" t="e">
        <f t="shared" ca="1" si="220"/>
        <v>#N/A</v>
      </c>
      <c r="HH71" s="1">
        <f t="shared" ca="1" si="221"/>
        <v>0</v>
      </c>
      <c r="HI71" s="1">
        <f t="shared" ca="1" si="329"/>
        <v>-10000000000</v>
      </c>
      <c r="HJ71" s="1">
        <f ca="1">RANK(HI71,HI$68:HI$93,HI$65)+COUNTIF(HI$68:HI71,HI71)-1</f>
        <v>4</v>
      </c>
      <c r="HK71" s="1">
        <f t="shared" ca="1" si="330"/>
        <v>4</v>
      </c>
      <c r="HL71" s="1">
        <f t="shared" ca="1" si="331"/>
        <v>0</v>
      </c>
      <c r="HM71" s="1">
        <f t="shared" ca="1" si="332"/>
        <v>1</v>
      </c>
      <c r="HN71" s="1" t="str">
        <f t="shared" ca="1" si="333"/>
        <v/>
      </c>
      <c r="HO71" s="1" t="str">
        <f t="shared" ca="1" si="334"/>
        <v/>
      </c>
      <c r="HP71" s="1" t="str">
        <f t="shared" ca="1" si="335"/>
        <v/>
      </c>
      <c r="HQ71" s="1" t="str">
        <f t="shared" ca="1" si="336"/>
        <v/>
      </c>
      <c r="HU71" s="1" t="e">
        <f>MATCH(CONCATENATE($B71,"_",INDEX($C$4:$C66,HU$65)),lu_DataCode,0)</f>
        <v>#N/A</v>
      </c>
      <c r="HV71" s="1" t="e">
        <f t="shared" ca="1" si="222"/>
        <v>#N/A</v>
      </c>
      <c r="HW71" s="1" t="e">
        <f t="shared" ca="1" si="223"/>
        <v>#N/A</v>
      </c>
      <c r="HX71" s="1">
        <f t="shared" ca="1" si="224"/>
        <v>0</v>
      </c>
      <c r="HY71" s="1">
        <f t="shared" ca="1" si="337"/>
        <v>-10000000000</v>
      </c>
      <c r="HZ71" s="1">
        <f ca="1">RANK(HY71,HY$68:HY$93,HY$65)+COUNTIF(HY$68:HY71,HY71)-1</f>
        <v>4</v>
      </c>
      <c r="IA71" s="1">
        <f t="shared" ca="1" si="338"/>
        <v>4</v>
      </c>
      <c r="IB71" s="1">
        <f t="shared" ca="1" si="339"/>
        <v>0</v>
      </c>
      <c r="IC71" s="1">
        <f t="shared" ca="1" si="340"/>
        <v>1</v>
      </c>
      <c r="ID71" s="1" t="str">
        <f t="shared" ca="1" si="341"/>
        <v/>
      </c>
      <c r="IE71" s="1" t="str">
        <f t="shared" ca="1" si="342"/>
        <v/>
      </c>
      <c r="IF71" s="1" t="str">
        <f t="shared" ca="1" si="343"/>
        <v/>
      </c>
      <c r="IG71" s="1" t="str">
        <f t="shared" ca="1" si="344"/>
        <v/>
      </c>
    </row>
    <row r="72" spans="1:241" ht="10.15" x14ac:dyDescent="0.2">
      <c r="A72" s="1">
        <f t="shared" si="179"/>
        <v>5</v>
      </c>
      <c r="B72" s="1" t="str">
        <f t="shared" si="179"/>
        <v>NAC_BO_1</v>
      </c>
      <c r="C72" s="1" t="str">
        <f t="shared" si="179"/>
        <v>Bolivia</v>
      </c>
      <c r="D72" s="1">
        <f t="shared" si="179"/>
        <v>1</v>
      </c>
      <c r="E72" s="1" t="e">
        <f>MATCH(CONCATENATE($B72,"_",INDEX($C$4:$C67,E$65)),lu_DataCode,0)</f>
        <v>#N/A</v>
      </c>
      <c r="F72" s="1" t="e">
        <f t="shared" ca="1" si="180"/>
        <v>#N/A</v>
      </c>
      <c r="G72" s="1" t="e">
        <f t="shared" ca="1" si="181"/>
        <v>#N/A</v>
      </c>
      <c r="H72" s="1">
        <f t="shared" ca="1" si="182"/>
        <v>0</v>
      </c>
      <c r="I72" s="1">
        <f t="shared" ca="1" si="225"/>
        <v>-10000000000</v>
      </c>
      <c r="J72" s="1">
        <f ca="1">RANK(I72,I$68:I$93,I$65)+COUNTIF(I$68:I72,I72)-1</f>
        <v>5</v>
      </c>
      <c r="K72" s="1">
        <f t="shared" ca="1" si="226"/>
        <v>5</v>
      </c>
      <c r="L72" s="1">
        <f t="shared" ca="1" si="227"/>
        <v>0</v>
      </c>
      <c r="M72" s="1">
        <f t="shared" ca="1" si="228"/>
        <v>1</v>
      </c>
      <c r="N72" s="1" t="str">
        <f t="shared" ca="1" si="229"/>
        <v/>
      </c>
      <c r="O72" s="1" t="str">
        <f t="shared" ca="1" si="230"/>
        <v/>
      </c>
      <c r="P72" s="1" t="str">
        <f t="shared" ca="1" si="231"/>
        <v/>
      </c>
      <c r="Q72" s="1" t="str">
        <f t="shared" ca="1" si="232"/>
        <v/>
      </c>
      <c r="U72" s="1" t="e">
        <f>MATCH(CONCATENATE($B72,"_",INDEX($C$4:$C67,U$65)),lu_DataCode,0)</f>
        <v>#N/A</v>
      </c>
      <c r="V72" s="1" t="e">
        <f t="shared" ca="1" si="183"/>
        <v>#N/A</v>
      </c>
      <c r="W72" s="1" t="e">
        <f t="shared" ca="1" si="184"/>
        <v>#N/A</v>
      </c>
      <c r="X72" s="1">
        <f t="shared" ca="1" si="185"/>
        <v>0</v>
      </c>
      <c r="Y72" s="1">
        <f t="shared" ca="1" si="233"/>
        <v>-10000000000</v>
      </c>
      <c r="Z72" s="1">
        <f ca="1">RANK(Y72,Y$68:Y$93,Y$65)+COUNTIF(Y$68:Y72,Y72)-1</f>
        <v>5</v>
      </c>
      <c r="AA72" s="1">
        <f t="shared" ca="1" si="234"/>
        <v>5</v>
      </c>
      <c r="AB72" s="1">
        <f t="shared" ca="1" si="235"/>
        <v>0</v>
      </c>
      <c r="AC72" s="1">
        <f t="shared" ca="1" si="236"/>
        <v>1</v>
      </c>
      <c r="AD72" s="1" t="str">
        <f t="shared" ca="1" si="237"/>
        <v/>
      </c>
      <c r="AE72" s="1" t="str">
        <f t="shared" ca="1" si="238"/>
        <v/>
      </c>
      <c r="AF72" s="1" t="str">
        <f t="shared" ca="1" si="239"/>
        <v/>
      </c>
      <c r="AG72" s="1" t="str">
        <f t="shared" ca="1" si="240"/>
        <v/>
      </c>
      <c r="AK72" s="1" t="e">
        <f>MATCH(CONCATENATE($B72,"_",INDEX($C$4:$C67,AK$65)),lu_DataCode,0)</f>
        <v>#N/A</v>
      </c>
      <c r="AL72" s="1" t="e">
        <f t="shared" ca="1" si="186"/>
        <v>#N/A</v>
      </c>
      <c r="AM72" s="1" t="e">
        <f t="shared" ca="1" si="187"/>
        <v>#N/A</v>
      </c>
      <c r="AN72" s="1">
        <f t="shared" ca="1" si="188"/>
        <v>0</v>
      </c>
      <c r="AO72" s="1">
        <f t="shared" ca="1" si="241"/>
        <v>-10000000000</v>
      </c>
      <c r="AP72" s="1">
        <f ca="1">RANK(AO72,AO$68:AO$93,AO$65)+COUNTIF(AO$68:AO72,AO72)-1</f>
        <v>5</v>
      </c>
      <c r="AQ72" s="1">
        <f t="shared" ca="1" si="242"/>
        <v>5</v>
      </c>
      <c r="AR72" s="1">
        <f t="shared" ca="1" si="243"/>
        <v>0</v>
      </c>
      <c r="AS72" s="1">
        <f t="shared" ca="1" si="244"/>
        <v>1</v>
      </c>
      <c r="AT72" s="1" t="str">
        <f t="shared" ca="1" si="245"/>
        <v/>
      </c>
      <c r="AU72" s="1" t="str">
        <f t="shared" ca="1" si="246"/>
        <v/>
      </c>
      <c r="AV72" s="1" t="str">
        <f t="shared" ca="1" si="247"/>
        <v/>
      </c>
      <c r="AW72" s="1" t="str">
        <f t="shared" ca="1" si="248"/>
        <v/>
      </c>
      <c r="BA72" s="1" t="e">
        <f>MATCH(CONCATENATE($B72,"_",INDEX($C$4:$C67,BA$65)),lu_DataCode,0)</f>
        <v>#N/A</v>
      </c>
      <c r="BB72" s="1" t="e">
        <f t="shared" ca="1" si="189"/>
        <v>#N/A</v>
      </c>
      <c r="BC72" s="1" t="e">
        <f t="shared" ca="1" si="190"/>
        <v>#N/A</v>
      </c>
      <c r="BD72" s="1">
        <f t="shared" ca="1" si="191"/>
        <v>0</v>
      </c>
      <c r="BE72" s="1">
        <f t="shared" ca="1" si="249"/>
        <v>-10000000000</v>
      </c>
      <c r="BF72" s="1">
        <f ca="1">RANK(BE72,BE$68:BE$93,BE$65)+COUNTIF(BE$68:BE72,BE72)-1</f>
        <v>5</v>
      </c>
      <c r="BG72" s="1">
        <f t="shared" ca="1" si="250"/>
        <v>5</v>
      </c>
      <c r="BH72" s="1">
        <f t="shared" ca="1" si="251"/>
        <v>0</v>
      </c>
      <c r="BI72" s="1">
        <f t="shared" ca="1" si="252"/>
        <v>1</v>
      </c>
      <c r="BJ72" s="1" t="str">
        <f t="shared" ca="1" si="253"/>
        <v/>
      </c>
      <c r="BK72" s="1" t="str">
        <f t="shared" ca="1" si="254"/>
        <v/>
      </c>
      <c r="BL72" s="1" t="str">
        <f t="shared" ca="1" si="255"/>
        <v/>
      </c>
      <c r="BM72" s="1" t="str">
        <f t="shared" ca="1" si="256"/>
        <v/>
      </c>
      <c r="BQ72" s="1" t="e">
        <f>MATCH(CONCATENATE($B72,"_",INDEX($C$4:$C67,BQ$65)),lu_DataCode,0)</f>
        <v>#N/A</v>
      </c>
      <c r="BR72" s="1" t="e">
        <f t="shared" ca="1" si="192"/>
        <v>#N/A</v>
      </c>
      <c r="BS72" s="1" t="e">
        <f t="shared" ca="1" si="193"/>
        <v>#N/A</v>
      </c>
      <c r="BT72" s="1">
        <f t="shared" ca="1" si="194"/>
        <v>0</v>
      </c>
      <c r="BU72" s="1">
        <f t="shared" ca="1" si="257"/>
        <v>-10000000000</v>
      </c>
      <c r="BV72" s="1">
        <f ca="1">RANK(BU72,BU$68:BU$93,BU$65)+COUNTIF(BU$68:BU72,BU72)-1</f>
        <v>5</v>
      </c>
      <c r="BW72" s="1">
        <f t="shared" ca="1" si="258"/>
        <v>5</v>
      </c>
      <c r="BX72" s="1">
        <f t="shared" ca="1" si="259"/>
        <v>0</v>
      </c>
      <c r="BY72" s="1">
        <f t="shared" ca="1" si="260"/>
        <v>1</v>
      </c>
      <c r="BZ72" s="1" t="str">
        <f t="shared" ca="1" si="261"/>
        <v/>
      </c>
      <c r="CA72" s="1" t="str">
        <f t="shared" ca="1" si="262"/>
        <v/>
      </c>
      <c r="CB72" s="1" t="str">
        <f t="shared" ca="1" si="263"/>
        <v/>
      </c>
      <c r="CC72" s="1" t="str">
        <f t="shared" ca="1" si="264"/>
        <v/>
      </c>
      <c r="CG72" s="1" t="e">
        <f>MATCH(CONCATENATE($B72,"_",INDEX($C$4:$C67,CG$65)),lu_DataCode,0)</f>
        <v>#N/A</v>
      </c>
      <c r="CH72" s="1" t="e">
        <f t="shared" ca="1" si="195"/>
        <v>#N/A</v>
      </c>
      <c r="CI72" s="1" t="e">
        <f t="shared" ca="1" si="196"/>
        <v>#N/A</v>
      </c>
      <c r="CJ72" s="1">
        <f t="shared" ca="1" si="197"/>
        <v>0</v>
      </c>
      <c r="CK72" s="1">
        <f t="shared" ca="1" si="265"/>
        <v>-10000000000</v>
      </c>
      <c r="CL72" s="1">
        <f ca="1">RANK(CK72,CK$68:CK$93,CK$65)+COUNTIF(CK$68:CK72,CK72)-1</f>
        <v>5</v>
      </c>
      <c r="CM72" s="1">
        <f t="shared" ca="1" si="266"/>
        <v>5</v>
      </c>
      <c r="CN72" s="1">
        <f t="shared" ca="1" si="267"/>
        <v>0</v>
      </c>
      <c r="CO72" s="1">
        <f t="shared" ca="1" si="268"/>
        <v>1</v>
      </c>
      <c r="CP72" s="1" t="str">
        <f t="shared" ca="1" si="269"/>
        <v/>
      </c>
      <c r="CQ72" s="1" t="str">
        <f t="shared" ca="1" si="270"/>
        <v/>
      </c>
      <c r="CR72" s="1" t="str">
        <f t="shared" ca="1" si="271"/>
        <v/>
      </c>
      <c r="CS72" s="1" t="str">
        <f t="shared" ca="1" si="272"/>
        <v/>
      </c>
      <c r="CW72" s="1" t="e">
        <f>MATCH(CONCATENATE($B72,"_",INDEX($C$4:$C67,CW$65)),lu_DataCode,0)</f>
        <v>#N/A</v>
      </c>
      <c r="CX72" s="1" t="e">
        <f t="shared" ca="1" si="198"/>
        <v>#N/A</v>
      </c>
      <c r="CY72" s="1" t="e">
        <f t="shared" ca="1" si="199"/>
        <v>#N/A</v>
      </c>
      <c r="CZ72" s="1">
        <f t="shared" ca="1" si="200"/>
        <v>0</v>
      </c>
      <c r="DA72" s="1">
        <f t="shared" ca="1" si="273"/>
        <v>-10000000000</v>
      </c>
      <c r="DB72" s="1">
        <f ca="1">RANK(DA72,DA$68:DA$93,DA$65)+COUNTIF(DA$68:DA72,DA72)-1</f>
        <v>5</v>
      </c>
      <c r="DC72" s="1">
        <f t="shared" ca="1" si="274"/>
        <v>5</v>
      </c>
      <c r="DD72" s="1">
        <f t="shared" ca="1" si="275"/>
        <v>0</v>
      </c>
      <c r="DE72" s="1">
        <f t="shared" ca="1" si="276"/>
        <v>1</v>
      </c>
      <c r="DF72" s="1" t="str">
        <f t="shared" ca="1" si="277"/>
        <v/>
      </c>
      <c r="DG72" s="1" t="str">
        <f t="shared" ca="1" si="278"/>
        <v/>
      </c>
      <c r="DH72" s="1" t="str">
        <f t="shared" ca="1" si="279"/>
        <v/>
      </c>
      <c r="DI72" s="1" t="str">
        <f t="shared" ca="1" si="280"/>
        <v/>
      </c>
      <c r="DM72" s="1" t="e">
        <f>MATCH(CONCATENATE($B72,"_",INDEX($C$4:$C67,DM$65)),lu_DataCode,0)</f>
        <v>#N/A</v>
      </c>
      <c r="DN72" s="1" t="e">
        <f t="shared" ca="1" si="201"/>
        <v>#N/A</v>
      </c>
      <c r="DO72" s="1" t="e">
        <f t="shared" ca="1" si="202"/>
        <v>#N/A</v>
      </c>
      <c r="DP72" s="1">
        <f t="shared" ca="1" si="203"/>
        <v>0</v>
      </c>
      <c r="DQ72" s="1">
        <f t="shared" ca="1" si="281"/>
        <v>-10000000000</v>
      </c>
      <c r="DR72" s="1">
        <f ca="1">RANK(DQ72,DQ$68:DQ$93,DQ$65)+COUNTIF(DQ$68:DQ72,DQ72)-1</f>
        <v>5</v>
      </c>
      <c r="DS72" s="1">
        <f t="shared" ca="1" si="282"/>
        <v>5</v>
      </c>
      <c r="DT72" s="1">
        <f t="shared" ca="1" si="283"/>
        <v>0</v>
      </c>
      <c r="DU72" s="1">
        <f t="shared" ca="1" si="284"/>
        <v>1</v>
      </c>
      <c r="DV72" s="1" t="str">
        <f t="shared" ca="1" si="285"/>
        <v/>
      </c>
      <c r="DW72" s="1" t="str">
        <f t="shared" ca="1" si="286"/>
        <v/>
      </c>
      <c r="DX72" s="1" t="str">
        <f t="shared" ca="1" si="287"/>
        <v/>
      </c>
      <c r="DY72" s="1" t="str">
        <f t="shared" ca="1" si="288"/>
        <v/>
      </c>
      <c r="EC72" s="1" t="e">
        <f>MATCH(CONCATENATE($B72,"_",INDEX($C$4:$C67,EC$65)),lu_DataCode,0)</f>
        <v>#N/A</v>
      </c>
      <c r="ED72" s="1" t="e">
        <f t="shared" ca="1" si="204"/>
        <v>#N/A</v>
      </c>
      <c r="EE72" s="1" t="e">
        <f t="shared" ca="1" si="205"/>
        <v>#N/A</v>
      </c>
      <c r="EF72" s="1">
        <f t="shared" ca="1" si="206"/>
        <v>0</v>
      </c>
      <c r="EG72" s="1">
        <f t="shared" ca="1" si="289"/>
        <v>-10000000000</v>
      </c>
      <c r="EH72" s="1">
        <f ca="1">RANK(EG72,EG$68:EG$93,EG$65)+COUNTIF(EG$68:EG72,EG72)-1</f>
        <v>5</v>
      </c>
      <c r="EI72" s="1">
        <f t="shared" ca="1" si="290"/>
        <v>5</v>
      </c>
      <c r="EJ72" s="1">
        <f t="shared" ca="1" si="291"/>
        <v>0</v>
      </c>
      <c r="EK72" s="1">
        <f t="shared" ca="1" si="292"/>
        <v>1</v>
      </c>
      <c r="EL72" s="1" t="str">
        <f t="shared" ca="1" si="293"/>
        <v/>
      </c>
      <c r="EM72" s="1" t="str">
        <f t="shared" ca="1" si="294"/>
        <v/>
      </c>
      <c r="EN72" s="1" t="str">
        <f t="shared" ca="1" si="295"/>
        <v/>
      </c>
      <c r="EO72" s="1" t="str">
        <f t="shared" ca="1" si="296"/>
        <v/>
      </c>
      <c r="ES72" s="1" t="e">
        <f>MATCH(CONCATENATE($B72,"_",INDEX($C$4:$C67,ES$65)),lu_DataCode,0)</f>
        <v>#N/A</v>
      </c>
      <c r="ET72" s="1" t="e">
        <f t="shared" ca="1" si="207"/>
        <v>#N/A</v>
      </c>
      <c r="EU72" s="1" t="e">
        <f t="shared" ca="1" si="208"/>
        <v>#N/A</v>
      </c>
      <c r="EV72" s="1">
        <f t="shared" ca="1" si="209"/>
        <v>0</v>
      </c>
      <c r="EW72" s="1">
        <f t="shared" ca="1" si="297"/>
        <v>-10000000000</v>
      </c>
      <c r="EX72" s="1">
        <f ca="1">RANK(EW72,EW$68:EW$93,EW$65)+COUNTIF(EW$68:EW72,EW72)-1</f>
        <v>5</v>
      </c>
      <c r="EY72" s="1">
        <f t="shared" ca="1" si="298"/>
        <v>5</v>
      </c>
      <c r="EZ72" s="1">
        <f t="shared" ca="1" si="299"/>
        <v>0</v>
      </c>
      <c r="FA72" s="1">
        <f t="shared" ca="1" si="300"/>
        <v>1</v>
      </c>
      <c r="FB72" s="1" t="str">
        <f t="shared" ca="1" si="301"/>
        <v/>
      </c>
      <c r="FC72" s="1" t="str">
        <f t="shared" ca="1" si="302"/>
        <v/>
      </c>
      <c r="FD72" s="1" t="str">
        <f t="shared" ca="1" si="303"/>
        <v/>
      </c>
      <c r="FE72" s="1" t="str">
        <f t="shared" ca="1" si="304"/>
        <v/>
      </c>
      <c r="FI72" s="1" t="e">
        <f>MATCH(CONCATENATE($B72,"_",INDEX($C$4:$C67,FI$65)),lu_DataCode,0)</f>
        <v>#N/A</v>
      </c>
      <c r="FJ72" s="1" t="e">
        <f t="shared" ca="1" si="210"/>
        <v>#N/A</v>
      </c>
      <c r="FK72" s="1" t="e">
        <f t="shared" ca="1" si="211"/>
        <v>#N/A</v>
      </c>
      <c r="FL72" s="1">
        <f t="shared" ca="1" si="212"/>
        <v>0</v>
      </c>
      <c r="FM72" s="1">
        <f t="shared" ca="1" si="305"/>
        <v>-10000000000</v>
      </c>
      <c r="FN72" s="1">
        <f ca="1">RANK(FM72,FM$68:FM$93,FM$65)+COUNTIF(FM$68:FM72,FM72)-1</f>
        <v>5</v>
      </c>
      <c r="FO72" s="1">
        <f t="shared" ca="1" si="306"/>
        <v>5</v>
      </c>
      <c r="FP72" s="1">
        <f t="shared" ca="1" si="307"/>
        <v>0</v>
      </c>
      <c r="FQ72" s="1">
        <f t="shared" ca="1" si="308"/>
        <v>1</v>
      </c>
      <c r="FR72" s="1" t="str">
        <f t="shared" ca="1" si="309"/>
        <v/>
      </c>
      <c r="FS72" s="1" t="str">
        <f t="shared" ca="1" si="310"/>
        <v/>
      </c>
      <c r="FT72" s="1" t="str">
        <f t="shared" ca="1" si="311"/>
        <v/>
      </c>
      <c r="FU72" s="1" t="str">
        <f t="shared" ca="1" si="312"/>
        <v/>
      </c>
      <c r="FY72" s="1" t="e">
        <f>MATCH(CONCATENATE($B72,"_",INDEX($C$4:$C67,FY$65)),lu_DataCode,0)</f>
        <v>#N/A</v>
      </c>
      <c r="FZ72" s="1" t="e">
        <f t="shared" ca="1" si="213"/>
        <v>#N/A</v>
      </c>
      <c r="GA72" s="1" t="e">
        <f t="shared" ca="1" si="214"/>
        <v>#N/A</v>
      </c>
      <c r="GB72" s="1">
        <f t="shared" ca="1" si="215"/>
        <v>0</v>
      </c>
      <c r="GC72" s="1">
        <f t="shared" ca="1" si="313"/>
        <v>-10000000000</v>
      </c>
      <c r="GD72" s="1">
        <f ca="1">RANK(GC72,GC$68:GC$93,GC$65)+COUNTIF(GC$68:GC72,GC72)-1</f>
        <v>5</v>
      </c>
      <c r="GE72" s="1">
        <f t="shared" ca="1" si="314"/>
        <v>5</v>
      </c>
      <c r="GF72" s="1">
        <f t="shared" ca="1" si="315"/>
        <v>0</v>
      </c>
      <c r="GG72" s="1">
        <f t="shared" ca="1" si="316"/>
        <v>1</v>
      </c>
      <c r="GH72" s="1" t="str">
        <f t="shared" ca="1" si="317"/>
        <v/>
      </c>
      <c r="GI72" s="1" t="str">
        <f t="shared" ca="1" si="318"/>
        <v/>
      </c>
      <c r="GJ72" s="1" t="str">
        <f t="shared" ca="1" si="319"/>
        <v/>
      </c>
      <c r="GK72" s="1" t="str">
        <f t="shared" ca="1" si="320"/>
        <v/>
      </c>
      <c r="GO72" s="1" t="e">
        <f>MATCH(CONCATENATE($B72,"_",INDEX($C$4:$C67,GO$65)),lu_DataCode,0)</f>
        <v>#N/A</v>
      </c>
      <c r="GP72" s="1" t="e">
        <f t="shared" ca="1" si="216"/>
        <v>#N/A</v>
      </c>
      <c r="GQ72" s="1" t="e">
        <f t="shared" ca="1" si="217"/>
        <v>#N/A</v>
      </c>
      <c r="GR72" s="1">
        <f t="shared" ca="1" si="218"/>
        <v>0</v>
      </c>
      <c r="GS72" s="1">
        <f t="shared" ca="1" si="321"/>
        <v>-10000000000</v>
      </c>
      <c r="GT72" s="1">
        <f ca="1">RANK(GS72,GS$68:GS$93,GS$65)+COUNTIF(GS$68:GS72,GS72)-1</f>
        <v>5</v>
      </c>
      <c r="GU72" s="1">
        <f t="shared" ca="1" si="322"/>
        <v>5</v>
      </c>
      <c r="GV72" s="1">
        <f t="shared" ca="1" si="323"/>
        <v>0</v>
      </c>
      <c r="GW72" s="1">
        <f t="shared" ca="1" si="324"/>
        <v>1</v>
      </c>
      <c r="GX72" s="1" t="str">
        <f t="shared" ca="1" si="325"/>
        <v/>
      </c>
      <c r="GY72" s="1" t="str">
        <f t="shared" ca="1" si="326"/>
        <v/>
      </c>
      <c r="GZ72" s="1" t="str">
        <f t="shared" ca="1" si="327"/>
        <v/>
      </c>
      <c r="HA72" s="1" t="str">
        <f t="shared" ca="1" si="328"/>
        <v/>
      </c>
      <c r="HE72" s="1" t="e">
        <f>MATCH(CONCATENATE($B72,"_",INDEX($C$4:$C67,HE$65)),lu_DataCode,0)</f>
        <v>#N/A</v>
      </c>
      <c r="HF72" s="1" t="e">
        <f t="shared" ca="1" si="219"/>
        <v>#N/A</v>
      </c>
      <c r="HG72" s="1" t="e">
        <f t="shared" ca="1" si="220"/>
        <v>#N/A</v>
      </c>
      <c r="HH72" s="1">
        <f t="shared" ca="1" si="221"/>
        <v>0</v>
      </c>
      <c r="HI72" s="1">
        <f t="shared" ca="1" si="329"/>
        <v>-10000000000</v>
      </c>
      <c r="HJ72" s="1">
        <f ca="1">RANK(HI72,HI$68:HI$93,HI$65)+COUNTIF(HI$68:HI72,HI72)-1</f>
        <v>5</v>
      </c>
      <c r="HK72" s="1">
        <f t="shared" ca="1" si="330"/>
        <v>5</v>
      </c>
      <c r="HL72" s="1">
        <f t="shared" ca="1" si="331"/>
        <v>0</v>
      </c>
      <c r="HM72" s="1">
        <f t="shared" ca="1" si="332"/>
        <v>1</v>
      </c>
      <c r="HN72" s="1" t="str">
        <f t="shared" ca="1" si="333"/>
        <v/>
      </c>
      <c r="HO72" s="1" t="str">
        <f t="shared" ca="1" si="334"/>
        <v/>
      </c>
      <c r="HP72" s="1" t="str">
        <f t="shared" ca="1" si="335"/>
        <v/>
      </c>
      <c r="HQ72" s="1" t="str">
        <f t="shared" ca="1" si="336"/>
        <v/>
      </c>
      <c r="HU72" s="1" t="e">
        <f>MATCH(CONCATENATE($B72,"_",INDEX($C$4:$C67,HU$65)),lu_DataCode,0)</f>
        <v>#N/A</v>
      </c>
      <c r="HV72" s="1" t="e">
        <f t="shared" ca="1" si="222"/>
        <v>#N/A</v>
      </c>
      <c r="HW72" s="1" t="e">
        <f t="shared" ca="1" si="223"/>
        <v>#N/A</v>
      </c>
      <c r="HX72" s="1">
        <f t="shared" ca="1" si="224"/>
        <v>0</v>
      </c>
      <c r="HY72" s="1">
        <f t="shared" ca="1" si="337"/>
        <v>-10000000000</v>
      </c>
      <c r="HZ72" s="1">
        <f ca="1">RANK(HY72,HY$68:HY$93,HY$65)+COUNTIF(HY$68:HY72,HY72)-1</f>
        <v>5</v>
      </c>
      <c r="IA72" s="1">
        <f t="shared" ca="1" si="338"/>
        <v>5</v>
      </c>
      <c r="IB72" s="1">
        <f t="shared" ca="1" si="339"/>
        <v>0</v>
      </c>
      <c r="IC72" s="1">
        <f t="shared" ca="1" si="340"/>
        <v>1</v>
      </c>
      <c r="ID72" s="1" t="str">
        <f t="shared" ca="1" si="341"/>
        <v/>
      </c>
      <c r="IE72" s="1" t="str">
        <f t="shared" ca="1" si="342"/>
        <v/>
      </c>
      <c r="IF72" s="1" t="str">
        <f t="shared" ca="1" si="343"/>
        <v/>
      </c>
      <c r="IG72" s="1" t="str">
        <f t="shared" ca="1" si="344"/>
        <v/>
      </c>
    </row>
    <row r="73" spans="1:241" ht="10.15" x14ac:dyDescent="0.2">
      <c r="A73" s="1">
        <f t="shared" si="179"/>
        <v>6</v>
      </c>
      <c r="B73" s="1" t="str">
        <f t="shared" si="179"/>
        <v>NAC_BR_1</v>
      </c>
      <c r="C73" s="1" t="str">
        <f t="shared" si="179"/>
        <v>Brasil</v>
      </c>
      <c r="D73" s="1">
        <f t="shared" si="179"/>
        <v>1</v>
      </c>
      <c r="E73" s="1" t="e">
        <f>MATCH(CONCATENATE($B73,"_",INDEX($C$4:$C68,E$65)),lu_DataCode,0)</f>
        <v>#N/A</v>
      </c>
      <c r="F73" s="1" t="e">
        <f t="shared" ca="1" si="180"/>
        <v>#N/A</v>
      </c>
      <c r="G73" s="1" t="e">
        <f t="shared" ca="1" si="181"/>
        <v>#N/A</v>
      </c>
      <c r="H73" s="1">
        <f t="shared" ca="1" si="182"/>
        <v>0</v>
      </c>
      <c r="I73" s="1">
        <f t="shared" ca="1" si="225"/>
        <v>-10000000000</v>
      </c>
      <c r="J73" s="1">
        <f ca="1">RANK(I73,I$68:I$93,I$65)+COUNTIF(I$68:I73,I73)-1</f>
        <v>6</v>
      </c>
      <c r="K73" s="1">
        <f t="shared" ca="1" si="226"/>
        <v>6</v>
      </c>
      <c r="L73" s="1">
        <f t="shared" ca="1" si="227"/>
        <v>0</v>
      </c>
      <c r="M73" s="1">
        <f t="shared" ca="1" si="228"/>
        <v>1</v>
      </c>
      <c r="N73" s="1" t="str">
        <f t="shared" ca="1" si="229"/>
        <v/>
      </c>
      <c r="O73" s="1" t="str">
        <f t="shared" ca="1" si="230"/>
        <v/>
      </c>
      <c r="P73" s="1" t="str">
        <f t="shared" ca="1" si="231"/>
        <v/>
      </c>
      <c r="Q73" s="1" t="str">
        <f t="shared" ca="1" si="232"/>
        <v/>
      </c>
      <c r="U73" s="1" t="e">
        <f>MATCH(CONCATENATE($B73,"_",INDEX($C$4:$C68,U$65)),lu_DataCode,0)</f>
        <v>#N/A</v>
      </c>
      <c r="V73" s="1" t="e">
        <f t="shared" ca="1" si="183"/>
        <v>#N/A</v>
      </c>
      <c r="W73" s="1" t="e">
        <f t="shared" ca="1" si="184"/>
        <v>#N/A</v>
      </c>
      <c r="X73" s="1">
        <f t="shared" ca="1" si="185"/>
        <v>0</v>
      </c>
      <c r="Y73" s="1">
        <f t="shared" ca="1" si="233"/>
        <v>-10000000000</v>
      </c>
      <c r="Z73" s="1">
        <f ca="1">RANK(Y73,Y$68:Y$93,Y$65)+COUNTIF(Y$68:Y73,Y73)-1</f>
        <v>6</v>
      </c>
      <c r="AA73" s="1">
        <f t="shared" ca="1" si="234"/>
        <v>6</v>
      </c>
      <c r="AB73" s="1">
        <f t="shared" ca="1" si="235"/>
        <v>0</v>
      </c>
      <c r="AC73" s="1">
        <f t="shared" ca="1" si="236"/>
        <v>1</v>
      </c>
      <c r="AD73" s="1" t="str">
        <f t="shared" ca="1" si="237"/>
        <v/>
      </c>
      <c r="AE73" s="1" t="str">
        <f t="shared" ca="1" si="238"/>
        <v/>
      </c>
      <c r="AF73" s="1" t="str">
        <f t="shared" ca="1" si="239"/>
        <v/>
      </c>
      <c r="AG73" s="1" t="str">
        <f t="shared" ca="1" si="240"/>
        <v/>
      </c>
      <c r="AK73" s="1" t="e">
        <f>MATCH(CONCATENATE($B73,"_",INDEX($C$4:$C68,AK$65)),lu_DataCode,0)</f>
        <v>#N/A</v>
      </c>
      <c r="AL73" s="1" t="e">
        <f t="shared" ca="1" si="186"/>
        <v>#N/A</v>
      </c>
      <c r="AM73" s="1" t="e">
        <f t="shared" ca="1" si="187"/>
        <v>#N/A</v>
      </c>
      <c r="AN73" s="1">
        <f t="shared" ca="1" si="188"/>
        <v>0</v>
      </c>
      <c r="AO73" s="1">
        <f t="shared" ca="1" si="241"/>
        <v>-10000000000</v>
      </c>
      <c r="AP73" s="1">
        <f ca="1">RANK(AO73,AO$68:AO$93,AO$65)+COUNTIF(AO$68:AO73,AO73)-1</f>
        <v>6</v>
      </c>
      <c r="AQ73" s="1">
        <f t="shared" ca="1" si="242"/>
        <v>6</v>
      </c>
      <c r="AR73" s="1">
        <f t="shared" ca="1" si="243"/>
        <v>0</v>
      </c>
      <c r="AS73" s="1">
        <f t="shared" ca="1" si="244"/>
        <v>1</v>
      </c>
      <c r="AT73" s="1" t="str">
        <f t="shared" ca="1" si="245"/>
        <v/>
      </c>
      <c r="AU73" s="1" t="str">
        <f t="shared" ca="1" si="246"/>
        <v/>
      </c>
      <c r="AV73" s="1" t="str">
        <f t="shared" ca="1" si="247"/>
        <v/>
      </c>
      <c r="AW73" s="1" t="str">
        <f t="shared" ca="1" si="248"/>
        <v/>
      </c>
      <c r="BA73" s="1" t="e">
        <f>MATCH(CONCATENATE($B73,"_",INDEX($C$4:$C68,BA$65)),lu_DataCode,0)</f>
        <v>#N/A</v>
      </c>
      <c r="BB73" s="1" t="e">
        <f t="shared" ca="1" si="189"/>
        <v>#N/A</v>
      </c>
      <c r="BC73" s="1" t="e">
        <f t="shared" ca="1" si="190"/>
        <v>#N/A</v>
      </c>
      <c r="BD73" s="1">
        <f t="shared" ca="1" si="191"/>
        <v>0</v>
      </c>
      <c r="BE73" s="1">
        <f t="shared" ca="1" si="249"/>
        <v>-10000000000</v>
      </c>
      <c r="BF73" s="1">
        <f ca="1">RANK(BE73,BE$68:BE$93,BE$65)+COUNTIF(BE$68:BE73,BE73)-1</f>
        <v>6</v>
      </c>
      <c r="BG73" s="1">
        <f t="shared" ca="1" si="250"/>
        <v>6</v>
      </c>
      <c r="BH73" s="1">
        <f t="shared" ca="1" si="251"/>
        <v>0</v>
      </c>
      <c r="BI73" s="1">
        <f t="shared" ca="1" si="252"/>
        <v>1</v>
      </c>
      <c r="BJ73" s="1" t="str">
        <f t="shared" ca="1" si="253"/>
        <v/>
      </c>
      <c r="BK73" s="1" t="str">
        <f t="shared" ca="1" si="254"/>
        <v/>
      </c>
      <c r="BL73" s="1" t="str">
        <f t="shared" ca="1" si="255"/>
        <v/>
      </c>
      <c r="BM73" s="1" t="str">
        <f t="shared" ca="1" si="256"/>
        <v/>
      </c>
      <c r="BQ73" s="1" t="e">
        <f>MATCH(CONCATENATE($B73,"_",INDEX($C$4:$C68,BQ$65)),lu_DataCode,0)</f>
        <v>#N/A</v>
      </c>
      <c r="BR73" s="1" t="e">
        <f t="shared" ca="1" si="192"/>
        <v>#N/A</v>
      </c>
      <c r="BS73" s="1" t="e">
        <f t="shared" ca="1" si="193"/>
        <v>#N/A</v>
      </c>
      <c r="BT73" s="1">
        <f t="shared" ca="1" si="194"/>
        <v>0</v>
      </c>
      <c r="BU73" s="1">
        <f t="shared" ca="1" si="257"/>
        <v>-10000000000</v>
      </c>
      <c r="BV73" s="1">
        <f ca="1">RANK(BU73,BU$68:BU$93,BU$65)+COUNTIF(BU$68:BU73,BU73)-1</f>
        <v>6</v>
      </c>
      <c r="BW73" s="1">
        <f t="shared" ca="1" si="258"/>
        <v>6</v>
      </c>
      <c r="BX73" s="1">
        <f t="shared" ca="1" si="259"/>
        <v>0</v>
      </c>
      <c r="BY73" s="1">
        <f t="shared" ca="1" si="260"/>
        <v>1</v>
      </c>
      <c r="BZ73" s="1" t="str">
        <f t="shared" ca="1" si="261"/>
        <v/>
      </c>
      <c r="CA73" s="1" t="str">
        <f t="shared" ca="1" si="262"/>
        <v/>
      </c>
      <c r="CB73" s="1" t="str">
        <f t="shared" ca="1" si="263"/>
        <v/>
      </c>
      <c r="CC73" s="1" t="str">
        <f t="shared" ca="1" si="264"/>
        <v/>
      </c>
      <c r="CG73" s="1" t="e">
        <f>MATCH(CONCATENATE($B73,"_",INDEX($C$4:$C68,CG$65)),lu_DataCode,0)</f>
        <v>#N/A</v>
      </c>
      <c r="CH73" s="1" t="e">
        <f t="shared" ca="1" si="195"/>
        <v>#N/A</v>
      </c>
      <c r="CI73" s="1" t="e">
        <f t="shared" ca="1" si="196"/>
        <v>#N/A</v>
      </c>
      <c r="CJ73" s="1">
        <f t="shared" ca="1" si="197"/>
        <v>0</v>
      </c>
      <c r="CK73" s="1">
        <f t="shared" ca="1" si="265"/>
        <v>-10000000000</v>
      </c>
      <c r="CL73" s="1">
        <f ca="1">RANK(CK73,CK$68:CK$93,CK$65)+COUNTIF(CK$68:CK73,CK73)-1</f>
        <v>6</v>
      </c>
      <c r="CM73" s="1">
        <f t="shared" ca="1" si="266"/>
        <v>6</v>
      </c>
      <c r="CN73" s="1">
        <f t="shared" ca="1" si="267"/>
        <v>0</v>
      </c>
      <c r="CO73" s="1">
        <f t="shared" ca="1" si="268"/>
        <v>1</v>
      </c>
      <c r="CP73" s="1" t="str">
        <f t="shared" ca="1" si="269"/>
        <v/>
      </c>
      <c r="CQ73" s="1" t="str">
        <f t="shared" ca="1" si="270"/>
        <v/>
      </c>
      <c r="CR73" s="1" t="str">
        <f t="shared" ca="1" si="271"/>
        <v/>
      </c>
      <c r="CS73" s="1" t="str">
        <f t="shared" ca="1" si="272"/>
        <v/>
      </c>
      <c r="CW73" s="1" t="e">
        <f>MATCH(CONCATENATE($B73,"_",INDEX($C$4:$C68,CW$65)),lu_DataCode,0)</f>
        <v>#N/A</v>
      </c>
      <c r="CX73" s="1" t="e">
        <f t="shared" ca="1" si="198"/>
        <v>#N/A</v>
      </c>
      <c r="CY73" s="1" t="e">
        <f t="shared" ca="1" si="199"/>
        <v>#N/A</v>
      </c>
      <c r="CZ73" s="1">
        <f t="shared" ca="1" si="200"/>
        <v>0</v>
      </c>
      <c r="DA73" s="1">
        <f t="shared" ca="1" si="273"/>
        <v>-10000000000</v>
      </c>
      <c r="DB73" s="1">
        <f ca="1">RANK(DA73,DA$68:DA$93,DA$65)+COUNTIF(DA$68:DA73,DA73)-1</f>
        <v>6</v>
      </c>
      <c r="DC73" s="1">
        <f t="shared" ca="1" si="274"/>
        <v>6</v>
      </c>
      <c r="DD73" s="1">
        <f t="shared" ca="1" si="275"/>
        <v>0</v>
      </c>
      <c r="DE73" s="1">
        <f t="shared" ca="1" si="276"/>
        <v>1</v>
      </c>
      <c r="DF73" s="1" t="str">
        <f t="shared" ca="1" si="277"/>
        <v/>
      </c>
      <c r="DG73" s="1" t="str">
        <f t="shared" ca="1" si="278"/>
        <v/>
      </c>
      <c r="DH73" s="1" t="str">
        <f t="shared" ca="1" si="279"/>
        <v/>
      </c>
      <c r="DI73" s="1" t="str">
        <f t="shared" ca="1" si="280"/>
        <v/>
      </c>
      <c r="DM73" s="1" t="e">
        <f>MATCH(CONCATENATE($B73,"_",INDEX($C$4:$C68,DM$65)),lu_DataCode,0)</f>
        <v>#N/A</v>
      </c>
      <c r="DN73" s="1" t="e">
        <f t="shared" ca="1" si="201"/>
        <v>#N/A</v>
      </c>
      <c r="DO73" s="1" t="e">
        <f t="shared" ca="1" si="202"/>
        <v>#N/A</v>
      </c>
      <c r="DP73" s="1">
        <f t="shared" ca="1" si="203"/>
        <v>0</v>
      </c>
      <c r="DQ73" s="1">
        <f t="shared" ca="1" si="281"/>
        <v>-10000000000</v>
      </c>
      <c r="DR73" s="1">
        <f ca="1">RANK(DQ73,DQ$68:DQ$93,DQ$65)+COUNTIF(DQ$68:DQ73,DQ73)-1</f>
        <v>6</v>
      </c>
      <c r="DS73" s="1">
        <f t="shared" ca="1" si="282"/>
        <v>6</v>
      </c>
      <c r="DT73" s="1">
        <f t="shared" ca="1" si="283"/>
        <v>0</v>
      </c>
      <c r="DU73" s="1">
        <f t="shared" ca="1" si="284"/>
        <v>1</v>
      </c>
      <c r="DV73" s="1" t="str">
        <f t="shared" ca="1" si="285"/>
        <v/>
      </c>
      <c r="DW73" s="1" t="str">
        <f t="shared" ca="1" si="286"/>
        <v/>
      </c>
      <c r="DX73" s="1" t="str">
        <f t="shared" ca="1" si="287"/>
        <v/>
      </c>
      <c r="DY73" s="1" t="str">
        <f t="shared" ca="1" si="288"/>
        <v/>
      </c>
      <c r="EC73" s="1" t="e">
        <f>MATCH(CONCATENATE($B73,"_",INDEX($C$4:$C68,EC$65)),lu_DataCode,0)</f>
        <v>#N/A</v>
      </c>
      <c r="ED73" s="1" t="e">
        <f t="shared" ca="1" si="204"/>
        <v>#N/A</v>
      </c>
      <c r="EE73" s="1" t="e">
        <f t="shared" ca="1" si="205"/>
        <v>#N/A</v>
      </c>
      <c r="EF73" s="1">
        <f t="shared" ca="1" si="206"/>
        <v>0</v>
      </c>
      <c r="EG73" s="1">
        <f t="shared" ca="1" si="289"/>
        <v>-10000000000</v>
      </c>
      <c r="EH73" s="1">
        <f ca="1">RANK(EG73,EG$68:EG$93,EG$65)+COUNTIF(EG$68:EG73,EG73)-1</f>
        <v>6</v>
      </c>
      <c r="EI73" s="1">
        <f t="shared" ca="1" si="290"/>
        <v>6</v>
      </c>
      <c r="EJ73" s="1">
        <f t="shared" ca="1" si="291"/>
        <v>0</v>
      </c>
      <c r="EK73" s="1">
        <f t="shared" ca="1" si="292"/>
        <v>1</v>
      </c>
      <c r="EL73" s="1" t="str">
        <f t="shared" ca="1" si="293"/>
        <v/>
      </c>
      <c r="EM73" s="1" t="str">
        <f t="shared" ca="1" si="294"/>
        <v/>
      </c>
      <c r="EN73" s="1" t="str">
        <f t="shared" ca="1" si="295"/>
        <v/>
      </c>
      <c r="EO73" s="1" t="str">
        <f t="shared" ca="1" si="296"/>
        <v/>
      </c>
      <c r="ES73" s="1" t="e">
        <f>MATCH(CONCATENATE($B73,"_",INDEX($C$4:$C68,ES$65)),lu_DataCode,0)</f>
        <v>#N/A</v>
      </c>
      <c r="ET73" s="1" t="e">
        <f t="shared" ca="1" si="207"/>
        <v>#N/A</v>
      </c>
      <c r="EU73" s="1" t="e">
        <f t="shared" ca="1" si="208"/>
        <v>#N/A</v>
      </c>
      <c r="EV73" s="1">
        <f t="shared" ca="1" si="209"/>
        <v>0</v>
      </c>
      <c r="EW73" s="1">
        <f t="shared" ca="1" si="297"/>
        <v>-10000000000</v>
      </c>
      <c r="EX73" s="1">
        <f ca="1">RANK(EW73,EW$68:EW$93,EW$65)+COUNTIF(EW$68:EW73,EW73)-1</f>
        <v>6</v>
      </c>
      <c r="EY73" s="1">
        <f t="shared" ca="1" si="298"/>
        <v>6</v>
      </c>
      <c r="EZ73" s="1">
        <f t="shared" ca="1" si="299"/>
        <v>0</v>
      </c>
      <c r="FA73" s="1">
        <f t="shared" ca="1" si="300"/>
        <v>1</v>
      </c>
      <c r="FB73" s="1" t="str">
        <f t="shared" ca="1" si="301"/>
        <v/>
      </c>
      <c r="FC73" s="1" t="str">
        <f t="shared" ca="1" si="302"/>
        <v/>
      </c>
      <c r="FD73" s="1" t="str">
        <f t="shared" ca="1" si="303"/>
        <v/>
      </c>
      <c r="FE73" s="1" t="str">
        <f t="shared" ca="1" si="304"/>
        <v/>
      </c>
      <c r="FI73" s="1" t="e">
        <f>MATCH(CONCATENATE($B73,"_",INDEX($C$4:$C68,FI$65)),lu_DataCode,0)</f>
        <v>#N/A</v>
      </c>
      <c r="FJ73" s="1" t="e">
        <f t="shared" ca="1" si="210"/>
        <v>#N/A</v>
      </c>
      <c r="FK73" s="1" t="e">
        <f t="shared" ca="1" si="211"/>
        <v>#N/A</v>
      </c>
      <c r="FL73" s="1">
        <f t="shared" ca="1" si="212"/>
        <v>0</v>
      </c>
      <c r="FM73" s="1">
        <f t="shared" ca="1" si="305"/>
        <v>-10000000000</v>
      </c>
      <c r="FN73" s="1">
        <f ca="1">RANK(FM73,FM$68:FM$93,FM$65)+COUNTIF(FM$68:FM73,FM73)-1</f>
        <v>6</v>
      </c>
      <c r="FO73" s="1">
        <f t="shared" ca="1" si="306"/>
        <v>6</v>
      </c>
      <c r="FP73" s="1">
        <f t="shared" ca="1" si="307"/>
        <v>0</v>
      </c>
      <c r="FQ73" s="1">
        <f t="shared" ca="1" si="308"/>
        <v>1</v>
      </c>
      <c r="FR73" s="1" t="str">
        <f t="shared" ca="1" si="309"/>
        <v/>
      </c>
      <c r="FS73" s="1" t="str">
        <f t="shared" ca="1" si="310"/>
        <v/>
      </c>
      <c r="FT73" s="1" t="str">
        <f t="shared" ca="1" si="311"/>
        <v/>
      </c>
      <c r="FU73" s="1" t="str">
        <f t="shared" ca="1" si="312"/>
        <v/>
      </c>
      <c r="FY73" s="1" t="e">
        <f>MATCH(CONCATENATE($B73,"_",INDEX($C$4:$C68,FY$65)),lu_DataCode,0)</f>
        <v>#N/A</v>
      </c>
      <c r="FZ73" s="1" t="e">
        <f t="shared" ca="1" si="213"/>
        <v>#N/A</v>
      </c>
      <c r="GA73" s="1" t="e">
        <f t="shared" ca="1" si="214"/>
        <v>#N/A</v>
      </c>
      <c r="GB73" s="1">
        <f t="shared" ca="1" si="215"/>
        <v>0</v>
      </c>
      <c r="GC73" s="1">
        <f t="shared" ca="1" si="313"/>
        <v>-10000000000</v>
      </c>
      <c r="GD73" s="1">
        <f ca="1">RANK(GC73,GC$68:GC$93,GC$65)+COUNTIF(GC$68:GC73,GC73)-1</f>
        <v>6</v>
      </c>
      <c r="GE73" s="1">
        <f t="shared" ca="1" si="314"/>
        <v>6</v>
      </c>
      <c r="GF73" s="1">
        <f t="shared" ca="1" si="315"/>
        <v>0</v>
      </c>
      <c r="GG73" s="1">
        <f t="shared" ca="1" si="316"/>
        <v>1</v>
      </c>
      <c r="GH73" s="1" t="str">
        <f t="shared" ca="1" si="317"/>
        <v/>
      </c>
      <c r="GI73" s="1" t="str">
        <f t="shared" ca="1" si="318"/>
        <v/>
      </c>
      <c r="GJ73" s="1" t="str">
        <f t="shared" ca="1" si="319"/>
        <v/>
      </c>
      <c r="GK73" s="1" t="str">
        <f t="shared" ca="1" si="320"/>
        <v/>
      </c>
      <c r="GO73" s="1" t="e">
        <f>MATCH(CONCATENATE($B73,"_",INDEX($C$4:$C68,GO$65)),lu_DataCode,0)</f>
        <v>#N/A</v>
      </c>
      <c r="GP73" s="1" t="e">
        <f t="shared" ca="1" si="216"/>
        <v>#N/A</v>
      </c>
      <c r="GQ73" s="1" t="e">
        <f t="shared" ca="1" si="217"/>
        <v>#N/A</v>
      </c>
      <c r="GR73" s="1">
        <f t="shared" ca="1" si="218"/>
        <v>0</v>
      </c>
      <c r="GS73" s="1">
        <f t="shared" ca="1" si="321"/>
        <v>-10000000000</v>
      </c>
      <c r="GT73" s="1">
        <f ca="1">RANK(GS73,GS$68:GS$93,GS$65)+COUNTIF(GS$68:GS73,GS73)-1</f>
        <v>6</v>
      </c>
      <c r="GU73" s="1">
        <f t="shared" ca="1" si="322"/>
        <v>6</v>
      </c>
      <c r="GV73" s="1">
        <f t="shared" ca="1" si="323"/>
        <v>0</v>
      </c>
      <c r="GW73" s="1">
        <f t="shared" ca="1" si="324"/>
        <v>1</v>
      </c>
      <c r="GX73" s="1" t="str">
        <f t="shared" ca="1" si="325"/>
        <v/>
      </c>
      <c r="GY73" s="1" t="str">
        <f t="shared" ca="1" si="326"/>
        <v/>
      </c>
      <c r="GZ73" s="1" t="str">
        <f t="shared" ca="1" si="327"/>
        <v/>
      </c>
      <c r="HA73" s="1" t="str">
        <f t="shared" ca="1" si="328"/>
        <v/>
      </c>
      <c r="HE73" s="1" t="e">
        <f>MATCH(CONCATENATE($B73,"_",INDEX($C$4:$C68,HE$65)),lu_DataCode,0)</f>
        <v>#N/A</v>
      </c>
      <c r="HF73" s="1" t="e">
        <f t="shared" ca="1" si="219"/>
        <v>#N/A</v>
      </c>
      <c r="HG73" s="1" t="e">
        <f t="shared" ca="1" si="220"/>
        <v>#N/A</v>
      </c>
      <c r="HH73" s="1">
        <f t="shared" ca="1" si="221"/>
        <v>0</v>
      </c>
      <c r="HI73" s="1">
        <f t="shared" ca="1" si="329"/>
        <v>-10000000000</v>
      </c>
      <c r="HJ73" s="1">
        <f ca="1">RANK(HI73,HI$68:HI$93,HI$65)+COUNTIF(HI$68:HI73,HI73)-1</f>
        <v>6</v>
      </c>
      <c r="HK73" s="1">
        <f t="shared" ca="1" si="330"/>
        <v>6</v>
      </c>
      <c r="HL73" s="1">
        <f t="shared" ca="1" si="331"/>
        <v>0</v>
      </c>
      <c r="HM73" s="1">
        <f t="shared" ca="1" si="332"/>
        <v>1</v>
      </c>
      <c r="HN73" s="1" t="str">
        <f t="shared" ca="1" si="333"/>
        <v/>
      </c>
      <c r="HO73" s="1" t="str">
        <f t="shared" ca="1" si="334"/>
        <v/>
      </c>
      <c r="HP73" s="1" t="str">
        <f t="shared" ca="1" si="335"/>
        <v/>
      </c>
      <c r="HQ73" s="1" t="str">
        <f t="shared" ca="1" si="336"/>
        <v/>
      </c>
      <c r="HU73" s="1" t="e">
        <f>MATCH(CONCATENATE($B73,"_",INDEX($C$4:$C68,HU$65)),lu_DataCode,0)</f>
        <v>#N/A</v>
      </c>
      <c r="HV73" s="1" t="e">
        <f t="shared" ca="1" si="222"/>
        <v>#N/A</v>
      </c>
      <c r="HW73" s="1" t="e">
        <f t="shared" ca="1" si="223"/>
        <v>#N/A</v>
      </c>
      <c r="HX73" s="1">
        <f t="shared" ca="1" si="224"/>
        <v>0</v>
      </c>
      <c r="HY73" s="1">
        <f t="shared" ca="1" si="337"/>
        <v>-10000000000</v>
      </c>
      <c r="HZ73" s="1">
        <f ca="1">RANK(HY73,HY$68:HY$93,HY$65)+COUNTIF(HY$68:HY73,HY73)-1</f>
        <v>6</v>
      </c>
      <c r="IA73" s="1">
        <f t="shared" ca="1" si="338"/>
        <v>6</v>
      </c>
      <c r="IB73" s="1">
        <f t="shared" ca="1" si="339"/>
        <v>0</v>
      </c>
      <c r="IC73" s="1">
        <f t="shared" ca="1" si="340"/>
        <v>1</v>
      </c>
      <c r="ID73" s="1" t="str">
        <f t="shared" ca="1" si="341"/>
        <v/>
      </c>
      <c r="IE73" s="1" t="str">
        <f t="shared" ca="1" si="342"/>
        <v/>
      </c>
      <c r="IF73" s="1" t="str">
        <f t="shared" ca="1" si="343"/>
        <v/>
      </c>
      <c r="IG73" s="1" t="str">
        <f t="shared" ca="1" si="344"/>
        <v/>
      </c>
    </row>
    <row r="74" spans="1:241" ht="10.15" x14ac:dyDescent="0.2">
      <c r="A74" s="1">
        <f t="shared" si="179"/>
        <v>7</v>
      </c>
      <c r="B74" s="1" t="str">
        <f t="shared" si="179"/>
        <v>NAC_CL_1</v>
      </c>
      <c r="C74" s="1" t="str">
        <f t="shared" si="179"/>
        <v>Chile</v>
      </c>
      <c r="D74" s="1">
        <f t="shared" si="179"/>
        <v>1</v>
      </c>
      <c r="E74" s="1" t="e">
        <f>MATCH(CONCATENATE($B74,"_",INDEX($C$4:$C69,E$65)),lu_DataCode,0)</f>
        <v>#N/A</v>
      </c>
      <c r="F74" s="1" t="e">
        <f t="shared" ca="1" si="180"/>
        <v>#N/A</v>
      </c>
      <c r="G74" s="1" t="e">
        <f t="shared" ca="1" si="181"/>
        <v>#N/A</v>
      </c>
      <c r="H74" s="1">
        <f t="shared" ca="1" si="182"/>
        <v>0</v>
      </c>
      <c r="I74" s="1">
        <f t="shared" ca="1" si="225"/>
        <v>-10000000000</v>
      </c>
      <c r="J74" s="1">
        <f ca="1">RANK(I74,I$68:I$93,I$65)+COUNTIF(I$68:I74,I74)-1</f>
        <v>7</v>
      </c>
      <c r="K74" s="1">
        <f t="shared" ca="1" si="226"/>
        <v>7</v>
      </c>
      <c r="L74" s="1">
        <f t="shared" ca="1" si="227"/>
        <v>0</v>
      </c>
      <c r="M74" s="1">
        <f t="shared" ca="1" si="228"/>
        <v>1</v>
      </c>
      <c r="N74" s="1" t="str">
        <f t="shared" ca="1" si="229"/>
        <v/>
      </c>
      <c r="O74" s="1" t="str">
        <f t="shared" ca="1" si="230"/>
        <v/>
      </c>
      <c r="P74" s="1" t="str">
        <f t="shared" ca="1" si="231"/>
        <v/>
      </c>
      <c r="Q74" s="1" t="str">
        <f t="shared" ca="1" si="232"/>
        <v/>
      </c>
      <c r="U74" s="1" t="e">
        <f>MATCH(CONCATENATE($B74,"_",INDEX($C$4:$C69,U$65)),lu_DataCode,0)</f>
        <v>#N/A</v>
      </c>
      <c r="V74" s="1" t="e">
        <f t="shared" ca="1" si="183"/>
        <v>#N/A</v>
      </c>
      <c r="W74" s="1" t="e">
        <f t="shared" ca="1" si="184"/>
        <v>#N/A</v>
      </c>
      <c r="X74" s="1">
        <f t="shared" ca="1" si="185"/>
        <v>0</v>
      </c>
      <c r="Y74" s="1">
        <f t="shared" ca="1" si="233"/>
        <v>-10000000000</v>
      </c>
      <c r="Z74" s="1">
        <f ca="1">RANK(Y74,Y$68:Y$93,Y$65)+COUNTIF(Y$68:Y74,Y74)-1</f>
        <v>7</v>
      </c>
      <c r="AA74" s="1">
        <f t="shared" ca="1" si="234"/>
        <v>7</v>
      </c>
      <c r="AB74" s="1">
        <f t="shared" ca="1" si="235"/>
        <v>0</v>
      </c>
      <c r="AC74" s="1">
        <f t="shared" ca="1" si="236"/>
        <v>1</v>
      </c>
      <c r="AD74" s="1" t="str">
        <f t="shared" ca="1" si="237"/>
        <v/>
      </c>
      <c r="AE74" s="1" t="str">
        <f t="shared" ca="1" si="238"/>
        <v/>
      </c>
      <c r="AF74" s="1" t="str">
        <f t="shared" ca="1" si="239"/>
        <v/>
      </c>
      <c r="AG74" s="1" t="str">
        <f t="shared" ca="1" si="240"/>
        <v/>
      </c>
      <c r="AK74" s="1" t="e">
        <f>MATCH(CONCATENATE($B74,"_",INDEX($C$4:$C69,AK$65)),lu_DataCode,0)</f>
        <v>#N/A</v>
      </c>
      <c r="AL74" s="1" t="e">
        <f t="shared" ca="1" si="186"/>
        <v>#N/A</v>
      </c>
      <c r="AM74" s="1" t="e">
        <f t="shared" ca="1" si="187"/>
        <v>#N/A</v>
      </c>
      <c r="AN74" s="1">
        <f t="shared" ca="1" si="188"/>
        <v>0</v>
      </c>
      <c r="AO74" s="1">
        <f t="shared" ca="1" si="241"/>
        <v>-10000000000</v>
      </c>
      <c r="AP74" s="1">
        <f ca="1">RANK(AO74,AO$68:AO$93,AO$65)+COUNTIF(AO$68:AO74,AO74)-1</f>
        <v>7</v>
      </c>
      <c r="AQ74" s="1">
        <f t="shared" ca="1" si="242"/>
        <v>7</v>
      </c>
      <c r="AR74" s="1">
        <f t="shared" ca="1" si="243"/>
        <v>0</v>
      </c>
      <c r="AS74" s="1">
        <f t="shared" ca="1" si="244"/>
        <v>1</v>
      </c>
      <c r="AT74" s="1" t="str">
        <f t="shared" ca="1" si="245"/>
        <v/>
      </c>
      <c r="AU74" s="1" t="str">
        <f t="shared" ca="1" si="246"/>
        <v/>
      </c>
      <c r="AV74" s="1" t="str">
        <f t="shared" ca="1" si="247"/>
        <v/>
      </c>
      <c r="AW74" s="1" t="str">
        <f t="shared" ca="1" si="248"/>
        <v/>
      </c>
      <c r="BA74" s="1" t="e">
        <f>MATCH(CONCATENATE($B74,"_",INDEX($C$4:$C69,BA$65)),lu_DataCode,0)</f>
        <v>#N/A</v>
      </c>
      <c r="BB74" s="1" t="e">
        <f t="shared" ca="1" si="189"/>
        <v>#N/A</v>
      </c>
      <c r="BC74" s="1" t="e">
        <f t="shared" ca="1" si="190"/>
        <v>#N/A</v>
      </c>
      <c r="BD74" s="1">
        <f t="shared" ca="1" si="191"/>
        <v>0</v>
      </c>
      <c r="BE74" s="1">
        <f t="shared" ca="1" si="249"/>
        <v>-10000000000</v>
      </c>
      <c r="BF74" s="1">
        <f ca="1">RANK(BE74,BE$68:BE$93,BE$65)+COUNTIF(BE$68:BE74,BE74)-1</f>
        <v>7</v>
      </c>
      <c r="BG74" s="1">
        <f t="shared" ca="1" si="250"/>
        <v>7</v>
      </c>
      <c r="BH74" s="1">
        <f t="shared" ca="1" si="251"/>
        <v>0</v>
      </c>
      <c r="BI74" s="1">
        <f t="shared" ca="1" si="252"/>
        <v>1</v>
      </c>
      <c r="BJ74" s="1" t="str">
        <f t="shared" ca="1" si="253"/>
        <v/>
      </c>
      <c r="BK74" s="1" t="str">
        <f t="shared" ca="1" si="254"/>
        <v/>
      </c>
      <c r="BL74" s="1" t="str">
        <f t="shared" ca="1" si="255"/>
        <v/>
      </c>
      <c r="BM74" s="1" t="str">
        <f t="shared" ca="1" si="256"/>
        <v/>
      </c>
      <c r="BQ74" s="1" t="e">
        <f>MATCH(CONCATENATE($B74,"_",INDEX($C$4:$C69,BQ$65)),lu_DataCode,0)</f>
        <v>#N/A</v>
      </c>
      <c r="BR74" s="1" t="e">
        <f t="shared" ca="1" si="192"/>
        <v>#N/A</v>
      </c>
      <c r="BS74" s="1" t="e">
        <f t="shared" ca="1" si="193"/>
        <v>#N/A</v>
      </c>
      <c r="BT74" s="1">
        <f t="shared" ca="1" si="194"/>
        <v>0</v>
      </c>
      <c r="BU74" s="1">
        <f t="shared" ca="1" si="257"/>
        <v>-10000000000</v>
      </c>
      <c r="BV74" s="1">
        <f ca="1">RANK(BU74,BU$68:BU$93,BU$65)+COUNTIF(BU$68:BU74,BU74)-1</f>
        <v>7</v>
      </c>
      <c r="BW74" s="1">
        <f t="shared" ca="1" si="258"/>
        <v>7</v>
      </c>
      <c r="BX74" s="1">
        <f t="shared" ca="1" si="259"/>
        <v>0</v>
      </c>
      <c r="BY74" s="1">
        <f t="shared" ca="1" si="260"/>
        <v>1</v>
      </c>
      <c r="BZ74" s="1" t="str">
        <f t="shared" ca="1" si="261"/>
        <v/>
      </c>
      <c r="CA74" s="1" t="str">
        <f t="shared" ca="1" si="262"/>
        <v/>
      </c>
      <c r="CB74" s="1" t="str">
        <f t="shared" ca="1" si="263"/>
        <v/>
      </c>
      <c r="CC74" s="1" t="str">
        <f t="shared" ca="1" si="264"/>
        <v/>
      </c>
      <c r="CG74" s="1" t="e">
        <f>MATCH(CONCATENATE($B74,"_",INDEX($C$4:$C69,CG$65)),lu_DataCode,0)</f>
        <v>#N/A</v>
      </c>
      <c r="CH74" s="1" t="e">
        <f t="shared" ca="1" si="195"/>
        <v>#N/A</v>
      </c>
      <c r="CI74" s="1" t="e">
        <f t="shared" ca="1" si="196"/>
        <v>#N/A</v>
      </c>
      <c r="CJ74" s="1">
        <f t="shared" ca="1" si="197"/>
        <v>0</v>
      </c>
      <c r="CK74" s="1">
        <f t="shared" ca="1" si="265"/>
        <v>-10000000000</v>
      </c>
      <c r="CL74" s="1">
        <f ca="1">RANK(CK74,CK$68:CK$93,CK$65)+COUNTIF(CK$68:CK74,CK74)-1</f>
        <v>7</v>
      </c>
      <c r="CM74" s="1">
        <f t="shared" ca="1" si="266"/>
        <v>7</v>
      </c>
      <c r="CN74" s="1">
        <f t="shared" ca="1" si="267"/>
        <v>0</v>
      </c>
      <c r="CO74" s="1">
        <f t="shared" ca="1" si="268"/>
        <v>1</v>
      </c>
      <c r="CP74" s="1" t="str">
        <f t="shared" ca="1" si="269"/>
        <v/>
      </c>
      <c r="CQ74" s="1" t="str">
        <f t="shared" ca="1" si="270"/>
        <v/>
      </c>
      <c r="CR74" s="1" t="str">
        <f t="shared" ca="1" si="271"/>
        <v/>
      </c>
      <c r="CS74" s="1" t="str">
        <f t="shared" ca="1" si="272"/>
        <v/>
      </c>
      <c r="CW74" s="1" t="e">
        <f>MATCH(CONCATENATE($B74,"_",INDEX($C$4:$C69,CW$65)),lu_DataCode,0)</f>
        <v>#N/A</v>
      </c>
      <c r="CX74" s="1" t="e">
        <f t="shared" ca="1" si="198"/>
        <v>#N/A</v>
      </c>
      <c r="CY74" s="1" t="e">
        <f t="shared" ca="1" si="199"/>
        <v>#N/A</v>
      </c>
      <c r="CZ74" s="1">
        <f t="shared" ca="1" si="200"/>
        <v>0</v>
      </c>
      <c r="DA74" s="1">
        <f t="shared" ca="1" si="273"/>
        <v>-10000000000</v>
      </c>
      <c r="DB74" s="1">
        <f ca="1">RANK(DA74,DA$68:DA$93,DA$65)+COUNTIF(DA$68:DA74,DA74)-1</f>
        <v>7</v>
      </c>
      <c r="DC74" s="1">
        <f t="shared" ca="1" si="274"/>
        <v>7</v>
      </c>
      <c r="DD74" s="1">
        <f t="shared" ca="1" si="275"/>
        <v>0</v>
      </c>
      <c r="DE74" s="1">
        <f t="shared" ca="1" si="276"/>
        <v>1</v>
      </c>
      <c r="DF74" s="1" t="str">
        <f t="shared" ca="1" si="277"/>
        <v/>
      </c>
      <c r="DG74" s="1" t="str">
        <f t="shared" ca="1" si="278"/>
        <v/>
      </c>
      <c r="DH74" s="1" t="str">
        <f t="shared" ca="1" si="279"/>
        <v/>
      </c>
      <c r="DI74" s="1" t="str">
        <f t="shared" ca="1" si="280"/>
        <v/>
      </c>
      <c r="DM74" s="1" t="e">
        <f>MATCH(CONCATENATE($B74,"_",INDEX($C$4:$C69,DM$65)),lu_DataCode,0)</f>
        <v>#N/A</v>
      </c>
      <c r="DN74" s="1" t="e">
        <f t="shared" ca="1" si="201"/>
        <v>#N/A</v>
      </c>
      <c r="DO74" s="1" t="e">
        <f t="shared" ca="1" si="202"/>
        <v>#N/A</v>
      </c>
      <c r="DP74" s="1">
        <f t="shared" ca="1" si="203"/>
        <v>0</v>
      </c>
      <c r="DQ74" s="1">
        <f t="shared" ca="1" si="281"/>
        <v>-10000000000</v>
      </c>
      <c r="DR74" s="1">
        <f ca="1">RANK(DQ74,DQ$68:DQ$93,DQ$65)+COUNTIF(DQ$68:DQ74,DQ74)-1</f>
        <v>7</v>
      </c>
      <c r="DS74" s="1">
        <f t="shared" ca="1" si="282"/>
        <v>7</v>
      </c>
      <c r="DT74" s="1">
        <f t="shared" ca="1" si="283"/>
        <v>0</v>
      </c>
      <c r="DU74" s="1">
        <f t="shared" ca="1" si="284"/>
        <v>1</v>
      </c>
      <c r="DV74" s="1" t="str">
        <f t="shared" ca="1" si="285"/>
        <v/>
      </c>
      <c r="DW74" s="1" t="str">
        <f t="shared" ca="1" si="286"/>
        <v/>
      </c>
      <c r="DX74" s="1" t="str">
        <f t="shared" ca="1" si="287"/>
        <v/>
      </c>
      <c r="DY74" s="1" t="str">
        <f t="shared" ca="1" si="288"/>
        <v/>
      </c>
      <c r="EC74" s="1" t="e">
        <f>MATCH(CONCATENATE($B74,"_",INDEX($C$4:$C69,EC$65)),lu_DataCode,0)</f>
        <v>#N/A</v>
      </c>
      <c r="ED74" s="1" t="e">
        <f t="shared" ca="1" si="204"/>
        <v>#N/A</v>
      </c>
      <c r="EE74" s="1" t="e">
        <f t="shared" ca="1" si="205"/>
        <v>#N/A</v>
      </c>
      <c r="EF74" s="1">
        <f t="shared" ca="1" si="206"/>
        <v>0</v>
      </c>
      <c r="EG74" s="1">
        <f t="shared" ca="1" si="289"/>
        <v>-10000000000</v>
      </c>
      <c r="EH74" s="1">
        <f ca="1">RANK(EG74,EG$68:EG$93,EG$65)+COUNTIF(EG$68:EG74,EG74)-1</f>
        <v>7</v>
      </c>
      <c r="EI74" s="1">
        <f t="shared" ca="1" si="290"/>
        <v>7</v>
      </c>
      <c r="EJ74" s="1">
        <f t="shared" ca="1" si="291"/>
        <v>0</v>
      </c>
      <c r="EK74" s="1">
        <f t="shared" ca="1" si="292"/>
        <v>1</v>
      </c>
      <c r="EL74" s="1" t="str">
        <f t="shared" ca="1" si="293"/>
        <v/>
      </c>
      <c r="EM74" s="1" t="str">
        <f t="shared" ca="1" si="294"/>
        <v/>
      </c>
      <c r="EN74" s="1" t="str">
        <f t="shared" ca="1" si="295"/>
        <v/>
      </c>
      <c r="EO74" s="1" t="str">
        <f t="shared" ca="1" si="296"/>
        <v/>
      </c>
      <c r="ES74" s="1" t="e">
        <f>MATCH(CONCATENATE($B74,"_",INDEX($C$4:$C69,ES$65)),lu_DataCode,0)</f>
        <v>#N/A</v>
      </c>
      <c r="ET74" s="1" t="e">
        <f t="shared" ca="1" si="207"/>
        <v>#N/A</v>
      </c>
      <c r="EU74" s="1" t="e">
        <f t="shared" ca="1" si="208"/>
        <v>#N/A</v>
      </c>
      <c r="EV74" s="1">
        <f t="shared" ca="1" si="209"/>
        <v>0</v>
      </c>
      <c r="EW74" s="1">
        <f t="shared" ca="1" si="297"/>
        <v>-10000000000</v>
      </c>
      <c r="EX74" s="1">
        <f ca="1">RANK(EW74,EW$68:EW$93,EW$65)+COUNTIF(EW$68:EW74,EW74)-1</f>
        <v>7</v>
      </c>
      <c r="EY74" s="1">
        <f t="shared" ca="1" si="298"/>
        <v>7</v>
      </c>
      <c r="EZ74" s="1">
        <f t="shared" ca="1" si="299"/>
        <v>0</v>
      </c>
      <c r="FA74" s="1">
        <f t="shared" ca="1" si="300"/>
        <v>1</v>
      </c>
      <c r="FB74" s="1" t="str">
        <f t="shared" ca="1" si="301"/>
        <v/>
      </c>
      <c r="FC74" s="1" t="str">
        <f t="shared" ca="1" si="302"/>
        <v/>
      </c>
      <c r="FD74" s="1" t="str">
        <f t="shared" ca="1" si="303"/>
        <v/>
      </c>
      <c r="FE74" s="1" t="str">
        <f t="shared" ca="1" si="304"/>
        <v/>
      </c>
      <c r="FI74" s="1" t="e">
        <f>MATCH(CONCATENATE($B74,"_",INDEX($C$4:$C69,FI$65)),lu_DataCode,0)</f>
        <v>#N/A</v>
      </c>
      <c r="FJ74" s="1" t="e">
        <f t="shared" ca="1" si="210"/>
        <v>#N/A</v>
      </c>
      <c r="FK74" s="1" t="e">
        <f t="shared" ca="1" si="211"/>
        <v>#N/A</v>
      </c>
      <c r="FL74" s="1">
        <f t="shared" ca="1" si="212"/>
        <v>0</v>
      </c>
      <c r="FM74" s="1">
        <f t="shared" ca="1" si="305"/>
        <v>-10000000000</v>
      </c>
      <c r="FN74" s="1">
        <f ca="1">RANK(FM74,FM$68:FM$93,FM$65)+COUNTIF(FM$68:FM74,FM74)-1</f>
        <v>7</v>
      </c>
      <c r="FO74" s="1">
        <f t="shared" ca="1" si="306"/>
        <v>7</v>
      </c>
      <c r="FP74" s="1">
        <f t="shared" ca="1" si="307"/>
        <v>0</v>
      </c>
      <c r="FQ74" s="1">
        <f t="shared" ca="1" si="308"/>
        <v>1</v>
      </c>
      <c r="FR74" s="1" t="str">
        <f t="shared" ca="1" si="309"/>
        <v/>
      </c>
      <c r="FS74" s="1" t="str">
        <f t="shared" ca="1" si="310"/>
        <v/>
      </c>
      <c r="FT74" s="1" t="str">
        <f t="shared" ca="1" si="311"/>
        <v/>
      </c>
      <c r="FU74" s="1" t="str">
        <f t="shared" ca="1" si="312"/>
        <v/>
      </c>
      <c r="FY74" s="1" t="e">
        <f>MATCH(CONCATENATE($B74,"_",INDEX($C$4:$C69,FY$65)),lu_DataCode,0)</f>
        <v>#N/A</v>
      </c>
      <c r="FZ74" s="1" t="e">
        <f t="shared" ca="1" si="213"/>
        <v>#N/A</v>
      </c>
      <c r="GA74" s="1" t="e">
        <f t="shared" ca="1" si="214"/>
        <v>#N/A</v>
      </c>
      <c r="GB74" s="1">
        <f t="shared" ca="1" si="215"/>
        <v>0</v>
      </c>
      <c r="GC74" s="1">
        <f t="shared" ca="1" si="313"/>
        <v>-10000000000</v>
      </c>
      <c r="GD74" s="1">
        <f ca="1">RANK(GC74,GC$68:GC$93,GC$65)+COUNTIF(GC$68:GC74,GC74)-1</f>
        <v>7</v>
      </c>
      <c r="GE74" s="1">
        <f t="shared" ca="1" si="314"/>
        <v>7</v>
      </c>
      <c r="GF74" s="1">
        <f t="shared" ca="1" si="315"/>
        <v>0</v>
      </c>
      <c r="GG74" s="1">
        <f t="shared" ca="1" si="316"/>
        <v>1</v>
      </c>
      <c r="GH74" s="1" t="str">
        <f t="shared" ca="1" si="317"/>
        <v/>
      </c>
      <c r="GI74" s="1" t="str">
        <f t="shared" ca="1" si="318"/>
        <v/>
      </c>
      <c r="GJ74" s="1" t="str">
        <f t="shared" ca="1" si="319"/>
        <v/>
      </c>
      <c r="GK74" s="1" t="str">
        <f t="shared" ca="1" si="320"/>
        <v/>
      </c>
      <c r="GO74" s="1" t="e">
        <f>MATCH(CONCATENATE($B74,"_",INDEX($C$4:$C69,GO$65)),lu_DataCode,0)</f>
        <v>#N/A</v>
      </c>
      <c r="GP74" s="1" t="e">
        <f t="shared" ca="1" si="216"/>
        <v>#N/A</v>
      </c>
      <c r="GQ74" s="1" t="e">
        <f t="shared" ca="1" si="217"/>
        <v>#N/A</v>
      </c>
      <c r="GR74" s="1">
        <f t="shared" ca="1" si="218"/>
        <v>0</v>
      </c>
      <c r="GS74" s="1">
        <f t="shared" ca="1" si="321"/>
        <v>-10000000000</v>
      </c>
      <c r="GT74" s="1">
        <f ca="1">RANK(GS74,GS$68:GS$93,GS$65)+COUNTIF(GS$68:GS74,GS74)-1</f>
        <v>7</v>
      </c>
      <c r="GU74" s="1">
        <f t="shared" ca="1" si="322"/>
        <v>7</v>
      </c>
      <c r="GV74" s="1">
        <f t="shared" ca="1" si="323"/>
        <v>0</v>
      </c>
      <c r="GW74" s="1">
        <f t="shared" ca="1" si="324"/>
        <v>1</v>
      </c>
      <c r="GX74" s="1" t="str">
        <f t="shared" ca="1" si="325"/>
        <v/>
      </c>
      <c r="GY74" s="1" t="str">
        <f t="shared" ca="1" si="326"/>
        <v/>
      </c>
      <c r="GZ74" s="1" t="str">
        <f t="shared" ca="1" si="327"/>
        <v/>
      </c>
      <c r="HA74" s="1" t="str">
        <f t="shared" ca="1" si="328"/>
        <v/>
      </c>
      <c r="HE74" s="1" t="e">
        <f>MATCH(CONCATENATE($B74,"_",INDEX($C$4:$C69,HE$65)),lu_DataCode,0)</f>
        <v>#N/A</v>
      </c>
      <c r="HF74" s="1" t="e">
        <f t="shared" ca="1" si="219"/>
        <v>#N/A</v>
      </c>
      <c r="HG74" s="1" t="e">
        <f t="shared" ca="1" si="220"/>
        <v>#N/A</v>
      </c>
      <c r="HH74" s="1">
        <f t="shared" ca="1" si="221"/>
        <v>0</v>
      </c>
      <c r="HI74" s="1">
        <f t="shared" ca="1" si="329"/>
        <v>-10000000000</v>
      </c>
      <c r="HJ74" s="1">
        <f ca="1">RANK(HI74,HI$68:HI$93,HI$65)+COUNTIF(HI$68:HI74,HI74)-1</f>
        <v>7</v>
      </c>
      <c r="HK74" s="1">
        <f t="shared" ca="1" si="330"/>
        <v>7</v>
      </c>
      <c r="HL74" s="1">
        <f t="shared" ca="1" si="331"/>
        <v>0</v>
      </c>
      <c r="HM74" s="1">
        <f t="shared" ca="1" si="332"/>
        <v>1</v>
      </c>
      <c r="HN74" s="1" t="str">
        <f t="shared" ca="1" si="333"/>
        <v/>
      </c>
      <c r="HO74" s="1" t="str">
        <f t="shared" ca="1" si="334"/>
        <v/>
      </c>
      <c r="HP74" s="1" t="str">
        <f t="shared" ca="1" si="335"/>
        <v/>
      </c>
      <c r="HQ74" s="1" t="str">
        <f t="shared" ca="1" si="336"/>
        <v/>
      </c>
      <c r="HU74" s="1" t="e">
        <f>MATCH(CONCATENATE($B74,"_",INDEX($C$4:$C69,HU$65)),lu_DataCode,0)</f>
        <v>#N/A</v>
      </c>
      <c r="HV74" s="1" t="e">
        <f t="shared" ca="1" si="222"/>
        <v>#N/A</v>
      </c>
      <c r="HW74" s="1" t="e">
        <f t="shared" ca="1" si="223"/>
        <v>#N/A</v>
      </c>
      <c r="HX74" s="1">
        <f t="shared" ca="1" si="224"/>
        <v>0</v>
      </c>
      <c r="HY74" s="1">
        <f t="shared" ca="1" si="337"/>
        <v>-10000000000</v>
      </c>
      <c r="HZ74" s="1">
        <f ca="1">RANK(HY74,HY$68:HY$93,HY$65)+COUNTIF(HY$68:HY74,HY74)-1</f>
        <v>7</v>
      </c>
      <c r="IA74" s="1">
        <f t="shared" ca="1" si="338"/>
        <v>7</v>
      </c>
      <c r="IB74" s="1">
        <f t="shared" ca="1" si="339"/>
        <v>0</v>
      </c>
      <c r="IC74" s="1">
        <f t="shared" ca="1" si="340"/>
        <v>1</v>
      </c>
      <c r="ID74" s="1" t="str">
        <f t="shared" ca="1" si="341"/>
        <v/>
      </c>
      <c r="IE74" s="1" t="str">
        <f t="shared" ca="1" si="342"/>
        <v/>
      </c>
      <c r="IF74" s="1" t="str">
        <f t="shared" ca="1" si="343"/>
        <v/>
      </c>
      <c r="IG74" s="1" t="str">
        <f t="shared" ca="1" si="344"/>
        <v/>
      </c>
    </row>
    <row r="75" spans="1:241" ht="10.15" x14ac:dyDescent="0.2">
      <c r="A75" s="1">
        <f t="shared" si="179"/>
        <v>8</v>
      </c>
      <c r="B75" s="1" t="str">
        <f t="shared" si="179"/>
        <v>NAC_CO_1</v>
      </c>
      <c r="C75" s="1" t="str">
        <f t="shared" si="179"/>
        <v>Colombia</v>
      </c>
      <c r="D75" s="1">
        <f t="shared" si="179"/>
        <v>1</v>
      </c>
      <c r="E75" s="1" t="e">
        <f>MATCH(CONCATENATE($B75,"_",INDEX($C$4:$C70,E$65)),lu_DataCode,0)</f>
        <v>#N/A</v>
      </c>
      <c r="F75" s="1" t="e">
        <f t="shared" ca="1" si="180"/>
        <v>#N/A</v>
      </c>
      <c r="G75" s="1" t="e">
        <f t="shared" ca="1" si="181"/>
        <v>#N/A</v>
      </c>
      <c r="H75" s="1">
        <f t="shared" ca="1" si="182"/>
        <v>0</v>
      </c>
      <c r="I75" s="1">
        <f t="shared" ca="1" si="225"/>
        <v>-10000000000</v>
      </c>
      <c r="J75" s="1">
        <f ca="1">RANK(I75,I$68:I$93,I$65)+COUNTIF(I$68:I75,I75)-1</f>
        <v>8</v>
      </c>
      <c r="K75" s="1">
        <f t="shared" ca="1" si="226"/>
        <v>8</v>
      </c>
      <c r="L75" s="1">
        <f t="shared" ca="1" si="227"/>
        <v>0</v>
      </c>
      <c r="M75" s="1">
        <f t="shared" ca="1" si="228"/>
        <v>1</v>
      </c>
      <c r="N75" s="1" t="str">
        <f t="shared" ca="1" si="229"/>
        <v/>
      </c>
      <c r="O75" s="1" t="str">
        <f t="shared" ca="1" si="230"/>
        <v/>
      </c>
      <c r="P75" s="1" t="str">
        <f t="shared" ca="1" si="231"/>
        <v/>
      </c>
      <c r="Q75" s="1" t="str">
        <f t="shared" ca="1" si="232"/>
        <v/>
      </c>
      <c r="U75" s="1" t="e">
        <f>MATCH(CONCATENATE($B75,"_",INDEX($C$4:$C70,U$65)),lu_DataCode,0)</f>
        <v>#N/A</v>
      </c>
      <c r="V75" s="1" t="e">
        <f t="shared" ca="1" si="183"/>
        <v>#N/A</v>
      </c>
      <c r="W75" s="1" t="e">
        <f t="shared" ca="1" si="184"/>
        <v>#N/A</v>
      </c>
      <c r="X75" s="1">
        <f t="shared" ca="1" si="185"/>
        <v>0</v>
      </c>
      <c r="Y75" s="1">
        <f t="shared" ca="1" si="233"/>
        <v>-10000000000</v>
      </c>
      <c r="Z75" s="1">
        <f ca="1">RANK(Y75,Y$68:Y$93,Y$65)+COUNTIF(Y$68:Y75,Y75)-1</f>
        <v>8</v>
      </c>
      <c r="AA75" s="1">
        <f t="shared" ca="1" si="234"/>
        <v>8</v>
      </c>
      <c r="AB75" s="1">
        <f t="shared" ca="1" si="235"/>
        <v>0</v>
      </c>
      <c r="AC75" s="1">
        <f t="shared" ca="1" si="236"/>
        <v>1</v>
      </c>
      <c r="AD75" s="1" t="str">
        <f t="shared" ca="1" si="237"/>
        <v/>
      </c>
      <c r="AE75" s="1" t="str">
        <f t="shared" ca="1" si="238"/>
        <v/>
      </c>
      <c r="AF75" s="1" t="str">
        <f t="shared" ca="1" si="239"/>
        <v/>
      </c>
      <c r="AG75" s="1" t="str">
        <f t="shared" ca="1" si="240"/>
        <v/>
      </c>
      <c r="AK75" s="1" t="e">
        <f>MATCH(CONCATENATE($B75,"_",INDEX($C$4:$C70,AK$65)),lu_DataCode,0)</f>
        <v>#N/A</v>
      </c>
      <c r="AL75" s="1" t="e">
        <f t="shared" ca="1" si="186"/>
        <v>#N/A</v>
      </c>
      <c r="AM75" s="1" t="e">
        <f t="shared" ca="1" si="187"/>
        <v>#N/A</v>
      </c>
      <c r="AN75" s="1">
        <f t="shared" ca="1" si="188"/>
        <v>0</v>
      </c>
      <c r="AO75" s="1">
        <f t="shared" ca="1" si="241"/>
        <v>-10000000000</v>
      </c>
      <c r="AP75" s="1">
        <f ca="1">RANK(AO75,AO$68:AO$93,AO$65)+COUNTIF(AO$68:AO75,AO75)-1</f>
        <v>8</v>
      </c>
      <c r="AQ75" s="1">
        <f t="shared" ca="1" si="242"/>
        <v>8</v>
      </c>
      <c r="AR75" s="1">
        <f t="shared" ca="1" si="243"/>
        <v>0</v>
      </c>
      <c r="AS75" s="1">
        <f t="shared" ca="1" si="244"/>
        <v>1</v>
      </c>
      <c r="AT75" s="1" t="str">
        <f t="shared" ca="1" si="245"/>
        <v/>
      </c>
      <c r="AU75" s="1" t="str">
        <f t="shared" ca="1" si="246"/>
        <v/>
      </c>
      <c r="AV75" s="1" t="str">
        <f t="shared" ca="1" si="247"/>
        <v/>
      </c>
      <c r="AW75" s="1" t="str">
        <f t="shared" ca="1" si="248"/>
        <v/>
      </c>
      <c r="BA75" s="1" t="e">
        <f>MATCH(CONCATENATE($B75,"_",INDEX($C$4:$C70,BA$65)),lu_DataCode,0)</f>
        <v>#N/A</v>
      </c>
      <c r="BB75" s="1" t="e">
        <f t="shared" ca="1" si="189"/>
        <v>#N/A</v>
      </c>
      <c r="BC75" s="1" t="e">
        <f t="shared" ca="1" si="190"/>
        <v>#N/A</v>
      </c>
      <c r="BD75" s="1">
        <f t="shared" ca="1" si="191"/>
        <v>0</v>
      </c>
      <c r="BE75" s="1">
        <f t="shared" ca="1" si="249"/>
        <v>-10000000000</v>
      </c>
      <c r="BF75" s="1">
        <f ca="1">RANK(BE75,BE$68:BE$93,BE$65)+COUNTIF(BE$68:BE75,BE75)-1</f>
        <v>8</v>
      </c>
      <c r="BG75" s="1">
        <f t="shared" ca="1" si="250"/>
        <v>8</v>
      </c>
      <c r="BH75" s="1">
        <f t="shared" ca="1" si="251"/>
        <v>0</v>
      </c>
      <c r="BI75" s="1">
        <f t="shared" ca="1" si="252"/>
        <v>1</v>
      </c>
      <c r="BJ75" s="1" t="str">
        <f t="shared" ca="1" si="253"/>
        <v/>
      </c>
      <c r="BK75" s="1" t="str">
        <f t="shared" ca="1" si="254"/>
        <v/>
      </c>
      <c r="BL75" s="1" t="str">
        <f t="shared" ca="1" si="255"/>
        <v/>
      </c>
      <c r="BM75" s="1" t="str">
        <f t="shared" ca="1" si="256"/>
        <v/>
      </c>
      <c r="BQ75" s="1" t="e">
        <f>MATCH(CONCATENATE($B75,"_",INDEX($C$4:$C70,BQ$65)),lu_DataCode,0)</f>
        <v>#N/A</v>
      </c>
      <c r="BR75" s="1" t="e">
        <f t="shared" ca="1" si="192"/>
        <v>#N/A</v>
      </c>
      <c r="BS75" s="1" t="e">
        <f t="shared" ca="1" si="193"/>
        <v>#N/A</v>
      </c>
      <c r="BT75" s="1">
        <f t="shared" ca="1" si="194"/>
        <v>0</v>
      </c>
      <c r="BU75" s="1">
        <f t="shared" ca="1" si="257"/>
        <v>-10000000000</v>
      </c>
      <c r="BV75" s="1">
        <f ca="1">RANK(BU75,BU$68:BU$93,BU$65)+COUNTIF(BU$68:BU75,BU75)-1</f>
        <v>8</v>
      </c>
      <c r="BW75" s="1">
        <f t="shared" ca="1" si="258"/>
        <v>8</v>
      </c>
      <c r="BX75" s="1">
        <f t="shared" ca="1" si="259"/>
        <v>0</v>
      </c>
      <c r="BY75" s="1">
        <f t="shared" ca="1" si="260"/>
        <v>1</v>
      </c>
      <c r="BZ75" s="1" t="str">
        <f t="shared" ca="1" si="261"/>
        <v/>
      </c>
      <c r="CA75" s="1" t="str">
        <f t="shared" ca="1" si="262"/>
        <v/>
      </c>
      <c r="CB75" s="1" t="str">
        <f t="shared" ca="1" si="263"/>
        <v/>
      </c>
      <c r="CC75" s="1" t="str">
        <f t="shared" ca="1" si="264"/>
        <v/>
      </c>
      <c r="CG75" s="1" t="e">
        <f>MATCH(CONCATENATE($B75,"_",INDEX($C$4:$C70,CG$65)),lu_DataCode,0)</f>
        <v>#N/A</v>
      </c>
      <c r="CH75" s="1" t="e">
        <f t="shared" ca="1" si="195"/>
        <v>#N/A</v>
      </c>
      <c r="CI75" s="1" t="e">
        <f t="shared" ca="1" si="196"/>
        <v>#N/A</v>
      </c>
      <c r="CJ75" s="1">
        <f t="shared" ca="1" si="197"/>
        <v>0</v>
      </c>
      <c r="CK75" s="1">
        <f t="shared" ca="1" si="265"/>
        <v>-10000000000</v>
      </c>
      <c r="CL75" s="1">
        <f ca="1">RANK(CK75,CK$68:CK$93,CK$65)+COUNTIF(CK$68:CK75,CK75)-1</f>
        <v>8</v>
      </c>
      <c r="CM75" s="1">
        <f t="shared" ca="1" si="266"/>
        <v>8</v>
      </c>
      <c r="CN75" s="1">
        <f t="shared" ca="1" si="267"/>
        <v>0</v>
      </c>
      <c r="CO75" s="1">
        <f t="shared" ca="1" si="268"/>
        <v>1</v>
      </c>
      <c r="CP75" s="1" t="str">
        <f t="shared" ca="1" si="269"/>
        <v/>
      </c>
      <c r="CQ75" s="1" t="str">
        <f t="shared" ca="1" si="270"/>
        <v/>
      </c>
      <c r="CR75" s="1" t="str">
        <f t="shared" ca="1" si="271"/>
        <v/>
      </c>
      <c r="CS75" s="1" t="str">
        <f t="shared" ca="1" si="272"/>
        <v/>
      </c>
      <c r="CW75" s="1" t="e">
        <f>MATCH(CONCATENATE($B75,"_",INDEX($C$4:$C70,CW$65)),lu_DataCode,0)</f>
        <v>#N/A</v>
      </c>
      <c r="CX75" s="1" t="e">
        <f t="shared" ca="1" si="198"/>
        <v>#N/A</v>
      </c>
      <c r="CY75" s="1" t="e">
        <f t="shared" ca="1" si="199"/>
        <v>#N/A</v>
      </c>
      <c r="CZ75" s="1">
        <f t="shared" ca="1" si="200"/>
        <v>0</v>
      </c>
      <c r="DA75" s="1">
        <f t="shared" ca="1" si="273"/>
        <v>-10000000000</v>
      </c>
      <c r="DB75" s="1">
        <f ca="1">RANK(DA75,DA$68:DA$93,DA$65)+COUNTIF(DA$68:DA75,DA75)-1</f>
        <v>8</v>
      </c>
      <c r="DC75" s="1">
        <f t="shared" ca="1" si="274"/>
        <v>8</v>
      </c>
      <c r="DD75" s="1">
        <f t="shared" ca="1" si="275"/>
        <v>0</v>
      </c>
      <c r="DE75" s="1">
        <f t="shared" ca="1" si="276"/>
        <v>1</v>
      </c>
      <c r="DF75" s="1" t="str">
        <f t="shared" ca="1" si="277"/>
        <v/>
      </c>
      <c r="DG75" s="1" t="str">
        <f t="shared" ca="1" si="278"/>
        <v/>
      </c>
      <c r="DH75" s="1" t="str">
        <f t="shared" ca="1" si="279"/>
        <v/>
      </c>
      <c r="DI75" s="1" t="str">
        <f t="shared" ca="1" si="280"/>
        <v/>
      </c>
      <c r="DM75" s="1" t="e">
        <f>MATCH(CONCATENATE($B75,"_",INDEX($C$4:$C70,DM$65)),lu_DataCode,0)</f>
        <v>#N/A</v>
      </c>
      <c r="DN75" s="1" t="e">
        <f t="shared" ca="1" si="201"/>
        <v>#N/A</v>
      </c>
      <c r="DO75" s="1" t="e">
        <f t="shared" ca="1" si="202"/>
        <v>#N/A</v>
      </c>
      <c r="DP75" s="1">
        <f t="shared" ca="1" si="203"/>
        <v>0</v>
      </c>
      <c r="DQ75" s="1">
        <f t="shared" ca="1" si="281"/>
        <v>-10000000000</v>
      </c>
      <c r="DR75" s="1">
        <f ca="1">RANK(DQ75,DQ$68:DQ$93,DQ$65)+COUNTIF(DQ$68:DQ75,DQ75)-1</f>
        <v>8</v>
      </c>
      <c r="DS75" s="1">
        <f t="shared" ca="1" si="282"/>
        <v>8</v>
      </c>
      <c r="DT75" s="1">
        <f t="shared" ca="1" si="283"/>
        <v>0</v>
      </c>
      <c r="DU75" s="1">
        <f t="shared" ca="1" si="284"/>
        <v>1</v>
      </c>
      <c r="DV75" s="1" t="str">
        <f t="shared" ca="1" si="285"/>
        <v/>
      </c>
      <c r="DW75" s="1" t="str">
        <f t="shared" ca="1" si="286"/>
        <v/>
      </c>
      <c r="DX75" s="1" t="str">
        <f t="shared" ca="1" si="287"/>
        <v/>
      </c>
      <c r="DY75" s="1" t="str">
        <f t="shared" ca="1" si="288"/>
        <v/>
      </c>
      <c r="EC75" s="1" t="e">
        <f>MATCH(CONCATENATE($B75,"_",INDEX($C$4:$C70,EC$65)),lu_DataCode,0)</f>
        <v>#N/A</v>
      </c>
      <c r="ED75" s="1" t="e">
        <f t="shared" ca="1" si="204"/>
        <v>#N/A</v>
      </c>
      <c r="EE75" s="1" t="e">
        <f t="shared" ca="1" si="205"/>
        <v>#N/A</v>
      </c>
      <c r="EF75" s="1">
        <f t="shared" ca="1" si="206"/>
        <v>0</v>
      </c>
      <c r="EG75" s="1">
        <f t="shared" ca="1" si="289"/>
        <v>-10000000000</v>
      </c>
      <c r="EH75" s="1">
        <f ca="1">RANK(EG75,EG$68:EG$93,EG$65)+COUNTIF(EG$68:EG75,EG75)-1</f>
        <v>8</v>
      </c>
      <c r="EI75" s="1">
        <f t="shared" ca="1" si="290"/>
        <v>8</v>
      </c>
      <c r="EJ75" s="1">
        <f t="shared" ca="1" si="291"/>
        <v>0</v>
      </c>
      <c r="EK75" s="1">
        <f t="shared" ca="1" si="292"/>
        <v>1</v>
      </c>
      <c r="EL75" s="1" t="str">
        <f t="shared" ca="1" si="293"/>
        <v/>
      </c>
      <c r="EM75" s="1" t="str">
        <f t="shared" ca="1" si="294"/>
        <v/>
      </c>
      <c r="EN75" s="1" t="str">
        <f t="shared" ca="1" si="295"/>
        <v/>
      </c>
      <c r="EO75" s="1" t="str">
        <f t="shared" ca="1" si="296"/>
        <v/>
      </c>
      <c r="ES75" s="1" t="e">
        <f>MATCH(CONCATENATE($B75,"_",INDEX($C$4:$C70,ES$65)),lu_DataCode,0)</f>
        <v>#N/A</v>
      </c>
      <c r="ET75" s="1" t="e">
        <f t="shared" ca="1" si="207"/>
        <v>#N/A</v>
      </c>
      <c r="EU75" s="1" t="e">
        <f t="shared" ca="1" si="208"/>
        <v>#N/A</v>
      </c>
      <c r="EV75" s="1">
        <f t="shared" ca="1" si="209"/>
        <v>0</v>
      </c>
      <c r="EW75" s="1">
        <f t="shared" ca="1" si="297"/>
        <v>-10000000000</v>
      </c>
      <c r="EX75" s="1">
        <f ca="1">RANK(EW75,EW$68:EW$93,EW$65)+COUNTIF(EW$68:EW75,EW75)-1</f>
        <v>8</v>
      </c>
      <c r="EY75" s="1">
        <f t="shared" ca="1" si="298"/>
        <v>8</v>
      </c>
      <c r="EZ75" s="1">
        <f t="shared" ca="1" si="299"/>
        <v>0</v>
      </c>
      <c r="FA75" s="1">
        <f t="shared" ca="1" si="300"/>
        <v>1</v>
      </c>
      <c r="FB75" s="1" t="str">
        <f t="shared" ca="1" si="301"/>
        <v/>
      </c>
      <c r="FC75" s="1" t="str">
        <f t="shared" ca="1" si="302"/>
        <v/>
      </c>
      <c r="FD75" s="1" t="str">
        <f t="shared" ca="1" si="303"/>
        <v/>
      </c>
      <c r="FE75" s="1" t="str">
        <f t="shared" ca="1" si="304"/>
        <v/>
      </c>
      <c r="FI75" s="1" t="e">
        <f>MATCH(CONCATENATE($B75,"_",INDEX($C$4:$C70,FI$65)),lu_DataCode,0)</f>
        <v>#N/A</v>
      </c>
      <c r="FJ75" s="1" t="e">
        <f t="shared" ca="1" si="210"/>
        <v>#N/A</v>
      </c>
      <c r="FK75" s="1" t="e">
        <f t="shared" ca="1" si="211"/>
        <v>#N/A</v>
      </c>
      <c r="FL75" s="1">
        <f t="shared" ca="1" si="212"/>
        <v>0</v>
      </c>
      <c r="FM75" s="1">
        <f t="shared" ca="1" si="305"/>
        <v>-10000000000</v>
      </c>
      <c r="FN75" s="1">
        <f ca="1">RANK(FM75,FM$68:FM$93,FM$65)+COUNTIF(FM$68:FM75,FM75)-1</f>
        <v>8</v>
      </c>
      <c r="FO75" s="1">
        <f t="shared" ca="1" si="306"/>
        <v>8</v>
      </c>
      <c r="FP75" s="1">
        <f t="shared" ca="1" si="307"/>
        <v>0</v>
      </c>
      <c r="FQ75" s="1">
        <f t="shared" ca="1" si="308"/>
        <v>1</v>
      </c>
      <c r="FR75" s="1" t="str">
        <f t="shared" ca="1" si="309"/>
        <v/>
      </c>
      <c r="FS75" s="1" t="str">
        <f t="shared" ca="1" si="310"/>
        <v/>
      </c>
      <c r="FT75" s="1" t="str">
        <f t="shared" ca="1" si="311"/>
        <v/>
      </c>
      <c r="FU75" s="1" t="str">
        <f t="shared" ca="1" si="312"/>
        <v/>
      </c>
      <c r="FY75" s="1" t="e">
        <f>MATCH(CONCATENATE($B75,"_",INDEX($C$4:$C70,FY$65)),lu_DataCode,0)</f>
        <v>#N/A</v>
      </c>
      <c r="FZ75" s="1" t="e">
        <f t="shared" ca="1" si="213"/>
        <v>#N/A</v>
      </c>
      <c r="GA75" s="1" t="e">
        <f t="shared" ca="1" si="214"/>
        <v>#N/A</v>
      </c>
      <c r="GB75" s="1">
        <f t="shared" ca="1" si="215"/>
        <v>0</v>
      </c>
      <c r="GC75" s="1">
        <f t="shared" ca="1" si="313"/>
        <v>-10000000000</v>
      </c>
      <c r="GD75" s="1">
        <f ca="1">RANK(GC75,GC$68:GC$93,GC$65)+COUNTIF(GC$68:GC75,GC75)-1</f>
        <v>8</v>
      </c>
      <c r="GE75" s="1">
        <f t="shared" ca="1" si="314"/>
        <v>8</v>
      </c>
      <c r="GF75" s="1">
        <f t="shared" ca="1" si="315"/>
        <v>0</v>
      </c>
      <c r="GG75" s="1">
        <f t="shared" ca="1" si="316"/>
        <v>1</v>
      </c>
      <c r="GH75" s="1" t="str">
        <f t="shared" ca="1" si="317"/>
        <v/>
      </c>
      <c r="GI75" s="1" t="str">
        <f t="shared" ca="1" si="318"/>
        <v/>
      </c>
      <c r="GJ75" s="1" t="str">
        <f t="shared" ca="1" si="319"/>
        <v/>
      </c>
      <c r="GK75" s="1" t="str">
        <f t="shared" ca="1" si="320"/>
        <v/>
      </c>
      <c r="GO75" s="1" t="e">
        <f>MATCH(CONCATENATE($B75,"_",INDEX($C$4:$C70,GO$65)),lu_DataCode,0)</f>
        <v>#N/A</v>
      </c>
      <c r="GP75" s="1" t="e">
        <f t="shared" ca="1" si="216"/>
        <v>#N/A</v>
      </c>
      <c r="GQ75" s="1" t="e">
        <f t="shared" ca="1" si="217"/>
        <v>#N/A</v>
      </c>
      <c r="GR75" s="1">
        <f t="shared" ca="1" si="218"/>
        <v>0</v>
      </c>
      <c r="GS75" s="1">
        <f t="shared" ca="1" si="321"/>
        <v>-10000000000</v>
      </c>
      <c r="GT75" s="1">
        <f ca="1">RANK(GS75,GS$68:GS$93,GS$65)+COUNTIF(GS$68:GS75,GS75)-1</f>
        <v>8</v>
      </c>
      <c r="GU75" s="1">
        <f t="shared" ca="1" si="322"/>
        <v>8</v>
      </c>
      <c r="GV75" s="1">
        <f t="shared" ca="1" si="323"/>
        <v>0</v>
      </c>
      <c r="GW75" s="1">
        <f t="shared" ca="1" si="324"/>
        <v>1</v>
      </c>
      <c r="GX75" s="1" t="str">
        <f t="shared" ca="1" si="325"/>
        <v/>
      </c>
      <c r="GY75" s="1" t="str">
        <f t="shared" ca="1" si="326"/>
        <v/>
      </c>
      <c r="GZ75" s="1" t="str">
        <f t="shared" ca="1" si="327"/>
        <v/>
      </c>
      <c r="HA75" s="1" t="str">
        <f t="shared" ca="1" si="328"/>
        <v/>
      </c>
      <c r="HE75" s="1" t="e">
        <f>MATCH(CONCATENATE($B75,"_",INDEX($C$4:$C70,HE$65)),lu_DataCode,0)</f>
        <v>#N/A</v>
      </c>
      <c r="HF75" s="1" t="e">
        <f t="shared" ca="1" si="219"/>
        <v>#N/A</v>
      </c>
      <c r="HG75" s="1" t="e">
        <f t="shared" ca="1" si="220"/>
        <v>#N/A</v>
      </c>
      <c r="HH75" s="1">
        <f t="shared" ca="1" si="221"/>
        <v>0</v>
      </c>
      <c r="HI75" s="1">
        <f t="shared" ca="1" si="329"/>
        <v>-10000000000</v>
      </c>
      <c r="HJ75" s="1">
        <f ca="1">RANK(HI75,HI$68:HI$93,HI$65)+COUNTIF(HI$68:HI75,HI75)-1</f>
        <v>8</v>
      </c>
      <c r="HK75" s="1">
        <f t="shared" ca="1" si="330"/>
        <v>8</v>
      </c>
      <c r="HL75" s="1">
        <f t="shared" ca="1" si="331"/>
        <v>0</v>
      </c>
      <c r="HM75" s="1">
        <f t="shared" ca="1" si="332"/>
        <v>1</v>
      </c>
      <c r="HN75" s="1" t="str">
        <f t="shared" ca="1" si="333"/>
        <v/>
      </c>
      <c r="HO75" s="1" t="str">
        <f t="shared" ca="1" si="334"/>
        <v/>
      </c>
      <c r="HP75" s="1" t="str">
        <f t="shared" ca="1" si="335"/>
        <v/>
      </c>
      <c r="HQ75" s="1" t="str">
        <f t="shared" ca="1" si="336"/>
        <v/>
      </c>
      <c r="HU75" s="1" t="e">
        <f>MATCH(CONCATENATE($B75,"_",INDEX($C$4:$C70,HU$65)),lu_DataCode,0)</f>
        <v>#N/A</v>
      </c>
      <c r="HV75" s="1" t="e">
        <f t="shared" ca="1" si="222"/>
        <v>#N/A</v>
      </c>
      <c r="HW75" s="1" t="e">
        <f t="shared" ca="1" si="223"/>
        <v>#N/A</v>
      </c>
      <c r="HX75" s="1">
        <f t="shared" ca="1" si="224"/>
        <v>0</v>
      </c>
      <c r="HY75" s="1">
        <f t="shared" ca="1" si="337"/>
        <v>-10000000000</v>
      </c>
      <c r="HZ75" s="1">
        <f ca="1">RANK(HY75,HY$68:HY$93,HY$65)+COUNTIF(HY$68:HY75,HY75)-1</f>
        <v>8</v>
      </c>
      <c r="IA75" s="1">
        <f t="shared" ca="1" si="338"/>
        <v>8</v>
      </c>
      <c r="IB75" s="1">
        <f t="shared" ca="1" si="339"/>
        <v>0</v>
      </c>
      <c r="IC75" s="1">
        <f t="shared" ca="1" si="340"/>
        <v>1</v>
      </c>
      <c r="ID75" s="1" t="str">
        <f t="shared" ca="1" si="341"/>
        <v/>
      </c>
      <c r="IE75" s="1" t="str">
        <f t="shared" ca="1" si="342"/>
        <v/>
      </c>
      <c r="IF75" s="1" t="str">
        <f t="shared" ca="1" si="343"/>
        <v/>
      </c>
      <c r="IG75" s="1" t="str">
        <f t="shared" ca="1" si="344"/>
        <v/>
      </c>
    </row>
    <row r="76" spans="1:241" ht="10.15" x14ac:dyDescent="0.2">
      <c r="A76" s="1">
        <f t="shared" si="179"/>
        <v>9</v>
      </c>
      <c r="B76" s="1" t="str">
        <f t="shared" si="179"/>
        <v>NAC_CR_1</v>
      </c>
      <c r="C76" s="1" t="str">
        <f t="shared" si="179"/>
        <v>Costa Rica</v>
      </c>
      <c r="D76" s="1">
        <f t="shared" si="179"/>
        <v>1</v>
      </c>
      <c r="E76" s="1" t="e">
        <f>MATCH(CONCATENATE($B76,"_",INDEX($C$4:$C71,E$65)),lu_DataCode,0)</f>
        <v>#N/A</v>
      </c>
      <c r="F76" s="1" t="e">
        <f t="shared" ca="1" si="180"/>
        <v>#N/A</v>
      </c>
      <c r="G76" s="1" t="e">
        <f t="shared" ca="1" si="181"/>
        <v>#N/A</v>
      </c>
      <c r="H76" s="1">
        <f t="shared" ca="1" si="182"/>
        <v>0</v>
      </c>
      <c r="I76" s="1">
        <f t="shared" ca="1" si="225"/>
        <v>-10000000000</v>
      </c>
      <c r="J76" s="1">
        <f ca="1">RANK(I76,I$68:I$93,I$65)+COUNTIF(I$68:I76,I76)-1</f>
        <v>9</v>
      </c>
      <c r="K76" s="1">
        <f t="shared" ca="1" si="226"/>
        <v>9</v>
      </c>
      <c r="L76" s="1">
        <f t="shared" ca="1" si="227"/>
        <v>0</v>
      </c>
      <c r="M76" s="1">
        <f t="shared" ca="1" si="228"/>
        <v>1</v>
      </c>
      <c r="N76" s="1" t="str">
        <f t="shared" ca="1" si="229"/>
        <v/>
      </c>
      <c r="O76" s="1" t="str">
        <f t="shared" ca="1" si="230"/>
        <v/>
      </c>
      <c r="P76" s="1" t="str">
        <f t="shared" ca="1" si="231"/>
        <v/>
      </c>
      <c r="Q76" s="1" t="str">
        <f t="shared" ca="1" si="232"/>
        <v/>
      </c>
      <c r="U76" s="1" t="e">
        <f>MATCH(CONCATENATE($B76,"_",INDEX($C$4:$C71,U$65)),lu_DataCode,0)</f>
        <v>#N/A</v>
      </c>
      <c r="V76" s="1" t="e">
        <f t="shared" ca="1" si="183"/>
        <v>#N/A</v>
      </c>
      <c r="W76" s="1" t="e">
        <f t="shared" ca="1" si="184"/>
        <v>#N/A</v>
      </c>
      <c r="X76" s="1">
        <f t="shared" ca="1" si="185"/>
        <v>0</v>
      </c>
      <c r="Y76" s="1">
        <f t="shared" ca="1" si="233"/>
        <v>-10000000000</v>
      </c>
      <c r="Z76" s="1">
        <f ca="1">RANK(Y76,Y$68:Y$93,Y$65)+COUNTIF(Y$68:Y76,Y76)-1</f>
        <v>9</v>
      </c>
      <c r="AA76" s="1">
        <f t="shared" ca="1" si="234"/>
        <v>9</v>
      </c>
      <c r="AB76" s="1">
        <f t="shared" ca="1" si="235"/>
        <v>0</v>
      </c>
      <c r="AC76" s="1">
        <f t="shared" ca="1" si="236"/>
        <v>1</v>
      </c>
      <c r="AD76" s="1" t="str">
        <f t="shared" ca="1" si="237"/>
        <v/>
      </c>
      <c r="AE76" s="1" t="str">
        <f t="shared" ca="1" si="238"/>
        <v/>
      </c>
      <c r="AF76" s="1" t="str">
        <f t="shared" ca="1" si="239"/>
        <v/>
      </c>
      <c r="AG76" s="1" t="str">
        <f t="shared" ca="1" si="240"/>
        <v/>
      </c>
      <c r="AK76" s="1" t="e">
        <f>MATCH(CONCATENATE($B76,"_",INDEX($C$4:$C71,AK$65)),lu_DataCode,0)</f>
        <v>#N/A</v>
      </c>
      <c r="AL76" s="1" t="e">
        <f t="shared" ca="1" si="186"/>
        <v>#N/A</v>
      </c>
      <c r="AM76" s="1" t="e">
        <f t="shared" ca="1" si="187"/>
        <v>#N/A</v>
      </c>
      <c r="AN76" s="1">
        <f t="shared" ca="1" si="188"/>
        <v>0</v>
      </c>
      <c r="AO76" s="1">
        <f t="shared" ca="1" si="241"/>
        <v>-10000000000</v>
      </c>
      <c r="AP76" s="1">
        <f ca="1">RANK(AO76,AO$68:AO$93,AO$65)+COUNTIF(AO$68:AO76,AO76)-1</f>
        <v>9</v>
      </c>
      <c r="AQ76" s="1">
        <f t="shared" ca="1" si="242"/>
        <v>9</v>
      </c>
      <c r="AR76" s="1">
        <f t="shared" ca="1" si="243"/>
        <v>0</v>
      </c>
      <c r="AS76" s="1">
        <f t="shared" ca="1" si="244"/>
        <v>1</v>
      </c>
      <c r="AT76" s="1" t="str">
        <f t="shared" ca="1" si="245"/>
        <v/>
      </c>
      <c r="AU76" s="1" t="str">
        <f t="shared" ca="1" si="246"/>
        <v/>
      </c>
      <c r="AV76" s="1" t="str">
        <f t="shared" ca="1" si="247"/>
        <v/>
      </c>
      <c r="AW76" s="1" t="str">
        <f t="shared" ca="1" si="248"/>
        <v/>
      </c>
      <c r="BA76" s="1" t="e">
        <f>MATCH(CONCATENATE($B76,"_",INDEX($C$4:$C71,BA$65)),lu_DataCode,0)</f>
        <v>#N/A</v>
      </c>
      <c r="BB76" s="1" t="e">
        <f t="shared" ca="1" si="189"/>
        <v>#N/A</v>
      </c>
      <c r="BC76" s="1" t="e">
        <f t="shared" ca="1" si="190"/>
        <v>#N/A</v>
      </c>
      <c r="BD76" s="1">
        <f t="shared" ca="1" si="191"/>
        <v>0</v>
      </c>
      <c r="BE76" s="1">
        <f t="shared" ca="1" si="249"/>
        <v>-10000000000</v>
      </c>
      <c r="BF76" s="1">
        <f ca="1">RANK(BE76,BE$68:BE$93,BE$65)+COUNTIF(BE$68:BE76,BE76)-1</f>
        <v>9</v>
      </c>
      <c r="BG76" s="1">
        <f t="shared" ca="1" si="250"/>
        <v>9</v>
      </c>
      <c r="BH76" s="1">
        <f t="shared" ca="1" si="251"/>
        <v>0</v>
      </c>
      <c r="BI76" s="1">
        <f t="shared" ca="1" si="252"/>
        <v>1</v>
      </c>
      <c r="BJ76" s="1" t="str">
        <f t="shared" ca="1" si="253"/>
        <v/>
      </c>
      <c r="BK76" s="1" t="str">
        <f t="shared" ca="1" si="254"/>
        <v/>
      </c>
      <c r="BL76" s="1" t="str">
        <f t="shared" ca="1" si="255"/>
        <v/>
      </c>
      <c r="BM76" s="1" t="str">
        <f t="shared" ca="1" si="256"/>
        <v/>
      </c>
      <c r="BQ76" s="1" t="e">
        <f>MATCH(CONCATENATE($B76,"_",INDEX($C$4:$C71,BQ$65)),lu_DataCode,0)</f>
        <v>#N/A</v>
      </c>
      <c r="BR76" s="1" t="e">
        <f t="shared" ca="1" si="192"/>
        <v>#N/A</v>
      </c>
      <c r="BS76" s="1" t="e">
        <f t="shared" ca="1" si="193"/>
        <v>#N/A</v>
      </c>
      <c r="BT76" s="1">
        <f t="shared" ca="1" si="194"/>
        <v>0</v>
      </c>
      <c r="BU76" s="1">
        <f t="shared" ca="1" si="257"/>
        <v>-10000000000</v>
      </c>
      <c r="BV76" s="1">
        <f ca="1">RANK(BU76,BU$68:BU$93,BU$65)+COUNTIF(BU$68:BU76,BU76)-1</f>
        <v>9</v>
      </c>
      <c r="BW76" s="1">
        <f t="shared" ca="1" si="258"/>
        <v>9</v>
      </c>
      <c r="BX76" s="1">
        <f t="shared" ca="1" si="259"/>
        <v>0</v>
      </c>
      <c r="BY76" s="1">
        <f t="shared" ca="1" si="260"/>
        <v>1</v>
      </c>
      <c r="BZ76" s="1" t="str">
        <f t="shared" ca="1" si="261"/>
        <v/>
      </c>
      <c r="CA76" s="1" t="str">
        <f t="shared" ca="1" si="262"/>
        <v/>
      </c>
      <c r="CB76" s="1" t="str">
        <f t="shared" ca="1" si="263"/>
        <v/>
      </c>
      <c r="CC76" s="1" t="str">
        <f t="shared" ca="1" si="264"/>
        <v/>
      </c>
      <c r="CG76" s="1" t="e">
        <f>MATCH(CONCATENATE($B76,"_",INDEX($C$4:$C71,CG$65)),lu_DataCode,0)</f>
        <v>#N/A</v>
      </c>
      <c r="CH76" s="1" t="e">
        <f t="shared" ca="1" si="195"/>
        <v>#N/A</v>
      </c>
      <c r="CI76" s="1" t="e">
        <f t="shared" ca="1" si="196"/>
        <v>#N/A</v>
      </c>
      <c r="CJ76" s="1">
        <f t="shared" ca="1" si="197"/>
        <v>0</v>
      </c>
      <c r="CK76" s="1">
        <f t="shared" ca="1" si="265"/>
        <v>-10000000000</v>
      </c>
      <c r="CL76" s="1">
        <f ca="1">RANK(CK76,CK$68:CK$93,CK$65)+COUNTIF(CK$68:CK76,CK76)-1</f>
        <v>9</v>
      </c>
      <c r="CM76" s="1">
        <f t="shared" ca="1" si="266"/>
        <v>9</v>
      </c>
      <c r="CN76" s="1">
        <f t="shared" ca="1" si="267"/>
        <v>0</v>
      </c>
      <c r="CO76" s="1">
        <f t="shared" ca="1" si="268"/>
        <v>1</v>
      </c>
      <c r="CP76" s="1" t="str">
        <f t="shared" ca="1" si="269"/>
        <v/>
      </c>
      <c r="CQ76" s="1" t="str">
        <f t="shared" ca="1" si="270"/>
        <v/>
      </c>
      <c r="CR76" s="1" t="str">
        <f t="shared" ca="1" si="271"/>
        <v/>
      </c>
      <c r="CS76" s="1" t="str">
        <f t="shared" ca="1" si="272"/>
        <v/>
      </c>
      <c r="CW76" s="1" t="e">
        <f>MATCH(CONCATENATE($B76,"_",INDEX($C$4:$C71,CW$65)),lu_DataCode,0)</f>
        <v>#N/A</v>
      </c>
      <c r="CX76" s="1" t="e">
        <f t="shared" ca="1" si="198"/>
        <v>#N/A</v>
      </c>
      <c r="CY76" s="1" t="e">
        <f t="shared" ca="1" si="199"/>
        <v>#N/A</v>
      </c>
      <c r="CZ76" s="1">
        <f t="shared" ca="1" si="200"/>
        <v>0</v>
      </c>
      <c r="DA76" s="1">
        <f t="shared" ca="1" si="273"/>
        <v>-10000000000</v>
      </c>
      <c r="DB76" s="1">
        <f ca="1">RANK(DA76,DA$68:DA$93,DA$65)+COUNTIF(DA$68:DA76,DA76)-1</f>
        <v>9</v>
      </c>
      <c r="DC76" s="1">
        <f t="shared" ca="1" si="274"/>
        <v>9</v>
      </c>
      <c r="DD76" s="1">
        <f t="shared" ca="1" si="275"/>
        <v>0</v>
      </c>
      <c r="DE76" s="1">
        <f t="shared" ca="1" si="276"/>
        <v>1</v>
      </c>
      <c r="DF76" s="1" t="str">
        <f t="shared" ca="1" si="277"/>
        <v/>
      </c>
      <c r="DG76" s="1" t="str">
        <f t="shared" ca="1" si="278"/>
        <v/>
      </c>
      <c r="DH76" s="1" t="str">
        <f t="shared" ca="1" si="279"/>
        <v/>
      </c>
      <c r="DI76" s="1" t="str">
        <f t="shared" ca="1" si="280"/>
        <v/>
      </c>
      <c r="DM76" s="1" t="e">
        <f>MATCH(CONCATENATE($B76,"_",INDEX($C$4:$C71,DM$65)),lu_DataCode,0)</f>
        <v>#N/A</v>
      </c>
      <c r="DN76" s="1" t="e">
        <f t="shared" ca="1" si="201"/>
        <v>#N/A</v>
      </c>
      <c r="DO76" s="1" t="e">
        <f t="shared" ca="1" si="202"/>
        <v>#N/A</v>
      </c>
      <c r="DP76" s="1">
        <f t="shared" ca="1" si="203"/>
        <v>0</v>
      </c>
      <c r="DQ76" s="1">
        <f t="shared" ca="1" si="281"/>
        <v>-10000000000</v>
      </c>
      <c r="DR76" s="1">
        <f ca="1">RANK(DQ76,DQ$68:DQ$93,DQ$65)+COUNTIF(DQ$68:DQ76,DQ76)-1</f>
        <v>9</v>
      </c>
      <c r="DS76" s="1">
        <f t="shared" ca="1" si="282"/>
        <v>9</v>
      </c>
      <c r="DT76" s="1">
        <f t="shared" ca="1" si="283"/>
        <v>0</v>
      </c>
      <c r="DU76" s="1">
        <f t="shared" ca="1" si="284"/>
        <v>1</v>
      </c>
      <c r="DV76" s="1" t="str">
        <f t="shared" ca="1" si="285"/>
        <v/>
      </c>
      <c r="DW76" s="1" t="str">
        <f t="shared" ca="1" si="286"/>
        <v/>
      </c>
      <c r="DX76" s="1" t="str">
        <f t="shared" ca="1" si="287"/>
        <v/>
      </c>
      <c r="DY76" s="1" t="str">
        <f t="shared" ca="1" si="288"/>
        <v/>
      </c>
      <c r="EC76" s="1" t="e">
        <f>MATCH(CONCATENATE($B76,"_",INDEX($C$4:$C71,EC$65)),lu_DataCode,0)</f>
        <v>#N/A</v>
      </c>
      <c r="ED76" s="1" t="e">
        <f t="shared" ca="1" si="204"/>
        <v>#N/A</v>
      </c>
      <c r="EE76" s="1" t="e">
        <f t="shared" ca="1" si="205"/>
        <v>#N/A</v>
      </c>
      <c r="EF76" s="1">
        <f t="shared" ca="1" si="206"/>
        <v>0</v>
      </c>
      <c r="EG76" s="1">
        <f t="shared" ca="1" si="289"/>
        <v>-10000000000</v>
      </c>
      <c r="EH76" s="1">
        <f ca="1">RANK(EG76,EG$68:EG$93,EG$65)+COUNTIF(EG$68:EG76,EG76)-1</f>
        <v>9</v>
      </c>
      <c r="EI76" s="1">
        <f t="shared" ca="1" si="290"/>
        <v>9</v>
      </c>
      <c r="EJ76" s="1">
        <f t="shared" ca="1" si="291"/>
        <v>0</v>
      </c>
      <c r="EK76" s="1">
        <f t="shared" ca="1" si="292"/>
        <v>1</v>
      </c>
      <c r="EL76" s="1" t="str">
        <f t="shared" ca="1" si="293"/>
        <v/>
      </c>
      <c r="EM76" s="1" t="str">
        <f t="shared" ca="1" si="294"/>
        <v/>
      </c>
      <c r="EN76" s="1" t="str">
        <f t="shared" ca="1" si="295"/>
        <v/>
      </c>
      <c r="EO76" s="1" t="str">
        <f t="shared" ca="1" si="296"/>
        <v/>
      </c>
      <c r="ES76" s="1" t="e">
        <f>MATCH(CONCATENATE($B76,"_",INDEX($C$4:$C71,ES$65)),lu_DataCode,0)</f>
        <v>#N/A</v>
      </c>
      <c r="ET76" s="1" t="e">
        <f t="shared" ca="1" si="207"/>
        <v>#N/A</v>
      </c>
      <c r="EU76" s="1" t="e">
        <f t="shared" ca="1" si="208"/>
        <v>#N/A</v>
      </c>
      <c r="EV76" s="1">
        <f t="shared" ca="1" si="209"/>
        <v>0</v>
      </c>
      <c r="EW76" s="1">
        <f t="shared" ca="1" si="297"/>
        <v>-10000000000</v>
      </c>
      <c r="EX76" s="1">
        <f ca="1">RANK(EW76,EW$68:EW$93,EW$65)+COUNTIF(EW$68:EW76,EW76)-1</f>
        <v>9</v>
      </c>
      <c r="EY76" s="1">
        <f t="shared" ca="1" si="298"/>
        <v>9</v>
      </c>
      <c r="EZ76" s="1">
        <f t="shared" ca="1" si="299"/>
        <v>0</v>
      </c>
      <c r="FA76" s="1">
        <f t="shared" ca="1" si="300"/>
        <v>1</v>
      </c>
      <c r="FB76" s="1" t="str">
        <f t="shared" ca="1" si="301"/>
        <v/>
      </c>
      <c r="FC76" s="1" t="str">
        <f t="shared" ca="1" si="302"/>
        <v/>
      </c>
      <c r="FD76" s="1" t="str">
        <f t="shared" ca="1" si="303"/>
        <v/>
      </c>
      <c r="FE76" s="1" t="str">
        <f t="shared" ca="1" si="304"/>
        <v/>
      </c>
      <c r="FI76" s="1" t="e">
        <f>MATCH(CONCATENATE($B76,"_",INDEX($C$4:$C71,FI$65)),lu_DataCode,0)</f>
        <v>#N/A</v>
      </c>
      <c r="FJ76" s="1" t="e">
        <f t="shared" ca="1" si="210"/>
        <v>#N/A</v>
      </c>
      <c r="FK76" s="1" t="e">
        <f t="shared" ca="1" si="211"/>
        <v>#N/A</v>
      </c>
      <c r="FL76" s="1">
        <f t="shared" ca="1" si="212"/>
        <v>0</v>
      </c>
      <c r="FM76" s="1">
        <f t="shared" ca="1" si="305"/>
        <v>-10000000000</v>
      </c>
      <c r="FN76" s="1">
        <f ca="1">RANK(FM76,FM$68:FM$93,FM$65)+COUNTIF(FM$68:FM76,FM76)-1</f>
        <v>9</v>
      </c>
      <c r="FO76" s="1">
        <f t="shared" ca="1" si="306"/>
        <v>9</v>
      </c>
      <c r="FP76" s="1">
        <f t="shared" ca="1" si="307"/>
        <v>0</v>
      </c>
      <c r="FQ76" s="1">
        <f t="shared" ca="1" si="308"/>
        <v>1</v>
      </c>
      <c r="FR76" s="1" t="str">
        <f t="shared" ca="1" si="309"/>
        <v/>
      </c>
      <c r="FS76" s="1" t="str">
        <f t="shared" ca="1" si="310"/>
        <v/>
      </c>
      <c r="FT76" s="1" t="str">
        <f t="shared" ca="1" si="311"/>
        <v/>
      </c>
      <c r="FU76" s="1" t="str">
        <f t="shared" ca="1" si="312"/>
        <v/>
      </c>
      <c r="FY76" s="1" t="e">
        <f>MATCH(CONCATENATE($B76,"_",INDEX($C$4:$C71,FY$65)),lu_DataCode,0)</f>
        <v>#N/A</v>
      </c>
      <c r="FZ76" s="1" t="e">
        <f t="shared" ca="1" si="213"/>
        <v>#N/A</v>
      </c>
      <c r="GA76" s="1" t="e">
        <f t="shared" ca="1" si="214"/>
        <v>#N/A</v>
      </c>
      <c r="GB76" s="1">
        <f t="shared" ca="1" si="215"/>
        <v>0</v>
      </c>
      <c r="GC76" s="1">
        <f t="shared" ca="1" si="313"/>
        <v>-10000000000</v>
      </c>
      <c r="GD76" s="1">
        <f ca="1">RANK(GC76,GC$68:GC$93,GC$65)+COUNTIF(GC$68:GC76,GC76)-1</f>
        <v>9</v>
      </c>
      <c r="GE76" s="1">
        <f t="shared" ca="1" si="314"/>
        <v>9</v>
      </c>
      <c r="GF76" s="1">
        <f t="shared" ca="1" si="315"/>
        <v>0</v>
      </c>
      <c r="GG76" s="1">
        <f t="shared" ca="1" si="316"/>
        <v>1</v>
      </c>
      <c r="GH76" s="1" t="str">
        <f t="shared" ca="1" si="317"/>
        <v/>
      </c>
      <c r="GI76" s="1" t="str">
        <f t="shared" ca="1" si="318"/>
        <v/>
      </c>
      <c r="GJ76" s="1" t="str">
        <f t="shared" ca="1" si="319"/>
        <v/>
      </c>
      <c r="GK76" s="1" t="str">
        <f t="shared" ca="1" si="320"/>
        <v/>
      </c>
      <c r="GO76" s="1" t="e">
        <f>MATCH(CONCATENATE($B76,"_",INDEX($C$4:$C71,GO$65)),lu_DataCode,0)</f>
        <v>#N/A</v>
      </c>
      <c r="GP76" s="1" t="e">
        <f t="shared" ca="1" si="216"/>
        <v>#N/A</v>
      </c>
      <c r="GQ76" s="1" t="e">
        <f t="shared" ca="1" si="217"/>
        <v>#N/A</v>
      </c>
      <c r="GR76" s="1">
        <f t="shared" ca="1" si="218"/>
        <v>0</v>
      </c>
      <c r="GS76" s="1">
        <f t="shared" ca="1" si="321"/>
        <v>-10000000000</v>
      </c>
      <c r="GT76" s="1">
        <f ca="1">RANK(GS76,GS$68:GS$93,GS$65)+COUNTIF(GS$68:GS76,GS76)-1</f>
        <v>9</v>
      </c>
      <c r="GU76" s="1">
        <f t="shared" ca="1" si="322"/>
        <v>9</v>
      </c>
      <c r="GV76" s="1">
        <f t="shared" ca="1" si="323"/>
        <v>0</v>
      </c>
      <c r="GW76" s="1">
        <f t="shared" ca="1" si="324"/>
        <v>1</v>
      </c>
      <c r="GX76" s="1" t="str">
        <f t="shared" ca="1" si="325"/>
        <v/>
      </c>
      <c r="GY76" s="1" t="str">
        <f t="shared" ca="1" si="326"/>
        <v/>
      </c>
      <c r="GZ76" s="1" t="str">
        <f t="shared" ca="1" si="327"/>
        <v/>
      </c>
      <c r="HA76" s="1" t="str">
        <f t="shared" ca="1" si="328"/>
        <v/>
      </c>
      <c r="HE76" s="1" t="e">
        <f>MATCH(CONCATENATE($B76,"_",INDEX($C$4:$C71,HE$65)),lu_DataCode,0)</f>
        <v>#N/A</v>
      </c>
      <c r="HF76" s="1" t="e">
        <f t="shared" ca="1" si="219"/>
        <v>#N/A</v>
      </c>
      <c r="HG76" s="1" t="e">
        <f t="shared" ca="1" si="220"/>
        <v>#N/A</v>
      </c>
      <c r="HH76" s="1">
        <f t="shared" ca="1" si="221"/>
        <v>0</v>
      </c>
      <c r="HI76" s="1">
        <f t="shared" ca="1" si="329"/>
        <v>-10000000000</v>
      </c>
      <c r="HJ76" s="1">
        <f ca="1">RANK(HI76,HI$68:HI$93,HI$65)+COUNTIF(HI$68:HI76,HI76)-1</f>
        <v>9</v>
      </c>
      <c r="HK76" s="1">
        <f t="shared" ca="1" si="330"/>
        <v>9</v>
      </c>
      <c r="HL76" s="1">
        <f t="shared" ca="1" si="331"/>
        <v>0</v>
      </c>
      <c r="HM76" s="1">
        <f t="shared" ca="1" si="332"/>
        <v>1</v>
      </c>
      <c r="HN76" s="1" t="str">
        <f t="shared" ca="1" si="333"/>
        <v/>
      </c>
      <c r="HO76" s="1" t="str">
        <f t="shared" ca="1" si="334"/>
        <v/>
      </c>
      <c r="HP76" s="1" t="str">
        <f t="shared" ca="1" si="335"/>
        <v/>
      </c>
      <c r="HQ76" s="1" t="str">
        <f t="shared" ca="1" si="336"/>
        <v/>
      </c>
      <c r="HU76" s="1" t="e">
        <f>MATCH(CONCATENATE($B76,"_",INDEX($C$4:$C71,HU$65)),lu_DataCode,0)</f>
        <v>#N/A</v>
      </c>
      <c r="HV76" s="1" t="e">
        <f t="shared" ca="1" si="222"/>
        <v>#N/A</v>
      </c>
      <c r="HW76" s="1" t="e">
        <f t="shared" ca="1" si="223"/>
        <v>#N/A</v>
      </c>
      <c r="HX76" s="1">
        <f t="shared" ca="1" si="224"/>
        <v>0</v>
      </c>
      <c r="HY76" s="1">
        <f t="shared" ca="1" si="337"/>
        <v>-10000000000</v>
      </c>
      <c r="HZ76" s="1">
        <f ca="1">RANK(HY76,HY$68:HY$93,HY$65)+COUNTIF(HY$68:HY76,HY76)-1</f>
        <v>9</v>
      </c>
      <c r="IA76" s="1">
        <f t="shared" ca="1" si="338"/>
        <v>9</v>
      </c>
      <c r="IB76" s="1">
        <f t="shared" ca="1" si="339"/>
        <v>0</v>
      </c>
      <c r="IC76" s="1">
        <f t="shared" ca="1" si="340"/>
        <v>1</v>
      </c>
      <c r="ID76" s="1" t="str">
        <f t="shared" ca="1" si="341"/>
        <v/>
      </c>
      <c r="IE76" s="1" t="str">
        <f t="shared" ca="1" si="342"/>
        <v/>
      </c>
      <c r="IF76" s="1" t="str">
        <f t="shared" ca="1" si="343"/>
        <v/>
      </c>
      <c r="IG76" s="1" t="str">
        <f t="shared" ca="1" si="344"/>
        <v/>
      </c>
    </row>
    <row r="77" spans="1:241" ht="10.15" x14ac:dyDescent="0.2">
      <c r="A77" s="1">
        <f t="shared" ref="A77:D77" si="345">A46</f>
        <v>10</v>
      </c>
      <c r="B77" s="1" t="str">
        <f t="shared" si="345"/>
        <v>NAC_EC_1</v>
      </c>
      <c r="C77" s="1" t="str">
        <f t="shared" si="345"/>
        <v>Ecuador</v>
      </c>
      <c r="D77" s="1">
        <f t="shared" si="345"/>
        <v>1</v>
      </c>
      <c r="E77" s="1" t="e">
        <f>MATCH(CONCATENATE($B77,"_",INDEX($C$4:$C72,E$65)),lu_DataCode,0)</f>
        <v>#N/A</v>
      </c>
      <c r="F77" s="1" t="e">
        <f t="shared" ref="F77:F93" ca="1" si="346">INDEX(OFFSET(lu_DataCode,0,3),E77)</f>
        <v>#N/A</v>
      </c>
      <c r="G77" s="1" t="e">
        <f t="shared" ref="G77:G93" ca="1" si="347">INDEX(OFFSET(lu_DataCode,0,4),E77)</f>
        <v>#N/A</v>
      </c>
      <c r="H77" s="1">
        <f t="shared" ref="H77:H93" ca="1" si="348">IF(ISNUMBER(G77),1,0)</f>
        <v>0</v>
      </c>
      <c r="I77" s="1">
        <f t="shared" ca="1" si="225"/>
        <v>-10000000000</v>
      </c>
      <c r="J77" s="1">
        <f ca="1">RANK(I77,I$68:I$93,I$65)+COUNTIF(I$68:I77,I77)-1</f>
        <v>10</v>
      </c>
      <c r="K77" s="1">
        <f t="shared" ref="K77:K93" ca="1" si="349">MATCH($A77,J$68:J$93,0)</f>
        <v>10</v>
      </c>
      <c r="L77" s="1">
        <f t="shared" ref="L77:L93" ca="1" si="350">INDEX(H$68:H$93,K77)</f>
        <v>0</v>
      </c>
      <c r="M77" s="1">
        <f t="shared" ca="1" si="228"/>
        <v>1</v>
      </c>
      <c r="N77" s="1" t="str">
        <f t="shared" ca="1" si="229"/>
        <v/>
      </c>
      <c r="O77" s="1" t="str">
        <f t="shared" ca="1" si="230"/>
        <v/>
      </c>
      <c r="P77" s="1" t="str">
        <f t="shared" ref="P77:P93" ca="1" si="351">IF(L77=0,"",INDEX(G$68:G$93,K77))</f>
        <v/>
      </c>
      <c r="Q77" s="1" t="str">
        <f t="shared" ref="Q77:Q93" ca="1" si="352">IF(L77=0,"",INDEX(F$68:F$93,K77))</f>
        <v/>
      </c>
      <c r="U77" s="1" t="e">
        <f>MATCH(CONCATENATE($B77,"_",INDEX($C$4:$C72,U$65)),lu_DataCode,0)</f>
        <v>#N/A</v>
      </c>
      <c r="V77" s="1" t="e">
        <f t="shared" ref="V77:V93" ca="1" si="353">INDEX(OFFSET(lu_DataCode,0,3),U77)</f>
        <v>#N/A</v>
      </c>
      <c r="W77" s="1" t="e">
        <f t="shared" ref="W77:W93" ca="1" si="354">INDEX(OFFSET(lu_DataCode,0,4),U77)</f>
        <v>#N/A</v>
      </c>
      <c r="X77" s="1">
        <f t="shared" ref="X77:X93" ca="1" si="355">IF(ISNUMBER(W77),1,0)</f>
        <v>0</v>
      </c>
      <c r="Y77" s="1">
        <f t="shared" ca="1" si="233"/>
        <v>-10000000000</v>
      </c>
      <c r="Z77" s="1">
        <f ca="1">RANK(Y77,Y$68:Y$93,Y$65)+COUNTIF(Y$68:Y77,Y77)-1</f>
        <v>10</v>
      </c>
      <c r="AA77" s="1">
        <f t="shared" ca="1" si="234"/>
        <v>10</v>
      </c>
      <c r="AB77" s="1">
        <f t="shared" ca="1" si="235"/>
        <v>0</v>
      </c>
      <c r="AC77" s="1">
        <f t="shared" ca="1" si="236"/>
        <v>1</v>
      </c>
      <c r="AD77" s="1" t="str">
        <f t="shared" ca="1" si="237"/>
        <v/>
      </c>
      <c r="AE77" s="1" t="str">
        <f t="shared" ca="1" si="238"/>
        <v/>
      </c>
      <c r="AF77" s="1" t="str">
        <f t="shared" ca="1" si="239"/>
        <v/>
      </c>
      <c r="AG77" s="1" t="str">
        <f t="shared" ca="1" si="240"/>
        <v/>
      </c>
      <c r="AK77" s="1" t="e">
        <f>MATCH(CONCATENATE($B77,"_",INDEX($C$4:$C72,AK$65)),lu_DataCode,0)</f>
        <v>#N/A</v>
      </c>
      <c r="AL77" s="1" t="e">
        <f t="shared" ca="1" si="186"/>
        <v>#N/A</v>
      </c>
      <c r="AM77" s="1" t="e">
        <f t="shared" ca="1" si="187"/>
        <v>#N/A</v>
      </c>
      <c r="AN77" s="1">
        <f t="shared" ca="1" si="188"/>
        <v>0</v>
      </c>
      <c r="AO77" s="1">
        <f t="shared" ca="1" si="241"/>
        <v>-10000000000</v>
      </c>
      <c r="AP77" s="1">
        <f ca="1">RANK(AO77,AO$68:AO$93,AO$65)+COUNTIF(AO$68:AO77,AO77)-1</f>
        <v>10</v>
      </c>
      <c r="AQ77" s="1">
        <f t="shared" ca="1" si="242"/>
        <v>10</v>
      </c>
      <c r="AR77" s="1">
        <f t="shared" ca="1" si="243"/>
        <v>0</v>
      </c>
      <c r="AS77" s="1">
        <f t="shared" ca="1" si="244"/>
        <v>1</v>
      </c>
      <c r="AT77" s="1" t="str">
        <f t="shared" ca="1" si="245"/>
        <v/>
      </c>
      <c r="AU77" s="1" t="str">
        <f t="shared" ca="1" si="246"/>
        <v/>
      </c>
      <c r="AV77" s="1" t="str">
        <f t="shared" ca="1" si="247"/>
        <v/>
      </c>
      <c r="AW77" s="1" t="str">
        <f t="shared" ca="1" si="248"/>
        <v/>
      </c>
      <c r="BA77" s="1" t="e">
        <f>MATCH(CONCATENATE($B77,"_",INDEX($C$4:$C72,BA$65)),lu_DataCode,0)</f>
        <v>#N/A</v>
      </c>
      <c r="BB77" s="1" t="e">
        <f t="shared" ca="1" si="189"/>
        <v>#N/A</v>
      </c>
      <c r="BC77" s="1" t="e">
        <f t="shared" ca="1" si="190"/>
        <v>#N/A</v>
      </c>
      <c r="BD77" s="1">
        <f t="shared" ca="1" si="191"/>
        <v>0</v>
      </c>
      <c r="BE77" s="1">
        <f t="shared" ca="1" si="249"/>
        <v>-10000000000</v>
      </c>
      <c r="BF77" s="1">
        <f ca="1">RANK(BE77,BE$68:BE$93,BE$65)+COUNTIF(BE$68:BE77,BE77)-1</f>
        <v>10</v>
      </c>
      <c r="BG77" s="1">
        <f t="shared" ca="1" si="250"/>
        <v>10</v>
      </c>
      <c r="BH77" s="1">
        <f t="shared" ca="1" si="251"/>
        <v>0</v>
      </c>
      <c r="BI77" s="1">
        <f t="shared" ca="1" si="252"/>
        <v>1</v>
      </c>
      <c r="BJ77" s="1" t="str">
        <f t="shared" ca="1" si="253"/>
        <v/>
      </c>
      <c r="BK77" s="1" t="str">
        <f t="shared" ca="1" si="254"/>
        <v/>
      </c>
      <c r="BL77" s="1" t="str">
        <f t="shared" ca="1" si="255"/>
        <v/>
      </c>
      <c r="BM77" s="1" t="str">
        <f t="shared" ca="1" si="256"/>
        <v/>
      </c>
      <c r="BQ77" s="1" t="e">
        <f>MATCH(CONCATENATE($B77,"_",INDEX($C$4:$C72,BQ$65)),lu_DataCode,0)</f>
        <v>#N/A</v>
      </c>
      <c r="BR77" s="1" t="e">
        <f t="shared" ca="1" si="192"/>
        <v>#N/A</v>
      </c>
      <c r="BS77" s="1" t="e">
        <f t="shared" ca="1" si="193"/>
        <v>#N/A</v>
      </c>
      <c r="BT77" s="1">
        <f t="shared" ca="1" si="194"/>
        <v>0</v>
      </c>
      <c r="BU77" s="1">
        <f t="shared" ca="1" si="257"/>
        <v>-10000000000</v>
      </c>
      <c r="BV77" s="1">
        <f ca="1">RANK(BU77,BU$68:BU$93,BU$65)+COUNTIF(BU$68:BU77,BU77)-1</f>
        <v>10</v>
      </c>
      <c r="BW77" s="1">
        <f t="shared" ca="1" si="258"/>
        <v>10</v>
      </c>
      <c r="BX77" s="1">
        <f t="shared" ca="1" si="259"/>
        <v>0</v>
      </c>
      <c r="BY77" s="1">
        <f t="shared" ca="1" si="260"/>
        <v>1</v>
      </c>
      <c r="BZ77" s="1" t="str">
        <f t="shared" ca="1" si="261"/>
        <v/>
      </c>
      <c r="CA77" s="1" t="str">
        <f t="shared" ca="1" si="262"/>
        <v/>
      </c>
      <c r="CB77" s="1" t="str">
        <f t="shared" ca="1" si="263"/>
        <v/>
      </c>
      <c r="CC77" s="1" t="str">
        <f t="shared" ca="1" si="264"/>
        <v/>
      </c>
      <c r="CG77" s="1" t="e">
        <f>MATCH(CONCATENATE($B77,"_",INDEX($C$4:$C72,CG$65)),lu_DataCode,0)</f>
        <v>#N/A</v>
      </c>
      <c r="CH77" s="1" t="e">
        <f t="shared" ca="1" si="195"/>
        <v>#N/A</v>
      </c>
      <c r="CI77" s="1" t="e">
        <f t="shared" ca="1" si="196"/>
        <v>#N/A</v>
      </c>
      <c r="CJ77" s="1">
        <f t="shared" ca="1" si="197"/>
        <v>0</v>
      </c>
      <c r="CK77" s="1">
        <f t="shared" ca="1" si="265"/>
        <v>-10000000000</v>
      </c>
      <c r="CL77" s="1">
        <f ca="1">RANK(CK77,CK$68:CK$93,CK$65)+COUNTIF(CK$68:CK77,CK77)-1</f>
        <v>10</v>
      </c>
      <c r="CM77" s="1">
        <f t="shared" ca="1" si="266"/>
        <v>10</v>
      </c>
      <c r="CN77" s="1">
        <f t="shared" ca="1" si="267"/>
        <v>0</v>
      </c>
      <c r="CO77" s="1">
        <f t="shared" ca="1" si="268"/>
        <v>1</v>
      </c>
      <c r="CP77" s="1" t="str">
        <f t="shared" ca="1" si="269"/>
        <v/>
      </c>
      <c r="CQ77" s="1" t="str">
        <f t="shared" ca="1" si="270"/>
        <v/>
      </c>
      <c r="CR77" s="1" t="str">
        <f t="shared" ca="1" si="271"/>
        <v/>
      </c>
      <c r="CS77" s="1" t="str">
        <f t="shared" ca="1" si="272"/>
        <v/>
      </c>
      <c r="CW77" s="1" t="e">
        <f>MATCH(CONCATENATE($B77,"_",INDEX($C$4:$C72,CW$65)),lu_DataCode,0)</f>
        <v>#N/A</v>
      </c>
      <c r="CX77" s="1" t="e">
        <f t="shared" ca="1" si="198"/>
        <v>#N/A</v>
      </c>
      <c r="CY77" s="1" t="e">
        <f t="shared" ca="1" si="199"/>
        <v>#N/A</v>
      </c>
      <c r="CZ77" s="1">
        <f t="shared" ca="1" si="200"/>
        <v>0</v>
      </c>
      <c r="DA77" s="1">
        <f t="shared" ca="1" si="273"/>
        <v>-10000000000</v>
      </c>
      <c r="DB77" s="1">
        <f ca="1">RANK(DA77,DA$68:DA$93,DA$65)+COUNTIF(DA$68:DA77,DA77)-1</f>
        <v>10</v>
      </c>
      <c r="DC77" s="1">
        <f t="shared" ca="1" si="274"/>
        <v>10</v>
      </c>
      <c r="DD77" s="1">
        <f t="shared" ca="1" si="275"/>
        <v>0</v>
      </c>
      <c r="DE77" s="1">
        <f t="shared" ca="1" si="276"/>
        <v>1</v>
      </c>
      <c r="DF77" s="1" t="str">
        <f t="shared" ca="1" si="277"/>
        <v/>
      </c>
      <c r="DG77" s="1" t="str">
        <f t="shared" ca="1" si="278"/>
        <v/>
      </c>
      <c r="DH77" s="1" t="str">
        <f t="shared" ca="1" si="279"/>
        <v/>
      </c>
      <c r="DI77" s="1" t="str">
        <f t="shared" ca="1" si="280"/>
        <v/>
      </c>
      <c r="DM77" s="1" t="e">
        <f>MATCH(CONCATENATE($B77,"_",INDEX($C$4:$C72,DM$65)),lu_DataCode,0)</f>
        <v>#N/A</v>
      </c>
      <c r="DN77" s="1" t="e">
        <f t="shared" ca="1" si="201"/>
        <v>#N/A</v>
      </c>
      <c r="DO77" s="1" t="e">
        <f t="shared" ca="1" si="202"/>
        <v>#N/A</v>
      </c>
      <c r="DP77" s="1">
        <f t="shared" ca="1" si="203"/>
        <v>0</v>
      </c>
      <c r="DQ77" s="1">
        <f t="shared" ca="1" si="281"/>
        <v>-10000000000</v>
      </c>
      <c r="DR77" s="1">
        <f ca="1">RANK(DQ77,DQ$68:DQ$93,DQ$65)+COUNTIF(DQ$68:DQ77,DQ77)-1</f>
        <v>10</v>
      </c>
      <c r="DS77" s="1">
        <f t="shared" ca="1" si="282"/>
        <v>10</v>
      </c>
      <c r="DT77" s="1">
        <f t="shared" ca="1" si="283"/>
        <v>0</v>
      </c>
      <c r="DU77" s="1">
        <f t="shared" ca="1" si="284"/>
        <v>1</v>
      </c>
      <c r="DV77" s="1" t="str">
        <f t="shared" ca="1" si="285"/>
        <v/>
      </c>
      <c r="DW77" s="1" t="str">
        <f t="shared" ca="1" si="286"/>
        <v/>
      </c>
      <c r="DX77" s="1" t="str">
        <f t="shared" ca="1" si="287"/>
        <v/>
      </c>
      <c r="DY77" s="1" t="str">
        <f t="shared" ca="1" si="288"/>
        <v/>
      </c>
      <c r="EC77" s="1" t="e">
        <f>MATCH(CONCATENATE($B77,"_",INDEX($C$4:$C72,EC$65)),lu_DataCode,0)</f>
        <v>#N/A</v>
      </c>
      <c r="ED77" s="1" t="e">
        <f t="shared" ca="1" si="204"/>
        <v>#N/A</v>
      </c>
      <c r="EE77" s="1" t="e">
        <f t="shared" ca="1" si="205"/>
        <v>#N/A</v>
      </c>
      <c r="EF77" s="1">
        <f t="shared" ca="1" si="206"/>
        <v>0</v>
      </c>
      <c r="EG77" s="1">
        <f t="shared" ca="1" si="289"/>
        <v>-10000000000</v>
      </c>
      <c r="EH77" s="1">
        <f ca="1">RANK(EG77,EG$68:EG$93,EG$65)+COUNTIF(EG$68:EG77,EG77)-1</f>
        <v>10</v>
      </c>
      <c r="EI77" s="1">
        <f t="shared" ca="1" si="290"/>
        <v>10</v>
      </c>
      <c r="EJ77" s="1">
        <f t="shared" ca="1" si="291"/>
        <v>0</v>
      </c>
      <c r="EK77" s="1">
        <f t="shared" ca="1" si="292"/>
        <v>1</v>
      </c>
      <c r="EL77" s="1" t="str">
        <f t="shared" ca="1" si="293"/>
        <v/>
      </c>
      <c r="EM77" s="1" t="str">
        <f t="shared" ca="1" si="294"/>
        <v/>
      </c>
      <c r="EN77" s="1" t="str">
        <f t="shared" ca="1" si="295"/>
        <v/>
      </c>
      <c r="EO77" s="1" t="str">
        <f t="shared" ca="1" si="296"/>
        <v/>
      </c>
      <c r="ES77" s="1" t="e">
        <f>MATCH(CONCATENATE($B77,"_",INDEX($C$4:$C72,ES$65)),lu_DataCode,0)</f>
        <v>#N/A</v>
      </c>
      <c r="ET77" s="1" t="e">
        <f t="shared" ca="1" si="207"/>
        <v>#N/A</v>
      </c>
      <c r="EU77" s="1" t="e">
        <f t="shared" ca="1" si="208"/>
        <v>#N/A</v>
      </c>
      <c r="EV77" s="1">
        <f t="shared" ca="1" si="209"/>
        <v>0</v>
      </c>
      <c r="EW77" s="1">
        <f t="shared" ca="1" si="297"/>
        <v>-10000000000</v>
      </c>
      <c r="EX77" s="1">
        <f ca="1">RANK(EW77,EW$68:EW$93,EW$65)+COUNTIF(EW$68:EW77,EW77)-1</f>
        <v>10</v>
      </c>
      <c r="EY77" s="1">
        <f t="shared" ca="1" si="298"/>
        <v>10</v>
      </c>
      <c r="EZ77" s="1">
        <f t="shared" ca="1" si="299"/>
        <v>0</v>
      </c>
      <c r="FA77" s="1">
        <f t="shared" ca="1" si="300"/>
        <v>1</v>
      </c>
      <c r="FB77" s="1" t="str">
        <f t="shared" ca="1" si="301"/>
        <v/>
      </c>
      <c r="FC77" s="1" t="str">
        <f t="shared" ca="1" si="302"/>
        <v/>
      </c>
      <c r="FD77" s="1" t="str">
        <f t="shared" ca="1" si="303"/>
        <v/>
      </c>
      <c r="FE77" s="1" t="str">
        <f t="shared" ca="1" si="304"/>
        <v/>
      </c>
      <c r="FI77" s="1" t="e">
        <f>MATCH(CONCATENATE($B77,"_",INDEX($C$4:$C72,FI$65)),lu_DataCode,0)</f>
        <v>#N/A</v>
      </c>
      <c r="FJ77" s="1" t="e">
        <f t="shared" ca="1" si="210"/>
        <v>#N/A</v>
      </c>
      <c r="FK77" s="1" t="e">
        <f t="shared" ca="1" si="211"/>
        <v>#N/A</v>
      </c>
      <c r="FL77" s="1">
        <f t="shared" ca="1" si="212"/>
        <v>0</v>
      </c>
      <c r="FM77" s="1">
        <f t="shared" ca="1" si="305"/>
        <v>-10000000000</v>
      </c>
      <c r="FN77" s="1">
        <f ca="1">RANK(FM77,FM$68:FM$93,FM$65)+COUNTIF(FM$68:FM77,FM77)-1</f>
        <v>10</v>
      </c>
      <c r="FO77" s="1">
        <f t="shared" ca="1" si="306"/>
        <v>10</v>
      </c>
      <c r="FP77" s="1">
        <f t="shared" ca="1" si="307"/>
        <v>0</v>
      </c>
      <c r="FQ77" s="1">
        <f t="shared" ca="1" si="308"/>
        <v>1</v>
      </c>
      <c r="FR77" s="1" t="str">
        <f t="shared" ca="1" si="309"/>
        <v/>
      </c>
      <c r="FS77" s="1" t="str">
        <f t="shared" ca="1" si="310"/>
        <v/>
      </c>
      <c r="FT77" s="1" t="str">
        <f t="shared" ca="1" si="311"/>
        <v/>
      </c>
      <c r="FU77" s="1" t="str">
        <f t="shared" ca="1" si="312"/>
        <v/>
      </c>
      <c r="FY77" s="1" t="e">
        <f>MATCH(CONCATENATE($B77,"_",INDEX($C$4:$C72,FY$65)),lu_DataCode,0)</f>
        <v>#N/A</v>
      </c>
      <c r="FZ77" s="1" t="e">
        <f t="shared" ca="1" si="213"/>
        <v>#N/A</v>
      </c>
      <c r="GA77" s="1" t="e">
        <f t="shared" ca="1" si="214"/>
        <v>#N/A</v>
      </c>
      <c r="GB77" s="1">
        <f t="shared" ca="1" si="215"/>
        <v>0</v>
      </c>
      <c r="GC77" s="1">
        <f t="shared" ca="1" si="313"/>
        <v>-10000000000</v>
      </c>
      <c r="GD77" s="1">
        <f ca="1">RANK(GC77,GC$68:GC$93,GC$65)+COUNTIF(GC$68:GC77,GC77)-1</f>
        <v>10</v>
      </c>
      <c r="GE77" s="1">
        <f t="shared" ca="1" si="314"/>
        <v>10</v>
      </c>
      <c r="GF77" s="1">
        <f t="shared" ca="1" si="315"/>
        <v>0</v>
      </c>
      <c r="GG77" s="1">
        <f t="shared" ca="1" si="316"/>
        <v>1</v>
      </c>
      <c r="GH77" s="1" t="str">
        <f t="shared" ca="1" si="317"/>
        <v/>
      </c>
      <c r="GI77" s="1" t="str">
        <f t="shared" ca="1" si="318"/>
        <v/>
      </c>
      <c r="GJ77" s="1" t="str">
        <f t="shared" ca="1" si="319"/>
        <v/>
      </c>
      <c r="GK77" s="1" t="str">
        <f t="shared" ca="1" si="320"/>
        <v/>
      </c>
      <c r="GO77" s="1" t="e">
        <f>MATCH(CONCATENATE($B77,"_",INDEX($C$4:$C72,GO$65)),lu_DataCode,0)</f>
        <v>#N/A</v>
      </c>
      <c r="GP77" s="1" t="e">
        <f t="shared" ca="1" si="216"/>
        <v>#N/A</v>
      </c>
      <c r="GQ77" s="1" t="e">
        <f t="shared" ca="1" si="217"/>
        <v>#N/A</v>
      </c>
      <c r="GR77" s="1">
        <f t="shared" ca="1" si="218"/>
        <v>0</v>
      </c>
      <c r="GS77" s="1">
        <f t="shared" ca="1" si="321"/>
        <v>-10000000000</v>
      </c>
      <c r="GT77" s="1">
        <f ca="1">RANK(GS77,GS$68:GS$93,GS$65)+COUNTIF(GS$68:GS77,GS77)-1</f>
        <v>10</v>
      </c>
      <c r="GU77" s="1">
        <f t="shared" ca="1" si="322"/>
        <v>10</v>
      </c>
      <c r="GV77" s="1">
        <f t="shared" ca="1" si="323"/>
        <v>0</v>
      </c>
      <c r="GW77" s="1">
        <f t="shared" ca="1" si="324"/>
        <v>1</v>
      </c>
      <c r="GX77" s="1" t="str">
        <f t="shared" ca="1" si="325"/>
        <v/>
      </c>
      <c r="GY77" s="1" t="str">
        <f t="shared" ca="1" si="326"/>
        <v/>
      </c>
      <c r="GZ77" s="1" t="str">
        <f t="shared" ca="1" si="327"/>
        <v/>
      </c>
      <c r="HA77" s="1" t="str">
        <f t="shared" ca="1" si="328"/>
        <v/>
      </c>
      <c r="HE77" s="1" t="e">
        <f>MATCH(CONCATENATE($B77,"_",INDEX($C$4:$C72,HE$65)),lu_DataCode,0)</f>
        <v>#N/A</v>
      </c>
      <c r="HF77" s="1" t="e">
        <f t="shared" ca="1" si="219"/>
        <v>#N/A</v>
      </c>
      <c r="HG77" s="1" t="e">
        <f t="shared" ca="1" si="220"/>
        <v>#N/A</v>
      </c>
      <c r="HH77" s="1">
        <f t="shared" ca="1" si="221"/>
        <v>0</v>
      </c>
      <c r="HI77" s="1">
        <f t="shared" ca="1" si="329"/>
        <v>-10000000000</v>
      </c>
      <c r="HJ77" s="1">
        <f ca="1">RANK(HI77,HI$68:HI$93,HI$65)+COUNTIF(HI$68:HI77,HI77)-1</f>
        <v>10</v>
      </c>
      <c r="HK77" s="1">
        <f t="shared" ca="1" si="330"/>
        <v>10</v>
      </c>
      <c r="HL77" s="1">
        <f t="shared" ca="1" si="331"/>
        <v>0</v>
      </c>
      <c r="HM77" s="1">
        <f t="shared" ca="1" si="332"/>
        <v>1</v>
      </c>
      <c r="HN77" s="1" t="str">
        <f t="shared" ca="1" si="333"/>
        <v/>
      </c>
      <c r="HO77" s="1" t="str">
        <f t="shared" ca="1" si="334"/>
        <v/>
      </c>
      <c r="HP77" s="1" t="str">
        <f t="shared" ca="1" si="335"/>
        <v/>
      </c>
      <c r="HQ77" s="1" t="str">
        <f t="shared" ca="1" si="336"/>
        <v/>
      </c>
      <c r="HU77" s="1" t="e">
        <f>MATCH(CONCATENATE($B77,"_",INDEX($C$4:$C72,HU$65)),lu_DataCode,0)</f>
        <v>#N/A</v>
      </c>
      <c r="HV77" s="1" t="e">
        <f t="shared" ca="1" si="222"/>
        <v>#N/A</v>
      </c>
      <c r="HW77" s="1" t="e">
        <f t="shared" ca="1" si="223"/>
        <v>#N/A</v>
      </c>
      <c r="HX77" s="1">
        <f t="shared" ca="1" si="224"/>
        <v>0</v>
      </c>
      <c r="HY77" s="1">
        <f t="shared" ca="1" si="337"/>
        <v>-10000000000</v>
      </c>
      <c r="HZ77" s="1">
        <f ca="1">RANK(HY77,HY$68:HY$93,HY$65)+COUNTIF(HY$68:HY77,HY77)-1</f>
        <v>10</v>
      </c>
      <c r="IA77" s="1">
        <f t="shared" ca="1" si="338"/>
        <v>10</v>
      </c>
      <c r="IB77" s="1">
        <f t="shared" ca="1" si="339"/>
        <v>0</v>
      </c>
      <c r="IC77" s="1">
        <f t="shared" ca="1" si="340"/>
        <v>1</v>
      </c>
      <c r="ID77" s="1" t="str">
        <f t="shared" ca="1" si="341"/>
        <v/>
      </c>
      <c r="IE77" s="1" t="str">
        <f t="shared" ca="1" si="342"/>
        <v/>
      </c>
      <c r="IF77" s="1" t="str">
        <f t="shared" ca="1" si="343"/>
        <v/>
      </c>
      <c r="IG77" s="1" t="str">
        <f t="shared" ca="1" si="344"/>
        <v/>
      </c>
    </row>
    <row r="78" spans="1:241" ht="10.15" x14ac:dyDescent="0.2">
      <c r="A78" s="1">
        <f t="shared" ref="A78:D78" si="356">A47</f>
        <v>11</v>
      </c>
      <c r="B78" s="1" t="str">
        <f t="shared" si="356"/>
        <v>NAC_SV_1</v>
      </c>
      <c r="C78" s="1" t="str">
        <f t="shared" si="356"/>
        <v>El Salvador</v>
      </c>
      <c r="D78" s="1">
        <f t="shared" si="356"/>
        <v>1</v>
      </c>
      <c r="E78" s="1" t="e">
        <f>MATCH(CONCATENATE($B78,"_",INDEX($C$4:$C73,E$65)),lu_DataCode,0)</f>
        <v>#N/A</v>
      </c>
      <c r="F78" s="1" t="e">
        <f t="shared" ca="1" si="346"/>
        <v>#N/A</v>
      </c>
      <c r="G78" s="1" t="e">
        <f t="shared" ca="1" si="347"/>
        <v>#N/A</v>
      </c>
      <c r="H78" s="1">
        <f t="shared" ca="1" si="348"/>
        <v>0</v>
      </c>
      <c r="I78" s="1">
        <f t="shared" ca="1" si="225"/>
        <v>-10000000000</v>
      </c>
      <c r="J78" s="1">
        <f ca="1">RANK(I78,I$68:I$93,I$65)+COUNTIF(I$68:I78,I78)-1</f>
        <v>11</v>
      </c>
      <c r="K78" s="1">
        <f t="shared" ca="1" si="349"/>
        <v>11</v>
      </c>
      <c r="L78" s="1">
        <f t="shared" ca="1" si="350"/>
        <v>0</v>
      </c>
      <c r="M78" s="1">
        <f t="shared" ca="1" si="228"/>
        <v>1</v>
      </c>
      <c r="N78" s="1" t="str">
        <f t="shared" ca="1" si="229"/>
        <v/>
      </c>
      <c r="O78" s="1" t="str">
        <f t="shared" ca="1" si="230"/>
        <v/>
      </c>
      <c r="P78" s="1" t="str">
        <f t="shared" ca="1" si="351"/>
        <v/>
      </c>
      <c r="Q78" s="1" t="str">
        <f t="shared" ca="1" si="352"/>
        <v/>
      </c>
      <c r="U78" s="1" t="e">
        <f>MATCH(CONCATENATE($B78,"_",INDEX($C$4:$C73,U$65)),lu_DataCode,0)</f>
        <v>#N/A</v>
      </c>
      <c r="V78" s="1" t="e">
        <f t="shared" ca="1" si="353"/>
        <v>#N/A</v>
      </c>
      <c r="W78" s="1" t="e">
        <f t="shared" ca="1" si="354"/>
        <v>#N/A</v>
      </c>
      <c r="X78" s="1">
        <f t="shared" ca="1" si="355"/>
        <v>0</v>
      </c>
      <c r="Y78" s="1">
        <f t="shared" ca="1" si="233"/>
        <v>-10000000000</v>
      </c>
      <c r="Z78" s="1">
        <f ca="1">RANK(Y78,Y$68:Y$93,Y$65)+COUNTIF(Y$68:Y78,Y78)-1</f>
        <v>11</v>
      </c>
      <c r="AA78" s="1">
        <f t="shared" ca="1" si="234"/>
        <v>11</v>
      </c>
      <c r="AB78" s="1">
        <f t="shared" ca="1" si="235"/>
        <v>0</v>
      </c>
      <c r="AC78" s="1">
        <f t="shared" ca="1" si="236"/>
        <v>1</v>
      </c>
      <c r="AD78" s="1" t="str">
        <f t="shared" ca="1" si="237"/>
        <v/>
      </c>
      <c r="AE78" s="1" t="str">
        <f t="shared" ca="1" si="238"/>
        <v/>
      </c>
      <c r="AF78" s="1" t="str">
        <f t="shared" ca="1" si="239"/>
        <v/>
      </c>
      <c r="AG78" s="1" t="str">
        <f t="shared" ca="1" si="240"/>
        <v/>
      </c>
      <c r="AK78" s="1" t="e">
        <f>MATCH(CONCATENATE($B78,"_",INDEX($C$4:$C73,AK$65)),lu_DataCode,0)</f>
        <v>#N/A</v>
      </c>
      <c r="AL78" s="1" t="e">
        <f t="shared" ca="1" si="186"/>
        <v>#N/A</v>
      </c>
      <c r="AM78" s="1" t="e">
        <f t="shared" ca="1" si="187"/>
        <v>#N/A</v>
      </c>
      <c r="AN78" s="1">
        <f t="shared" ca="1" si="188"/>
        <v>0</v>
      </c>
      <c r="AO78" s="1">
        <f t="shared" ca="1" si="241"/>
        <v>-10000000000</v>
      </c>
      <c r="AP78" s="1">
        <f ca="1">RANK(AO78,AO$68:AO$93,AO$65)+COUNTIF(AO$68:AO78,AO78)-1</f>
        <v>11</v>
      </c>
      <c r="AQ78" s="1">
        <f t="shared" ca="1" si="242"/>
        <v>11</v>
      </c>
      <c r="AR78" s="1">
        <f t="shared" ca="1" si="243"/>
        <v>0</v>
      </c>
      <c r="AS78" s="1">
        <f t="shared" ca="1" si="244"/>
        <v>1</v>
      </c>
      <c r="AT78" s="1" t="str">
        <f t="shared" ca="1" si="245"/>
        <v/>
      </c>
      <c r="AU78" s="1" t="str">
        <f t="shared" ca="1" si="246"/>
        <v/>
      </c>
      <c r="AV78" s="1" t="str">
        <f t="shared" ca="1" si="247"/>
        <v/>
      </c>
      <c r="AW78" s="1" t="str">
        <f t="shared" ca="1" si="248"/>
        <v/>
      </c>
      <c r="BA78" s="1" t="e">
        <f>MATCH(CONCATENATE($B78,"_",INDEX($C$4:$C73,BA$65)),lu_DataCode,0)</f>
        <v>#N/A</v>
      </c>
      <c r="BB78" s="1" t="e">
        <f t="shared" ca="1" si="189"/>
        <v>#N/A</v>
      </c>
      <c r="BC78" s="1" t="e">
        <f t="shared" ca="1" si="190"/>
        <v>#N/A</v>
      </c>
      <c r="BD78" s="1">
        <f t="shared" ca="1" si="191"/>
        <v>0</v>
      </c>
      <c r="BE78" s="1">
        <f t="shared" ca="1" si="249"/>
        <v>-10000000000</v>
      </c>
      <c r="BF78" s="1">
        <f ca="1">RANK(BE78,BE$68:BE$93,BE$65)+COUNTIF(BE$68:BE78,BE78)-1</f>
        <v>11</v>
      </c>
      <c r="BG78" s="1">
        <f t="shared" ca="1" si="250"/>
        <v>11</v>
      </c>
      <c r="BH78" s="1">
        <f t="shared" ca="1" si="251"/>
        <v>0</v>
      </c>
      <c r="BI78" s="1">
        <f t="shared" ca="1" si="252"/>
        <v>1</v>
      </c>
      <c r="BJ78" s="1" t="str">
        <f t="shared" ca="1" si="253"/>
        <v/>
      </c>
      <c r="BK78" s="1" t="str">
        <f t="shared" ca="1" si="254"/>
        <v/>
      </c>
      <c r="BL78" s="1" t="str">
        <f t="shared" ca="1" si="255"/>
        <v/>
      </c>
      <c r="BM78" s="1" t="str">
        <f t="shared" ca="1" si="256"/>
        <v/>
      </c>
      <c r="BQ78" s="1" t="e">
        <f>MATCH(CONCATENATE($B78,"_",INDEX($C$4:$C73,BQ$65)),lu_DataCode,0)</f>
        <v>#N/A</v>
      </c>
      <c r="BR78" s="1" t="e">
        <f t="shared" ca="1" si="192"/>
        <v>#N/A</v>
      </c>
      <c r="BS78" s="1" t="e">
        <f t="shared" ca="1" si="193"/>
        <v>#N/A</v>
      </c>
      <c r="BT78" s="1">
        <f t="shared" ca="1" si="194"/>
        <v>0</v>
      </c>
      <c r="BU78" s="1">
        <f t="shared" ca="1" si="257"/>
        <v>-10000000000</v>
      </c>
      <c r="BV78" s="1">
        <f ca="1">RANK(BU78,BU$68:BU$93,BU$65)+COUNTIF(BU$68:BU78,BU78)-1</f>
        <v>11</v>
      </c>
      <c r="BW78" s="1">
        <f t="shared" ca="1" si="258"/>
        <v>11</v>
      </c>
      <c r="BX78" s="1">
        <f t="shared" ca="1" si="259"/>
        <v>0</v>
      </c>
      <c r="BY78" s="1">
        <f t="shared" ca="1" si="260"/>
        <v>1</v>
      </c>
      <c r="BZ78" s="1" t="str">
        <f t="shared" ca="1" si="261"/>
        <v/>
      </c>
      <c r="CA78" s="1" t="str">
        <f t="shared" ca="1" si="262"/>
        <v/>
      </c>
      <c r="CB78" s="1" t="str">
        <f t="shared" ca="1" si="263"/>
        <v/>
      </c>
      <c r="CC78" s="1" t="str">
        <f t="shared" ca="1" si="264"/>
        <v/>
      </c>
      <c r="CG78" s="1" t="e">
        <f>MATCH(CONCATENATE($B78,"_",INDEX($C$4:$C73,CG$65)),lu_DataCode,0)</f>
        <v>#N/A</v>
      </c>
      <c r="CH78" s="1" t="e">
        <f t="shared" ca="1" si="195"/>
        <v>#N/A</v>
      </c>
      <c r="CI78" s="1" t="e">
        <f t="shared" ca="1" si="196"/>
        <v>#N/A</v>
      </c>
      <c r="CJ78" s="1">
        <f t="shared" ca="1" si="197"/>
        <v>0</v>
      </c>
      <c r="CK78" s="1">
        <f t="shared" ca="1" si="265"/>
        <v>-10000000000</v>
      </c>
      <c r="CL78" s="1">
        <f ca="1">RANK(CK78,CK$68:CK$93,CK$65)+COUNTIF(CK$68:CK78,CK78)-1</f>
        <v>11</v>
      </c>
      <c r="CM78" s="1">
        <f t="shared" ca="1" si="266"/>
        <v>11</v>
      </c>
      <c r="CN78" s="1">
        <f t="shared" ca="1" si="267"/>
        <v>0</v>
      </c>
      <c r="CO78" s="1">
        <f t="shared" ca="1" si="268"/>
        <v>1</v>
      </c>
      <c r="CP78" s="1" t="str">
        <f t="shared" ca="1" si="269"/>
        <v/>
      </c>
      <c r="CQ78" s="1" t="str">
        <f t="shared" ca="1" si="270"/>
        <v/>
      </c>
      <c r="CR78" s="1" t="str">
        <f t="shared" ca="1" si="271"/>
        <v/>
      </c>
      <c r="CS78" s="1" t="str">
        <f t="shared" ca="1" si="272"/>
        <v/>
      </c>
      <c r="CW78" s="1" t="e">
        <f>MATCH(CONCATENATE($B78,"_",INDEX($C$4:$C73,CW$65)),lu_DataCode,0)</f>
        <v>#N/A</v>
      </c>
      <c r="CX78" s="1" t="e">
        <f t="shared" ca="1" si="198"/>
        <v>#N/A</v>
      </c>
      <c r="CY78" s="1" t="e">
        <f t="shared" ca="1" si="199"/>
        <v>#N/A</v>
      </c>
      <c r="CZ78" s="1">
        <f t="shared" ca="1" si="200"/>
        <v>0</v>
      </c>
      <c r="DA78" s="1">
        <f t="shared" ca="1" si="273"/>
        <v>-10000000000</v>
      </c>
      <c r="DB78" s="1">
        <f ca="1">RANK(DA78,DA$68:DA$93,DA$65)+COUNTIF(DA$68:DA78,DA78)-1</f>
        <v>11</v>
      </c>
      <c r="DC78" s="1">
        <f t="shared" ca="1" si="274"/>
        <v>11</v>
      </c>
      <c r="DD78" s="1">
        <f t="shared" ca="1" si="275"/>
        <v>0</v>
      </c>
      <c r="DE78" s="1">
        <f t="shared" ca="1" si="276"/>
        <v>1</v>
      </c>
      <c r="DF78" s="1" t="str">
        <f t="shared" ca="1" si="277"/>
        <v/>
      </c>
      <c r="DG78" s="1" t="str">
        <f t="shared" ca="1" si="278"/>
        <v/>
      </c>
      <c r="DH78" s="1" t="str">
        <f t="shared" ca="1" si="279"/>
        <v/>
      </c>
      <c r="DI78" s="1" t="str">
        <f t="shared" ca="1" si="280"/>
        <v/>
      </c>
      <c r="DM78" s="1" t="e">
        <f>MATCH(CONCATENATE($B78,"_",INDEX($C$4:$C73,DM$65)),lu_DataCode,0)</f>
        <v>#N/A</v>
      </c>
      <c r="DN78" s="1" t="e">
        <f t="shared" ca="1" si="201"/>
        <v>#N/A</v>
      </c>
      <c r="DO78" s="1" t="e">
        <f t="shared" ca="1" si="202"/>
        <v>#N/A</v>
      </c>
      <c r="DP78" s="1">
        <f t="shared" ca="1" si="203"/>
        <v>0</v>
      </c>
      <c r="DQ78" s="1">
        <f t="shared" ca="1" si="281"/>
        <v>-10000000000</v>
      </c>
      <c r="DR78" s="1">
        <f ca="1">RANK(DQ78,DQ$68:DQ$93,DQ$65)+COUNTIF(DQ$68:DQ78,DQ78)-1</f>
        <v>11</v>
      </c>
      <c r="DS78" s="1">
        <f t="shared" ca="1" si="282"/>
        <v>11</v>
      </c>
      <c r="DT78" s="1">
        <f t="shared" ca="1" si="283"/>
        <v>0</v>
      </c>
      <c r="DU78" s="1">
        <f t="shared" ca="1" si="284"/>
        <v>1</v>
      </c>
      <c r="DV78" s="1" t="str">
        <f t="shared" ca="1" si="285"/>
        <v/>
      </c>
      <c r="DW78" s="1" t="str">
        <f t="shared" ca="1" si="286"/>
        <v/>
      </c>
      <c r="DX78" s="1" t="str">
        <f t="shared" ca="1" si="287"/>
        <v/>
      </c>
      <c r="DY78" s="1" t="str">
        <f t="shared" ca="1" si="288"/>
        <v/>
      </c>
      <c r="EC78" s="1" t="e">
        <f>MATCH(CONCATENATE($B78,"_",INDEX($C$4:$C73,EC$65)),lu_DataCode,0)</f>
        <v>#N/A</v>
      </c>
      <c r="ED78" s="1" t="e">
        <f t="shared" ca="1" si="204"/>
        <v>#N/A</v>
      </c>
      <c r="EE78" s="1" t="e">
        <f t="shared" ca="1" si="205"/>
        <v>#N/A</v>
      </c>
      <c r="EF78" s="1">
        <f t="shared" ca="1" si="206"/>
        <v>0</v>
      </c>
      <c r="EG78" s="1">
        <f t="shared" ca="1" si="289"/>
        <v>-10000000000</v>
      </c>
      <c r="EH78" s="1">
        <f ca="1">RANK(EG78,EG$68:EG$93,EG$65)+COUNTIF(EG$68:EG78,EG78)-1</f>
        <v>11</v>
      </c>
      <c r="EI78" s="1">
        <f t="shared" ca="1" si="290"/>
        <v>11</v>
      </c>
      <c r="EJ78" s="1">
        <f t="shared" ca="1" si="291"/>
        <v>0</v>
      </c>
      <c r="EK78" s="1">
        <f t="shared" ca="1" si="292"/>
        <v>1</v>
      </c>
      <c r="EL78" s="1" t="str">
        <f t="shared" ca="1" si="293"/>
        <v/>
      </c>
      <c r="EM78" s="1" t="str">
        <f t="shared" ca="1" si="294"/>
        <v/>
      </c>
      <c r="EN78" s="1" t="str">
        <f t="shared" ca="1" si="295"/>
        <v/>
      </c>
      <c r="EO78" s="1" t="str">
        <f t="shared" ca="1" si="296"/>
        <v/>
      </c>
      <c r="ES78" s="1" t="e">
        <f>MATCH(CONCATENATE($B78,"_",INDEX($C$4:$C73,ES$65)),lu_DataCode,0)</f>
        <v>#N/A</v>
      </c>
      <c r="ET78" s="1" t="e">
        <f t="shared" ca="1" si="207"/>
        <v>#N/A</v>
      </c>
      <c r="EU78" s="1" t="e">
        <f t="shared" ca="1" si="208"/>
        <v>#N/A</v>
      </c>
      <c r="EV78" s="1">
        <f t="shared" ca="1" si="209"/>
        <v>0</v>
      </c>
      <c r="EW78" s="1">
        <f t="shared" ca="1" si="297"/>
        <v>-10000000000</v>
      </c>
      <c r="EX78" s="1">
        <f ca="1">RANK(EW78,EW$68:EW$93,EW$65)+COUNTIF(EW$68:EW78,EW78)-1</f>
        <v>11</v>
      </c>
      <c r="EY78" s="1">
        <f t="shared" ca="1" si="298"/>
        <v>11</v>
      </c>
      <c r="EZ78" s="1">
        <f t="shared" ca="1" si="299"/>
        <v>0</v>
      </c>
      <c r="FA78" s="1">
        <f t="shared" ca="1" si="300"/>
        <v>1</v>
      </c>
      <c r="FB78" s="1" t="str">
        <f t="shared" ca="1" si="301"/>
        <v/>
      </c>
      <c r="FC78" s="1" t="str">
        <f t="shared" ca="1" si="302"/>
        <v/>
      </c>
      <c r="FD78" s="1" t="str">
        <f t="shared" ca="1" si="303"/>
        <v/>
      </c>
      <c r="FE78" s="1" t="str">
        <f t="shared" ca="1" si="304"/>
        <v/>
      </c>
      <c r="FI78" s="1" t="e">
        <f>MATCH(CONCATENATE($B78,"_",INDEX($C$4:$C73,FI$65)),lu_DataCode,0)</f>
        <v>#N/A</v>
      </c>
      <c r="FJ78" s="1" t="e">
        <f t="shared" ca="1" si="210"/>
        <v>#N/A</v>
      </c>
      <c r="FK78" s="1" t="e">
        <f t="shared" ca="1" si="211"/>
        <v>#N/A</v>
      </c>
      <c r="FL78" s="1">
        <f t="shared" ca="1" si="212"/>
        <v>0</v>
      </c>
      <c r="FM78" s="1">
        <f t="shared" ca="1" si="305"/>
        <v>-10000000000</v>
      </c>
      <c r="FN78" s="1">
        <f ca="1">RANK(FM78,FM$68:FM$93,FM$65)+COUNTIF(FM$68:FM78,FM78)-1</f>
        <v>11</v>
      </c>
      <c r="FO78" s="1">
        <f t="shared" ca="1" si="306"/>
        <v>11</v>
      </c>
      <c r="FP78" s="1">
        <f t="shared" ca="1" si="307"/>
        <v>0</v>
      </c>
      <c r="FQ78" s="1">
        <f t="shared" ca="1" si="308"/>
        <v>1</v>
      </c>
      <c r="FR78" s="1" t="str">
        <f t="shared" ca="1" si="309"/>
        <v/>
      </c>
      <c r="FS78" s="1" t="str">
        <f t="shared" ca="1" si="310"/>
        <v/>
      </c>
      <c r="FT78" s="1" t="str">
        <f t="shared" ca="1" si="311"/>
        <v/>
      </c>
      <c r="FU78" s="1" t="str">
        <f t="shared" ca="1" si="312"/>
        <v/>
      </c>
      <c r="FY78" s="1" t="e">
        <f>MATCH(CONCATENATE($B78,"_",INDEX($C$4:$C73,FY$65)),lu_DataCode,0)</f>
        <v>#N/A</v>
      </c>
      <c r="FZ78" s="1" t="e">
        <f t="shared" ca="1" si="213"/>
        <v>#N/A</v>
      </c>
      <c r="GA78" s="1" t="e">
        <f t="shared" ca="1" si="214"/>
        <v>#N/A</v>
      </c>
      <c r="GB78" s="1">
        <f t="shared" ca="1" si="215"/>
        <v>0</v>
      </c>
      <c r="GC78" s="1">
        <f t="shared" ca="1" si="313"/>
        <v>-10000000000</v>
      </c>
      <c r="GD78" s="1">
        <f ca="1">RANK(GC78,GC$68:GC$93,GC$65)+COUNTIF(GC$68:GC78,GC78)-1</f>
        <v>11</v>
      </c>
      <c r="GE78" s="1">
        <f t="shared" ca="1" si="314"/>
        <v>11</v>
      </c>
      <c r="GF78" s="1">
        <f t="shared" ca="1" si="315"/>
        <v>0</v>
      </c>
      <c r="GG78" s="1">
        <f t="shared" ca="1" si="316"/>
        <v>1</v>
      </c>
      <c r="GH78" s="1" t="str">
        <f t="shared" ca="1" si="317"/>
        <v/>
      </c>
      <c r="GI78" s="1" t="str">
        <f t="shared" ca="1" si="318"/>
        <v/>
      </c>
      <c r="GJ78" s="1" t="str">
        <f t="shared" ca="1" si="319"/>
        <v/>
      </c>
      <c r="GK78" s="1" t="str">
        <f t="shared" ca="1" si="320"/>
        <v/>
      </c>
      <c r="GO78" s="1" t="e">
        <f>MATCH(CONCATENATE($B78,"_",INDEX($C$4:$C73,GO$65)),lu_DataCode,0)</f>
        <v>#N/A</v>
      </c>
      <c r="GP78" s="1" t="e">
        <f t="shared" ca="1" si="216"/>
        <v>#N/A</v>
      </c>
      <c r="GQ78" s="1" t="e">
        <f t="shared" ca="1" si="217"/>
        <v>#N/A</v>
      </c>
      <c r="GR78" s="1">
        <f t="shared" ca="1" si="218"/>
        <v>0</v>
      </c>
      <c r="GS78" s="1">
        <f t="shared" ca="1" si="321"/>
        <v>-10000000000</v>
      </c>
      <c r="GT78" s="1">
        <f ca="1">RANK(GS78,GS$68:GS$93,GS$65)+COUNTIF(GS$68:GS78,GS78)-1</f>
        <v>11</v>
      </c>
      <c r="GU78" s="1">
        <f t="shared" ca="1" si="322"/>
        <v>11</v>
      </c>
      <c r="GV78" s="1">
        <f t="shared" ca="1" si="323"/>
        <v>0</v>
      </c>
      <c r="GW78" s="1">
        <f t="shared" ca="1" si="324"/>
        <v>1</v>
      </c>
      <c r="GX78" s="1" t="str">
        <f t="shared" ca="1" si="325"/>
        <v/>
      </c>
      <c r="GY78" s="1" t="str">
        <f t="shared" ca="1" si="326"/>
        <v/>
      </c>
      <c r="GZ78" s="1" t="str">
        <f t="shared" ca="1" si="327"/>
        <v/>
      </c>
      <c r="HA78" s="1" t="str">
        <f t="shared" ca="1" si="328"/>
        <v/>
      </c>
      <c r="HE78" s="1" t="e">
        <f>MATCH(CONCATENATE($B78,"_",INDEX($C$4:$C73,HE$65)),lu_DataCode,0)</f>
        <v>#N/A</v>
      </c>
      <c r="HF78" s="1" t="e">
        <f t="shared" ca="1" si="219"/>
        <v>#N/A</v>
      </c>
      <c r="HG78" s="1" t="e">
        <f t="shared" ca="1" si="220"/>
        <v>#N/A</v>
      </c>
      <c r="HH78" s="1">
        <f t="shared" ca="1" si="221"/>
        <v>0</v>
      </c>
      <c r="HI78" s="1">
        <f t="shared" ca="1" si="329"/>
        <v>-10000000000</v>
      </c>
      <c r="HJ78" s="1">
        <f ca="1">RANK(HI78,HI$68:HI$93,HI$65)+COUNTIF(HI$68:HI78,HI78)-1</f>
        <v>11</v>
      </c>
      <c r="HK78" s="1">
        <f t="shared" ca="1" si="330"/>
        <v>11</v>
      </c>
      <c r="HL78" s="1">
        <f t="shared" ca="1" si="331"/>
        <v>0</v>
      </c>
      <c r="HM78" s="1">
        <f t="shared" ca="1" si="332"/>
        <v>1</v>
      </c>
      <c r="HN78" s="1" t="str">
        <f t="shared" ca="1" si="333"/>
        <v/>
      </c>
      <c r="HO78" s="1" t="str">
        <f t="shared" ca="1" si="334"/>
        <v/>
      </c>
      <c r="HP78" s="1" t="str">
        <f t="shared" ca="1" si="335"/>
        <v/>
      </c>
      <c r="HQ78" s="1" t="str">
        <f t="shared" ca="1" si="336"/>
        <v/>
      </c>
      <c r="HU78" s="1" t="e">
        <f>MATCH(CONCATENATE($B78,"_",INDEX($C$4:$C73,HU$65)),lu_DataCode,0)</f>
        <v>#N/A</v>
      </c>
      <c r="HV78" s="1" t="e">
        <f t="shared" ca="1" si="222"/>
        <v>#N/A</v>
      </c>
      <c r="HW78" s="1" t="e">
        <f t="shared" ca="1" si="223"/>
        <v>#N/A</v>
      </c>
      <c r="HX78" s="1">
        <f t="shared" ca="1" si="224"/>
        <v>0</v>
      </c>
      <c r="HY78" s="1">
        <f t="shared" ca="1" si="337"/>
        <v>-10000000000</v>
      </c>
      <c r="HZ78" s="1">
        <f ca="1">RANK(HY78,HY$68:HY$93,HY$65)+COUNTIF(HY$68:HY78,HY78)-1</f>
        <v>11</v>
      </c>
      <c r="IA78" s="1">
        <f t="shared" ca="1" si="338"/>
        <v>11</v>
      </c>
      <c r="IB78" s="1">
        <f t="shared" ca="1" si="339"/>
        <v>0</v>
      </c>
      <c r="IC78" s="1">
        <f t="shared" ca="1" si="340"/>
        <v>1</v>
      </c>
      <c r="ID78" s="1" t="str">
        <f t="shared" ca="1" si="341"/>
        <v/>
      </c>
      <c r="IE78" s="1" t="str">
        <f t="shared" ca="1" si="342"/>
        <v/>
      </c>
      <c r="IF78" s="1" t="str">
        <f t="shared" ca="1" si="343"/>
        <v/>
      </c>
      <c r="IG78" s="1" t="str">
        <f t="shared" ca="1" si="344"/>
        <v/>
      </c>
    </row>
    <row r="79" spans="1:241" ht="10.15" x14ac:dyDescent="0.2">
      <c r="A79" s="1">
        <f t="shared" ref="A79:D79" si="357">A48</f>
        <v>12</v>
      </c>
      <c r="B79" s="1" t="str">
        <f t="shared" si="357"/>
        <v>NAC_GT_1</v>
      </c>
      <c r="C79" s="1" t="str">
        <f t="shared" si="357"/>
        <v>Guatemala</v>
      </c>
      <c r="D79" s="1">
        <f t="shared" si="357"/>
        <v>1</v>
      </c>
      <c r="E79" s="1" t="e">
        <f>MATCH(CONCATENATE($B79,"_",INDEX($C$4:$C74,E$65)),lu_DataCode,0)</f>
        <v>#N/A</v>
      </c>
      <c r="F79" s="1" t="e">
        <f t="shared" ca="1" si="346"/>
        <v>#N/A</v>
      </c>
      <c r="G79" s="1" t="e">
        <f t="shared" ca="1" si="347"/>
        <v>#N/A</v>
      </c>
      <c r="H79" s="1">
        <f t="shared" ca="1" si="348"/>
        <v>0</v>
      </c>
      <c r="I79" s="1">
        <f t="shared" ca="1" si="225"/>
        <v>-10000000000</v>
      </c>
      <c r="J79" s="1">
        <f ca="1">RANK(I79,I$68:I$93,I$65)+COUNTIF(I$68:I79,I79)-1</f>
        <v>12</v>
      </c>
      <c r="K79" s="1">
        <f t="shared" ca="1" si="349"/>
        <v>12</v>
      </c>
      <c r="L79" s="1">
        <f t="shared" ca="1" si="350"/>
        <v>0</v>
      </c>
      <c r="M79" s="1">
        <f t="shared" ca="1" si="228"/>
        <v>1</v>
      </c>
      <c r="N79" s="1" t="str">
        <f t="shared" ca="1" si="229"/>
        <v/>
      </c>
      <c r="O79" s="1" t="str">
        <f t="shared" ca="1" si="230"/>
        <v/>
      </c>
      <c r="P79" s="1" t="str">
        <f t="shared" ca="1" si="351"/>
        <v/>
      </c>
      <c r="Q79" s="1" t="str">
        <f t="shared" ca="1" si="352"/>
        <v/>
      </c>
      <c r="U79" s="1" t="e">
        <f>MATCH(CONCATENATE($B79,"_",INDEX($C$4:$C74,U$65)),lu_DataCode,0)</f>
        <v>#N/A</v>
      </c>
      <c r="V79" s="1" t="e">
        <f t="shared" ca="1" si="353"/>
        <v>#N/A</v>
      </c>
      <c r="W79" s="1" t="e">
        <f t="shared" ca="1" si="354"/>
        <v>#N/A</v>
      </c>
      <c r="X79" s="1">
        <f t="shared" ca="1" si="355"/>
        <v>0</v>
      </c>
      <c r="Y79" s="1">
        <f t="shared" ca="1" si="233"/>
        <v>-10000000000</v>
      </c>
      <c r="Z79" s="1">
        <f ca="1">RANK(Y79,Y$68:Y$93,Y$65)+COUNTIF(Y$68:Y79,Y79)-1</f>
        <v>12</v>
      </c>
      <c r="AA79" s="1">
        <f t="shared" ca="1" si="234"/>
        <v>12</v>
      </c>
      <c r="AB79" s="1">
        <f t="shared" ca="1" si="235"/>
        <v>0</v>
      </c>
      <c r="AC79" s="1">
        <f t="shared" ca="1" si="236"/>
        <v>1</v>
      </c>
      <c r="AD79" s="1" t="str">
        <f t="shared" ca="1" si="237"/>
        <v/>
      </c>
      <c r="AE79" s="1" t="str">
        <f t="shared" ca="1" si="238"/>
        <v/>
      </c>
      <c r="AF79" s="1" t="str">
        <f t="shared" ca="1" si="239"/>
        <v/>
      </c>
      <c r="AG79" s="1" t="str">
        <f t="shared" ca="1" si="240"/>
        <v/>
      </c>
      <c r="AK79" s="1" t="e">
        <f>MATCH(CONCATENATE($B79,"_",INDEX($C$4:$C74,AK$65)),lu_DataCode,0)</f>
        <v>#N/A</v>
      </c>
      <c r="AL79" s="1" t="e">
        <f t="shared" ca="1" si="186"/>
        <v>#N/A</v>
      </c>
      <c r="AM79" s="1" t="e">
        <f t="shared" ca="1" si="187"/>
        <v>#N/A</v>
      </c>
      <c r="AN79" s="1">
        <f t="shared" ca="1" si="188"/>
        <v>0</v>
      </c>
      <c r="AO79" s="1">
        <f t="shared" ca="1" si="241"/>
        <v>-10000000000</v>
      </c>
      <c r="AP79" s="1">
        <f ca="1">RANK(AO79,AO$68:AO$93,AO$65)+COUNTIF(AO$68:AO79,AO79)-1</f>
        <v>12</v>
      </c>
      <c r="AQ79" s="1">
        <f t="shared" ca="1" si="242"/>
        <v>12</v>
      </c>
      <c r="AR79" s="1">
        <f t="shared" ca="1" si="243"/>
        <v>0</v>
      </c>
      <c r="AS79" s="1">
        <f t="shared" ca="1" si="244"/>
        <v>1</v>
      </c>
      <c r="AT79" s="1" t="str">
        <f t="shared" ca="1" si="245"/>
        <v/>
      </c>
      <c r="AU79" s="1" t="str">
        <f t="shared" ca="1" si="246"/>
        <v/>
      </c>
      <c r="AV79" s="1" t="str">
        <f t="shared" ca="1" si="247"/>
        <v/>
      </c>
      <c r="AW79" s="1" t="str">
        <f t="shared" ca="1" si="248"/>
        <v/>
      </c>
      <c r="BA79" s="1" t="e">
        <f>MATCH(CONCATENATE($B79,"_",INDEX($C$4:$C74,BA$65)),lu_DataCode,0)</f>
        <v>#N/A</v>
      </c>
      <c r="BB79" s="1" t="e">
        <f t="shared" ca="1" si="189"/>
        <v>#N/A</v>
      </c>
      <c r="BC79" s="1" t="e">
        <f t="shared" ca="1" si="190"/>
        <v>#N/A</v>
      </c>
      <c r="BD79" s="1">
        <f t="shared" ca="1" si="191"/>
        <v>0</v>
      </c>
      <c r="BE79" s="1">
        <f t="shared" ca="1" si="249"/>
        <v>-10000000000</v>
      </c>
      <c r="BF79" s="1">
        <f ca="1">RANK(BE79,BE$68:BE$93,BE$65)+COUNTIF(BE$68:BE79,BE79)-1</f>
        <v>12</v>
      </c>
      <c r="BG79" s="1">
        <f t="shared" ca="1" si="250"/>
        <v>12</v>
      </c>
      <c r="BH79" s="1">
        <f t="shared" ca="1" si="251"/>
        <v>0</v>
      </c>
      <c r="BI79" s="1">
        <f t="shared" ca="1" si="252"/>
        <v>1</v>
      </c>
      <c r="BJ79" s="1" t="str">
        <f t="shared" ca="1" si="253"/>
        <v/>
      </c>
      <c r="BK79" s="1" t="str">
        <f t="shared" ca="1" si="254"/>
        <v/>
      </c>
      <c r="BL79" s="1" t="str">
        <f t="shared" ca="1" si="255"/>
        <v/>
      </c>
      <c r="BM79" s="1" t="str">
        <f t="shared" ca="1" si="256"/>
        <v/>
      </c>
      <c r="BQ79" s="1" t="e">
        <f>MATCH(CONCATENATE($B79,"_",INDEX($C$4:$C74,BQ$65)),lu_DataCode,0)</f>
        <v>#N/A</v>
      </c>
      <c r="BR79" s="1" t="e">
        <f t="shared" ca="1" si="192"/>
        <v>#N/A</v>
      </c>
      <c r="BS79" s="1" t="e">
        <f t="shared" ca="1" si="193"/>
        <v>#N/A</v>
      </c>
      <c r="BT79" s="1">
        <f t="shared" ca="1" si="194"/>
        <v>0</v>
      </c>
      <c r="BU79" s="1">
        <f t="shared" ca="1" si="257"/>
        <v>-10000000000</v>
      </c>
      <c r="BV79" s="1">
        <f ca="1">RANK(BU79,BU$68:BU$93,BU$65)+COUNTIF(BU$68:BU79,BU79)-1</f>
        <v>12</v>
      </c>
      <c r="BW79" s="1">
        <f t="shared" ca="1" si="258"/>
        <v>12</v>
      </c>
      <c r="BX79" s="1">
        <f t="shared" ca="1" si="259"/>
        <v>0</v>
      </c>
      <c r="BY79" s="1">
        <f t="shared" ca="1" si="260"/>
        <v>1</v>
      </c>
      <c r="BZ79" s="1" t="str">
        <f t="shared" ca="1" si="261"/>
        <v/>
      </c>
      <c r="CA79" s="1" t="str">
        <f t="shared" ca="1" si="262"/>
        <v/>
      </c>
      <c r="CB79" s="1" t="str">
        <f t="shared" ca="1" si="263"/>
        <v/>
      </c>
      <c r="CC79" s="1" t="str">
        <f t="shared" ca="1" si="264"/>
        <v/>
      </c>
      <c r="CG79" s="1" t="e">
        <f>MATCH(CONCATENATE($B79,"_",INDEX($C$4:$C74,CG$65)),lu_DataCode,0)</f>
        <v>#N/A</v>
      </c>
      <c r="CH79" s="1" t="e">
        <f t="shared" ca="1" si="195"/>
        <v>#N/A</v>
      </c>
      <c r="CI79" s="1" t="e">
        <f t="shared" ca="1" si="196"/>
        <v>#N/A</v>
      </c>
      <c r="CJ79" s="1">
        <f t="shared" ca="1" si="197"/>
        <v>0</v>
      </c>
      <c r="CK79" s="1">
        <f t="shared" ca="1" si="265"/>
        <v>-10000000000</v>
      </c>
      <c r="CL79" s="1">
        <f ca="1">RANK(CK79,CK$68:CK$93,CK$65)+COUNTIF(CK$68:CK79,CK79)-1</f>
        <v>12</v>
      </c>
      <c r="CM79" s="1">
        <f t="shared" ca="1" si="266"/>
        <v>12</v>
      </c>
      <c r="CN79" s="1">
        <f t="shared" ca="1" si="267"/>
        <v>0</v>
      </c>
      <c r="CO79" s="1">
        <f t="shared" ca="1" si="268"/>
        <v>1</v>
      </c>
      <c r="CP79" s="1" t="str">
        <f t="shared" ca="1" si="269"/>
        <v/>
      </c>
      <c r="CQ79" s="1" t="str">
        <f t="shared" ca="1" si="270"/>
        <v/>
      </c>
      <c r="CR79" s="1" t="str">
        <f t="shared" ca="1" si="271"/>
        <v/>
      </c>
      <c r="CS79" s="1" t="str">
        <f t="shared" ca="1" si="272"/>
        <v/>
      </c>
      <c r="CW79" s="1" t="e">
        <f>MATCH(CONCATENATE($B79,"_",INDEX($C$4:$C74,CW$65)),lu_DataCode,0)</f>
        <v>#N/A</v>
      </c>
      <c r="CX79" s="1" t="e">
        <f t="shared" ca="1" si="198"/>
        <v>#N/A</v>
      </c>
      <c r="CY79" s="1" t="e">
        <f t="shared" ca="1" si="199"/>
        <v>#N/A</v>
      </c>
      <c r="CZ79" s="1">
        <f t="shared" ca="1" si="200"/>
        <v>0</v>
      </c>
      <c r="DA79" s="1">
        <f t="shared" ca="1" si="273"/>
        <v>-10000000000</v>
      </c>
      <c r="DB79" s="1">
        <f ca="1">RANK(DA79,DA$68:DA$93,DA$65)+COUNTIF(DA$68:DA79,DA79)-1</f>
        <v>12</v>
      </c>
      <c r="DC79" s="1">
        <f t="shared" ca="1" si="274"/>
        <v>12</v>
      </c>
      <c r="DD79" s="1">
        <f t="shared" ca="1" si="275"/>
        <v>0</v>
      </c>
      <c r="DE79" s="1">
        <f t="shared" ca="1" si="276"/>
        <v>1</v>
      </c>
      <c r="DF79" s="1" t="str">
        <f t="shared" ca="1" si="277"/>
        <v/>
      </c>
      <c r="DG79" s="1" t="str">
        <f t="shared" ca="1" si="278"/>
        <v/>
      </c>
      <c r="DH79" s="1" t="str">
        <f t="shared" ca="1" si="279"/>
        <v/>
      </c>
      <c r="DI79" s="1" t="str">
        <f t="shared" ca="1" si="280"/>
        <v/>
      </c>
      <c r="DM79" s="1" t="e">
        <f>MATCH(CONCATENATE($B79,"_",INDEX($C$4:$C74,DM$65)),lu_DataCode,0)</f>
        <v>#N/A</v>
      </c>
      <c r="DN79" s="1" t="e">
        <f t="shared" ca="1" si="201"/>
        <v>#N/A</v>
      </c>
      <c r="DO79" s="1" t="e">
        <f t="shared" ca="1" si="202"/>
        <v>#N/A</v>
      </c>
      <c r="DP79" s="1">
        <f t="shared" ca="1" si="203"/>
        <v>0</v>
      </c>
      <c r="DQ79" s="1">
        <f t="shared" ca="1" si="281"/>
        <v>-10000000000</v>
      </c>
      <c r="DR79" s="1">
        <f ca="1">RANK(DQ79,DQ$68:DQ$93,DQ$65)+COUNTIF(DQ$68:DQ79,DQ79)-1</f>
        <v>12</v>
      </c>
      <c r="DS79" s="1">
        <f t="shared" ca="1" si="282"/>
        <v>12</v>
      </c>
      <c r="DT79" s="1">
        <f t="shared" ca="1" si="283"/>
        <v>0</v>
      </c>
      <c r="DU79" s="1">
        <f t="shared" ca="1" si="284"/>
        <v>1</v>
      </c>
      <c r="DV79" s="1" t="str">
        <f t="shared" ca="1" si="285"/>
        <v/>
      </c>
      <c r="DW79" s="1" t="str">
        <f t="shared" ca="1" si="286"/>
        <v/>
      </c>
      <c r="DX79" s="1" t="str">
        <f t="shared" ca="1" si="287"/>
        <v/>
      </c>
      <c r="DY79" s="1" t="str">
        <f t="shared" ca="1" si="288"/>
        <v/>
      </c>
      <c r="EC79" s="1" t="e">
        <f>MATCH(CONCATENATE($B79,"_",INDEX($C$4:$C74,EC$65)),lu_DataCode,0)</f>
        <v>#N/A</v>
      </c>
      <c r="ED79" s="1" t="e">
        <f t="shared" ca="1" si="204"/>
        <v>#N/A</v>
      </c>
      <c r="EE79" s="1" t="e">
        <f t="shared" ca="1" si="205"/>
        <v>#N/A</v>
      </c>
      <c r="EF79" s="1">
        <f t="shared" ca="1" si="206"/>
        <v>0</v>
      </c>
      <c r="EG79" s="1">
        <f t="shared" ca="1" si="289"/>
        <v>-10000000000</v>
      </c>
      <c r="EH79" s="1">
        <f ca="1">RANK(EG79,EG$68:EG$93,EG$65)+COUNTIF(EG$68:EG79,EG79)-1</f>
        <v>12</v>
      </c>
      <c r="EI79" s="1">
        <f t="shared" ca="1" si="290"/>
        <v>12</v>
      </c>
      <c r="EJ79" s="1">
        <f t="shared" ca="1" si="291"/>
        <v>0</v>
      </c>
      <c r="EK79" s="1">
        <f t="shared" ca="1" si="292"/>
        <v>1</v>
      </c>
      <c r="EL79" s="1" t="str">
        <f t="shared" ca="1" si="293"/>
        <v/>
      </c>
      <c r="EM79" s="1" t="str">
        <f t="shared" ca="1" si="294"/>
        <v/>
      </c>
      <c r="EN79" s="1" t="str">
        <f t="shared" ca="1" si="295"/>
        <v/>
      </c>
      <c r="EO79" s="1" t="str">
        <f t="shared" ca="1" si="296"/>
        <v/>
      </c>
      <c r="ES79" s="1" t="e">
        <f>MATCH(CONCATENATE($B79,"_",INDEX($C$4:$C74,ES$65)),lu_DataCode,0)</f>
        <v>#N/A</v>
      </c>
      <c r="ET79" s="1" t="e">
        <f t="shared" ca="1" si="207"/>
        <v>#N/A</v>
      </c>
      <c r="EU79" s="1" t="e">
        <f t="shared" ca="1" si="208"/>
        <v>#N/A</v>
      </c>
      <c r="EV79" s="1">
        <f t="shared" ca="1" si="209"/>
        <v>0</v>
      </c>
      <c r="EW79" s="1">
        <f t="shared" ca="1" si="297"/>
        <v>-10000000000</v>
      </c>
      <c r="EX79" s="1">
        <f ca="1">RANK(EW79,EW$68:EW$93,EW$65)+COUNTIF(EW$68:EW79,EW79)-1</f>
        <v>12</v>
      </c>
      <c r="EY79" s="1">
        <f t="shared" ca="1" si="298"/>
        <v>12</v>
      </c>
      <c r="EZ79" s="1">
        <f t="shared" ca="1" si="299"/>
        <v>0</v>
      </c>
      <c r="FA79" s="1">
        <f t="shared" ca="1" si="300"/>
        <v>1</v>
      </c>
      <c r="FB79" s="1" t="str">
        <f t="shared" ca="1" si="301"/>
        <v/>
      </c>
      <c r="FC79" s="1" t="str">
        <f t="shared" ca="1" si="302"/>
        <v/>
      </c>
      <c r="FD79" s="1" t="str">
        <f t="shared" ca="1" si="303"/>
        <v/>
      </c>
      <c r="FE79" s="1" t="str">
        <f t="shared" ca="1" si="304"/>
        <v/>
      </c>
      <c r="FI79" s="1" t="e">
        <f>MATCH(CONCATENATE($B79,"_",INDEX($C$4:$C74,FI$65)),lu_DataCode,0)</f>
        <v>#N/A</v>
      </c>
      <c r="FJ79" s="1" t="e">
        <f t="shared" ca="1" si="210"/>
        <v>#N/A</v>
      </c>
      <c r="FK79" s="1" t="e">
        <f t="shared" ca="1" si="211"/>
        <v>#N/A</v>
      </c>
      <c r="FL79" s="1">
        <f t="shared" ca="1" si="212"/>
        <v>0</v>
      </c>
      <c r="FM79" s="1">
        <f t="shared" ca="1" si="305"/>
        <v>-10000000000</v>
      </c>
      <c r="FN79" s="1">
        <f ca="1">RANK(FM79,FM$68:FM$93,FM$65)+COUNTIF(FM$68:FM79,FM79)-1</f>
        <v>12</v>
      </c>
      <c r="FO79" s="1">
        <f t="shared" ca="1" si="306"/>
        <v>12</v>
      </c>
      <c r="FP79" s="1">
        <f t="shared" ca="1" si="307"/>
        <v>0</v>
      </c>
      <c r="FQ79" s="1">
        <f t="shared" ca="1" si="308"/>
        <v>1</v>
      </c>
      <c r="FR79" s="1" t="str">
        <f t="shared" ca="1" si="309"/>
        <v/>
      </c>
      <c r="FS79" s="1" t="str">
        <f t="shared" ca="1" si="310"/>
        <v/>
      </c>
      <c r="FT79" s="1" t="str">
        <f t="shared" ca="1" si="311"/>
        <v/>
      </c>
      <c r="FU79" s="1" t="str">
        <f t="shared" ca="1" si="312"/>
        <v/>
      </c>
      <c r="FY79" s="1" t="e">
        <f>MATCH(CONCATENATE($B79,"_",INDEX($C$4:$C74,FY$65)),lu_DataCode,0)</f>
        <v>#N/A</v>
      </c>
      <c r="FZ79" s="1" t="e">
        <f t="shared" ca="1" si="213"/>
        <v>#N/A</v>
      </c>
      <c r="GA79" s="1" t="e">
        <f t="shared" ca="1" si="214"/>
        <v>#N/A</v>
      </c>
      <c r="GB79" s="1">
        <f t="shared" ca="1" si="215"/>
        <v>0</v>
      </c>
      <c r="GC79" s="1">
        <f t="shared" ca="1" si="313"/>
        <v>-10000000000</v>
      </c>
      <c r="GD79" s="1">
        <f ca="1">RANK(GC79,GC$68:GC$93,GC$65)+COUNTIF(GC$68:GC79,GC79)-1</f>
        <v>12</v>
      </c>
      <c r="GE79" s="1">
        <f t="shared" ca="1" si="314"/>
        <v>12</v>
      </c>
      <c r="GF79" s="1">
        <f t="shared" ca="1" si="315"/>
        <v>0</v>
      </c>
      <c r="GG79" s="1">
        <f t="shared" ca="1" si="316"/>
        <v>1</v>
      </c>
      <c r="GH79" s="1" t="str">
        <f t="shared" ca="1" si="317"/>
        <v/>
      </c>
      <c r="GI79" s="1" t="str">
        <f t="shared" ca="1" si="318"/>
        <v/>
      </c>
      <c r="GJ79" s="1" t="str">
        <f t="shared" ca="1" si="319"/>
        <v/>
      </c>
      <c r="GK79" s="1" t="str">
        <f t="shared" ca="1" si="320"/>
        <v/>
      </c>
      <c r="GO79" s="1" t="e">
        <f>MATCH(CONCATENATE($B79,"_",INDEX($C$4:$C74,GO$65)),lu_DataCode,0)</f>
        <v>#N/A</v>
      </c>
      <c r="GP79" s="1" t="e">
        <f t="shared" ca="1" si="216"/>
        <v>#N/A</v>
      </c>
      <c r="GQ79" s="1" t="e">
        <f t="shared" ca="1" si="217"/>
        <v>#N/A</v>
      </c>
      <c r="GR79" s="1">
        <f t="shared" ca="1" si="218"/>
        <v>0</v>
      </c>
      <c r="GS79" s="1">
        <f t="shared" ca="1" si="321"/>
        <v>-10000000000</v>
      </c>
      <c r="GT79" s="1">
        <f ca="1">RANK(GS79,GS$68:GS$93,GS$65)+COUNTIF(GS$68:GS79,GS79)-1</f>
        <v>12</v>
      </c>
      <c r="GU79" s="1">
        <f t="shared" ca="1" si="322"/>
        <v>12</v>
      </c>
      <c r="GV79" s="1">
        <f t="shared" ca="1" si="323"/>
        <v>0</v>
      </c>
      <c r="GW79" s="1">
        <f t="shared" ca="1" si="324"/>
        <v>1</v>
      </c>
      <c r="GX79" s="1" t="str">
        <f t="shared" ca="1" si="325"/>
        <v/>
      </c>
      <c r="GY79" s="1" t="str">
        <f t="shared" ca="1" si="326"/>
        <v/>
      </c>
      <c r="GZ79" s="1" t="str">
        <f t="shared" ca="1" si="327"/>
        <v/>
      </c>
      <c r="HA79" s="1" t="str">
        <f t="shared" ca="1" si="328"/>
        <v/>
      </c>
      <c r="HE79" s="1" t="e">
        <f>MATCH(CONCATENATE($B79,"_",INDEX($C$4:$C74,HE$65)),lu_DataCode,0)</f>
        <v>#N/A</v>
      </c>
      <c r="HF79" s="1" t="e">
        <f t="shared" ca="1" si="219"/>
        <v>#N/A</v>
      </c>
      <c r="HG79" s="1" t="e">
        <f t="shared" ca="1" si="220"/>
        <v>#N/A</v>
      </c>
      <c r="HH79" s="1">
        <f t="shared" ca="1" si="221"/>
        <v>0</v>
      </c>
      <c r="HI79" s="1">
        <f t="shared" ca="1" si="329"/>
        <v>-10000000000</v>
      </c>
      <c r="HJ79" s="1">
        <f ca="1">RANK(HI79,HI$68:HI$93,HI$65)+COUNTIF(HI$68:HI79,HI79)-1</f>
        <v>12</v>
      </c>
      <c r="HK79" s="1">
        <f t="shared" ca="1" si="330"/>
        <v>12</v>
      </c>
      <c r="HL79" s="1">
        <f t="shared" ca="1" si="331"/>
        <v>0</v>
      </c>
      <c r="HM79" s="1">
        <f t="shared" ca="1" si="332"/>
        <v>1</v>
      </c>
      <c r="HN79" s="1" t="str">
        <f t="shared" ca="1" si="333"/>
        <v/>
      </c>
      <c r="HO79" s="1" t="str">
        <f t="shared" ca="1" si="334"/>
        <v/>
      </c>
      <c r="HP79" s="1" t="str">
        <f t="shared" ca="1" si="335"/>
        <v/>
      </c>
      <c r="HQ79" s="1" t="str">
        <f t="shared" ca="1" si="336"/>
        <v/>
      </c>
      <c r="HU79" s="1" t="e">
        <f>MATCH(CONCATENATE($B79,"_",INDEX($C$4:$C74,HU$65)),lu_DataCode,0)</f>
        <v>#N/A</v>
      </c>
      <c r="HV79" s="1" t="e">
        <f t="shared" ca="1" si="222"/>
        <v>#N/A</v>
      </c>
      <c r="HW79" s="1" t="e">
        <f t="shared" ca="1" si="223"/>
        <v>#N/A</v>
      </c>
      <c r="HX79" s="1">
        <f t="shared" ca="1" si="224"/>
        <v>0</v>
      </c>
      <c r="HY79" s="1">
        <f t="shared" ca="1" si="337"/>
        <v>-10000000000</v>
      </c>
      <c r="HZ79" s="1">
        <f ca="1">RANK(HY79,HY$68:HY$93,HY$65)+COUNTIF(HY$68:HY79,HY79)-1</f>
        <v>12</v>
      </c>
      <c r="IA79" s="1">
        <f t="shared" ca="1" si="338"/>
        <v>12</v>
      </c>
      <c r="IB79" s="1">
        <f t="shared" ca="1" si="339"/>
        <v>0</v>
      </c>
      <c r="IC79" s="1">
        <f t="shared" ca="1" si="340"/>
        <v>1</v>
      </c>
      <c r="ID79" s="1" t="str">
        <f t="shared" ca="1" si="341"/>
        <v/>
      </c>
      <c r="IE79" s="1" t="str">
        <f t="shared" ca="1" si="342"/>
        <v/>
      </c>
      <c r="IF79" s="1" t="str">
        <f t="shared" ca="1" si="343"/>
        <v/>
      </c>
      <c r="IG79" s="1" t="str">
        <f t="shared" ca="1" si="344"/>
        <v/>
      </c>
    </row>
    <row r="80" spans="1:241" ht="10.15" x14ac:dyDescent="0.2">
      <c r="A80" s="1">
        <f t="shared" ref="A80:D80" si="358">A49</f>
        <v>13</v>
      </c>
      <c r="B80" s="1" t="str">
        <f t="shared" si="358"/>
        <v>NAC_GY_1</v>
      </c>
      <c r="C80" s="1" t="str">
        <f t="shared" si="358"/>
        <v>Guyana</v>
      </c>
      <c r="D80" s="1">
        <f t="shared" si="358"/>
        <v>1</v>
      </c>
      <c r="E80" s="1" t="e">
        <f>MATCH(CONCATENATE($B80,"_",INDEX($C$4:$C75,E$65)),lu_DataCode,0)</f>
        <v>#N/A</v>
      </c>
      <c r="F80" s="1" t="e">
        <f t="shared" ca="1" si="346"/>
        <v>#N/A</v>
      </c>
      <c r="G80" s="1" t="e">
        <f t="shared" ca="1" si="347"/>
        <v>#N/A</v>
      </c>
      <c r="H80" s="1">
        <f t="shared" ca="1" si="348"/>
        <v>0</v>
      </c>
      <c r="I80" s="1">
        <f t="shared" ca="1" si="225"/>
        <v>-10000000000</v>
      </c>
      <c r="J80" s="1">
        <f ca="1">RANK(I80,I$68:I$93,I$65)+COUNTIF(I$68:I80,I80)-1</f>
        <v>13</v>
      </c>
      <c r="K80" s="1">
        <f t="shared" ca="1" si="349"/>
        <v>13</v>
      </c>
      <c r="L80" s="1">
        <f t="shared" ca="1" si="350"/>
        <v>0</v>
      </c>
      <c r="M80" s="1">
        <f t="shared" ca="1" si="228"/>
        <v>1</v>
      </c>
      <c r="N80" s="1" t="str">
        <f t="shared" ca="1" si="229"/>
        <v/>
      </c>
      <c r="O80" s="1" t="str">
        <f t="shared" ca="1" si="230"/>
        <v/>
      </c>
      <c r="P80" s="1" t="str">
        <f t="shared" ca="1" si="351"/>
        <v/>
      </c>
      <c r="Q80" s="1" t="str">
        <f t="shared" ca="1" si="352"/>
        <v/>
      </c>
      <c r="U80" s="1" t="e">
        <f>MATCH(CONCATENATE($B80,"_",INDEX($C$4:$C75,U$65)),lu_DataCode,0)</f>
        <v>#N/A</v>
      </c>
      <c r="V80" s="1" t="e">
        <f t="shared" ca="1" si="353"/>
        <v>#N/A</v>
      </c>
      <c r="W80" s="1" t="e">
        <f t="shared" ca="1" si="354"/>
        <v>#N/A</v>
      </c>
      <c r="X80" s="1">
        <f t="shared" ca="1" si="355"/>
        <v>0</v>
      </c>
      <c r="Y80" s="1">
        <f t="shared" ca="1" si="233"/>
        <v>-10000000000</v>
      </c>
      <c r="Z80" s="1">
        <f ca="1">RANK(Y80,Y$68:Y$93,Y$65)+COUNTIF(Y$68:Y80,Y80)-1</f>
        <v>13</v>
      </c>
      <c r="AA80" s="1">
        <f t="shared" ca="1" si="234"/>
        <v>13</v>
      </c>
      <c r="AB80" s="1">
        <f t="shared" ca="1" si="235"/>
        <v>0</v>
      </c>
      <c r="AC80" s="1">
        <f t="shared" ca="1" si="236"/>
        <v>1</v>
      </c>
      <c r="AD80" s="1" t="str">
        <f t="shared" ca="1" si="237"/>
        <v/>
      </c>
      <c r="AE80" s="1" t="str">
        <f t="shared" ca="1" si="238"/>
        <v/>
      </c>
      <c r="AF80" s="1" t="str">
        <f t="shared" ca="1" si="239"/>
        <v/>
      </c>
      <c r="AG80" s="1" t="str">
        <f t="shared" ca="1" si="240"/>
        <v/>
      </c>
      <c r="AK80" s="1" t="e">
        <f>MATCH(CONCATENATE($B80,"_",INDEX($C$4:$C75,AK$65)),lu_DataCode,0)</f>
        <v>#N/A</v>
      </c>
      <c r="AL80" s="1" t="e">
        <f t="shared" ca="1" si="186"/>
        <v>#N/A</v>
      </c>
      <c r="AM80" s="1" t="e">
        <f t="shared" ca="1" si="187"/>
        <v>#N/A</v>
      </c>
      <c r="AN80" s="1">
        <f t="shared" ca="1" si="188"/>
        <v>0</v>
      </c>
      <c r="AO80" s="1">
        <f t="shared" ca="1" si="241"/>
        <v>-10000000000</v>
      </c>
      <c r="AP80" s="1">
        <f ca="1">RANK(AO80,AO$68:AO$93,AO$65)+COUNTIF(AO$68:AO80,AO80)-1</f>
        <v>13</v>
      </c>
      <c r="AQ80" s="1">
        <f t="shared" ca="1" si="242"/>
        <v>13</v>
      </c>
      <c r="AR80" s="1">
        <f t="shared" ca="1" si="243"/>
        <v>0</v>
      </c>
      <c r="AS80" s="1">
        <f t="shared" ca="1" si="244"/>
        <v>1</v>
      </c>
      <c r="AT80" s="1" t="str">
        <f t="shared" ca="1" si="245"/>
        <v/>
      </c>
      <c r="AU80" s="1" t="str">
        <f t="shared" ca="1" si="246"/>
        <v/>
      </c>
      <c r="AV80" s="1" t="str">
        <f t="shared" ca="1" si="247"/>
        <v/>
      </c>
      <c r="AW80" s="1" t="str">
        <f t="shared" ca="1" si="248"/>
        <v/>
      </c>
      <c r="BA80" s="1" t="e">
        <f>MATCH(CONCATENATE($B80,"_",INDEX($C$4:$C75,BA$65)),lu_DataCode,0)</f>
        <v>#N/A</v>
      </c>
      <c r="BB80" s="1" t="e">
        <f t="shared" ca="1" si="189"/>
        <v>#N/A</v>
      </c>
      <c r="BC80" s="1" t="e">
        <f t="shared" ca="1" si="190"/>
        <v>#N/A</v>
      </c>
      <c r="BD80" s="1">
        <f t="shared" ca="1" si="191"/>
        <v>0</v>
      </c>
      <c r="BE80" s="1">
        <f t="shared" ca="1" si="249"/>
        <v>-10000000000</v>
      </c>
      <c r="BF80" s="1">
        <f ca="1">RANK(BE80,BE$68:BE$93,BE$65)+COUNTIF(BE$68:BE80,BE80)-1</f>
        <v>13</v>
      </c>
      <c r="BG80" s="1">
        <f t="shared" ca="1" si="250"/>
        <v>13</v>
      </c>
      <c r="BH80" s="1">
        <f t="shared" ca="1" si="251"/>
        <v>0</v>
      </c>
      <c r="BI80" s="1">
        <f t="shared" ca="1" si="252"/>
        <v>1</v>
      </c>
      <c r="BJ80" s="1" t="str">
        <f t="shared" ca="1" si="253"/>
        <v/>
      </c>
      <c r="BK80" s="1" t="str">
        <f t="shared" ca="1" si="254"/>
        <v/>
      </c>
      <c r="BL80" s="1" t="str">
        <f t="shared" ca="1" si="255"/>
        <v/>
      </c>
      <c r="BM80" s="1" t="str">
        <f t="shared" ca="1" si="256"/>
        <v/>
      </c>
      <c r="BQ80" s="1" t="e">
        <f>MATCH(CONCATENATE($B80,"_",INDEX($C$4:$C75,BQ$65)),lu_DataCode,0)</f>
        <v>#N/A</v>
      </c>
      <c r="BR80" s="1" t="e">
        <f t="shared" ca="1" si="192"/>
        <v>#N/A</v>
      </c>
      <c r="BS80" s="1" t="e">
        <f t="shared" ca="1" si="193"/>
        <v>#N/A</v>
      </c>
      <c r="BT80" s="1">
        <f t="shared" ca="1" si="194"/>
        <v>0</v>
      </c>
      <c r="BU80" s="1">
        <f t="shared" ca="1" si="257"/>
        <v>-10000000000</v>
      </c>
      <c r="BV80" s="1">
        <f ca="1">RANK(BU80,BU$68:BU$93,BU$65)+COUNTIF(BU$68:BU80,BU80)-1</f>
        <v>13</v>
      </c>
      <c r="BW80" s="1">
        <f t="shared" ca="1" si="258"/>
        <v>13</v>
      </c>
      <c r="BX80" s="1">
        <f t="shared" ca="1" si="259"/>
        <v>0</v>
      </c>
      <c r="BY80" s="1">
        <f t="shared" ca="1" si="260"/>
        <v>1</v>
      </c>
      <c r="BZ80" s="1" t="str">
        <f t="shared" ca="1" si="261"/>
        <v/>
      </c>
      <c r="CA80" s="1" t="str">
        <f t="shared" ca="1" si="262"/>
        <v/>
      </c>
      <c r="CB80" s="1" t="str">
        <f t="shared" ca="1" si="263"/>
        <v/>
      </c>
      <c r="CC80" s="1" t="str">
        <f t="shared" ca="1" si="264"/>
        <v/>
      </c>
      <c r="CG80" s="1" t="e">
        <f>MATCH(CONCATENATE($B80,"_",INDEX($C$4:$C75,CG$65)),lu_DataCode,0)</f>
        <v>#N/A</v>
      </c>
      <c r="CH80" s="1" t="e">
        <f t="shared" ca="1" si="195"/>
        <v>#N/A</v>
      </c>
      <c r="CI80" s="1" t="e">
        <f t="shared" ca="1" si="196"/>
        <v>#N/A</v>
      </c>
      <c r="CJ80" s="1">
        <f t="shared" ca="1" si="197"/>
        <v>0</v>
      </c>
      <c r="CK80" s="1">
        <f t="shared" ca="1" si="265"/>
        <v>-10000000000</v>
      </c>
      <c r="CL80" s="1">
        <f ca="1">RANK(CK80,CK$68:CK$93,CK$65)+COUNTIF(CK$68:CK80,CK80)-1</f>
        <v>13</v>
      </c>
      <c r="CM80" s="1">
        <f t="shared" ca="1" si="266"/>
        <v>13</v>
      </c>
      <c r="CN80" s="1">
        <f t="shared" ca="1" si="267"/>
        <v>0</v>
      </c>
      <c r="CO80" s="1">
        <f t="shared" ca="1" si="268"/>
        <v>1</v>
      </c>
      <c r="CP80" s="1" t="str">
        <f t="shared" ca="1" si="269"/>
        <v/>
      </c>
      <c r="CQ80" s="1" t="str">
        <f t="shared" ca="1" si="270"/>
        <v/>
      </c>
      <c r="CR80" s="1" t="str">
        <f t="shared" ca="1" si="271"/>
        <v/>
      </c>
      <c r="CS80" s="1" t="str">
        <f t="shared" ca="1" si="272"/>
        <v/>
      </c>
      <c r="CW80" s="1" t="e">
        <f>MATCH(CONCATENATE($B80,"_",INDEX($C$4:$C75,CW$65)),lu_DataCode,0)</f>
        <v>#N/A</v>
      </c>
      <c r="CX80" s="1" t="e">
        <f t="shared" ca="1" si="198"/>
        <v>#N/A</v>
      </c>
      <c r="CY80" s="1" t="e">
        <f t="shared" ca="1" si="199"/>
        <v>#N/A</v>
      </c>
      <c r="CZ80" s="1">
        <f t="shared" ca="1" si="200"/>
        <v>0</v>
      </c>
      <c r="DA80" s="1">
        <f t="shared" ca="1" si="273"/>
        <v>-10000000000</v>
      </c>
      <c r="DB80" s="1">
        <f ca="1">RANK(DA80,DA$68:DA$93,DA$65)+COUNTIF(DA$68:DA80,DA80)-1</f>
        <v>13</v>
      </c>
      <c r="DC80" s="1">
        <f t="shared" ca="1" si="274"/>
        <v>13</v>
      </c>
      <c r="DD80" s="1">
        <f t="shared" ca="1" si="275"/>
        <v>0</v>
      </c>
      <c r="DE80" s="1">
        <f t="shared" ca="1" si="276"/>
        <v>1</v>
      </c>
      <c r="DF80" s="1" t="str">
        <f t="shared" ca="1" si="277"/>
        <v/>
      </c>
      <c r="DG80" s="1" t="str">
        <f t="shared" ca="1" si="278"/>
        <v/>
      </c>
      <c r="DH80" s="1" t="str">
        <f t="shared" ca="1" si="279"/>
        <v/>
      </c>
      <c r="DI80" s="1" t="str">
        <f t="shared" ca="1" si="280"/>
        <v/>
      </c>
      <c r="DM80" s="1" t="e">
        <f>MATCH(CONCATENATE($B80,"_",INDEX($C$4:$C75,DM$65)),lu_DataCode,0)</f>
        <v>#N/A</v>
      </c>
      <c r="DN80" s="1" t="e">
        <f t="shared" ca="1" si="201"/>
        <v>#N/A</v>
      </c>
      <c r="DO80" s="1" t="e">
        <f t="shared" ca="1" si="202"/>
        <v>#N/A</v>
      </c>
      <c r="DP80" s="1">
        <f t="shared" ca="1" si="203"/>
        <v>0</v>
      </c>
      <c r="DQ80" s="1">
        <f t="shared" ca="1" si="281"/>
        <v>-10000000000</v>
      </c>
      <c r="DR80" s="1">
        <f ca="1">RANK(DQ80,DQ$68:DQ$93,DQ$65)+COUNTIF(DQ$68:DQ80,DQ80)-1</f>
        <v>13</v>
      </c>
      <c r="DS80" s="1">
        <f t="shared" ca="1" si="282"/>
        <v>13</v>
      </c>
      <c r="DT80" s="1">
        <f t="shared" ca="1" si="283"/>
        <v>0</v>
      </c>
      <c r="DU80" s="1">
        <f t="shared" ca="1" si="284"/>
        <v>1</v>
      </c>
      <c r="DV80" s="1" t="str">
        <f t="shared" ca="1" si="285"/>
        <v/>
      </c>
      <c r="DW80" s="1" t="str">
        <f t="shared" ca="1" si="286"/>
        <v/>
      </c>
      <c r="DX80" s="1" t="str">
        <f t="shared" ca="1" si="287"/>
        <v/>
      </c>
      <c r="DY80" s="1" t="str">
        <f t="shared" ca="1" si="288"/>
        <v/>
      </c>
      <c r="EC80" s="1" t="e">
        <f>MATCH(CONCATENATE($B80,"_",INDEX($C$4:$C75,EC$65)),lu_DataCode,0)</f>
        <v>#N/A</v>
      </c>
      <c r="ED80" s="1" t="e">
        <f t="shared" ca="1" si="204"/>
        <v>#N/A</v>
      </c>
      <c r="EE80" s="1" t="e">
        <f t="shared" ca="1" si="205"/>
        <v>#N/A</v>
      </c>
      <c r="EF80" s="1">
        <f t="shared" ca="1" si="206"/>
        <v>0</v>
      </c>
      <c r="EG80" s="1">
        <f t="shared" ca="1" si="289"/>
        <v>-10000000000</v>
      </c>
      <c r="EH80" s="1">
        <f ca="1">RANK(EG80,EG$68:EG$93,EG$65)+COUNTIF(EG$68:EG80,EG80)-1</f>
        <v>13</v>
      </c>
      <c r="EI80" s="1">
        <f t="shared" ca="1" si="290"/>
        <v>13</v>
      </c>
      <c r="EJ80" s="1">
        <f t="shared" ca="1" si="291"/>
        <v>0</v>
      </c>
      <c r="EK80" s="1">
        <f t="shared" ca="1" si="292"/>
        <v>1</v>
      </c>
      <c r="EL80" s="1" t="str">
        <f t="shared" ca="1" si="293"/>
        <v/>
      </c>
      <c r="EM80" s="1" t="str">
        <f t="shared" ca="1" si="294"/>
        <v/>
      </c>
      <c r="EN80" s="1" t="str">
        <f t="shared" ca="1" si="295"/>
        <v/>
      </c>
      <c r="EO80" s="1" t="str">
        <f t="shared" ca="1" si="296"/>
        <v/>
      </c>
      <c r="ES80" s="1" t="e">
        <f>MATCH(CONCATENATE($B80,"_",INDEX($C$4:$C75,ES$65)),lu_DataCode,0)</f>
        <v>#N/A</v>
      </c>
      <c r="ET80" s="1" t="e">
        <f t="shared" ca="1" si="207"/>
        <v>#N/A</v>
      </c>
      <c r="EU80" s="1" t="e">
        <f t="shared" ca="1" si="208"/>
        <v>#N/A</v>
      </c>
      <c r="EV80" s="1">
        <f t="shared" ca="1" si="209"/>
        <v>0</v>
      </c>
      <c r="EW80" s="1">
        <f t="shared" ca="1" si="297"/>
        <v>-10000000000</v>
      </c>
      <c r="EX80" s="1">
        <f ca="1">RANK(EW80,EW$68:EW$93,EW$65)+COUNTIF(EW$68:EW80,EW80)-1</f>
        <v>13</v>
      </c>
      <c r="EY80" s="1">
        <f t="shared" ca="1" si="298"/>
        <v>13</v>
      </c>
      <c r="EZ80" s="1">
        <f t="shared" ca="1" si="299"/>
        <v>0</v>
      </c>
      <c r="FA80" s="1">
        <f t="shared" ca="1" si="300"/>
        <v>1</v>
      </c>
      <c r="FB80" s="1" t="str">
        <f t="shared" ca="1" si="301"/>
        <v/>
      </c>
      <c r="FC80" s="1" t="str">
        <f t="shared" ca="1" si="302"/>
        <v/>
      </c>
      <c r="FD80" s="1" t="str">
        <f t="shared" ca="1" si="303"/>
        <v/>
      </c>
      <c r="FE80" s="1" t="str">
        <f t="shared" ca="1" si="304"/>
        <v/>
      </c>
      <c r="FI80" s="1" t="e">
        <f>MATCH(CONCATENATE($B80,"_",INDEX($C$4:$C75,FI$65)),lu_DataCode,0)</f>
        <v>#N/A</v>
      </c>
      <c r="FJ80" s="1" t="e">
        <f t="shared" ca="1" si="210"/>
        <v>#N/A</v>
      </c>
      <c r="FK80" s="1" t="e">
        <f t="shared" ca="1" si="211"/>
        <v>#N/A</v>
      </c>
      <c r="FL80" s="1">
        <f t="shared" ca="1" si="212"/>
        <v>0</v>
      </c>
      <c r="FM80" s="1">
        <f t="shared" ca="1" si="305"/>
        <v>-10000000000</v>
      </c>
      <c r="FN80" s="1">
        <f ca="1">RANK(FM80,FM$68:FM$93,FM$65)+COUNTIF(FM$68:FM80,FM80)-1</f>
        <v>13</v>
      </c>
      <c r="FO80" s="1">
        <f t="shared" ca="1" si="306"/>
        <v>13</v>
      </c>
      <c r="FP80" s="1">
        <f t="shared" ca="1" si="307"/>
        <v>0</v>
      </c>
      <c r="FQ80" s="1">
        <f t="shared" ca="1" si="308"/>
        <v>1</v>
      </c>
      <c r="FR80" s="1" t="str">
        <f t="shared" ca="1" si="309"/>
        <v/>
      </c>
      <c r="FS80" s="1" t="str">
        <f t="shared" ca="1" si="310"/>
        <v/>
      </c>
      <c r="FT80" s="1" t="str">
        <f t="shared" ca="1" si="311"/>
        <v/>
      </c>
      <c r="FU80" s="1" t="str">
        <f t="shared" ca="1" si="312"/>
        <v/>
      </c>
      <c r="FY80" s="1" t="e">
        <f>MATCH(CONCATENATE($B80,"_",INDEX($C$4:$C75,FY$65)),lu_DataCode,0)</f>
        <v>#N/A</v>
      </c>
      <c r="FZ80" s="1" t="e">
        <f t="shared" ca="1" si="213"/>
        <v>#N/A</v>
      </c>
      <c r="GA80" s="1" t="e">
        <f t="shared" ca="1" si="214"/>
        <v>#N/A</v>
      </c>
      <c r="GB80" s="1">
        <f t="shared" ca="1" si="215"/>
        <v>0</v>
      </c>
      <c r="GC80" s="1">
        <f t="shared" ca="1" si="313"/>
        <v>-10000000000</v>
      </c>
      <c r="GD80" s="1">
        <f ca="1">RANK(GC80,GC$68:GC$93,GC$65)+COUNTIF(GC$68:GC80,GC80)-1</f>
        <v>13</v>
      </c>
      <c r="GE80" s="1">
        <f t="shared" ca="1" si="314"/>
        <v>13</v>
      </c>
      <c r="GF80" s="1">
        <f t="shared" ca="1" si="315"/>
        <v>0</v>
      </c>
      <c r="GG80" s="1">
        <f t="shared" ca="1" si="316"/>
        <v>1</v>
      </c>
      <c r="GH80" s="1" t="str">
        <f t="shared" ca="1" si="317"/>
        <v/>
      </c>
      <c r="GI80" s="1" t="str">
        <f t="shared" ca="1" si="318"/>
        <v/>
      </c>
      <c r="GJ80" s="1" t="str">
        <f t="shared" ca="1" si="319"/>
        <v/>
      </c>
      <c r="GK80" s="1" t="str">
        <f t="shared" ca="1" si="320"/>
        <v/>
      </c>
      <c r="GO80" s="1" t="e">
        <f>MATCH(CONCATENATE($B80,"_",INDEX($C$4:$C75,GO$65)),lu_DataCode,0)</f>
        <v>#N/A</v>
      </c>
      <c r="GP80" s="1" t="e">
        <f t="shared" ca="1" si="216"/>
        <v>#N/A</v>
      </c>
      <c r="GQ80" s="1" t="e">
        <f t="shared" ca="1" si="217"/>
        <v>#N/A</v>
      </c>
      <c r="GR80" s="1">
        <f t="shared" ca="1" si="218"/>
        <v>0</v>
      </c>
      <c r="GS80" s="1">
        <f t="shared" ca="1" si="321"/>
        <v>-10000000000</v>
      </c>
      <c r="GT80" s="1">
        <f ca="1">RANK(GS80,GS$68:GS$93,GS$65)+COUNTIF(GS$68:GS80,GS80)-1</f>
        <v>13</v>
      </c>
      <c r="GU80" s="1">
        <f t="shared" ca="1" si="322"/>
        <v>13</v>
      </c>
      <c r="GV80" s="1">
        <f t="shared" ca="1" si="323"/>
        <v>0</v>
      </c>
      <c r="GW80" s="1">
        <f t="shared" ca="1" si="324"/>
        <v>1</v>
      </c>
      <c r="GX80" s="1" t="str">
        <f t="shared" ca="1" si="325"/>
        <v/>
      </c>
      <c r="GY80" s="1" t="str">
        <f t="shared" ca="1" si="326"/>
        <v/>
      </c>
      <c r="GZ80" s="1" t="str">
        <f t="shared" ca="1" si="327"/>
        <v/>
      </c>
      <c r="HA80" s="1" t="str">
        <f t="shared" ca="1" si="328"/>
        <v/>
      </c>
      <c r="HE80" s="1" t="e">
        <f>MATCH(CONCATENATE($B80,"_",INDEX($C$4:$C75,HE$65)),lu_DataCode,0)</f>
        <v>#N/A</v>
      </c>
      <c r="HF80" s="1" t="e">
        <f t="shared" ca="1" si="219"/>
        <v>#N/A</v>
      </c>
      <c r="HG80" s="1" t="e">
        <f t="shared" ca="1" si="220"/>
        <v>#N/A</v>
      </c>
      <c r="HH80" s="1">
        <f t="shared" ca="1" si="221"/>
        <v>0</v>
      </c>
      <c r="HI80" s="1">
        <f t="shared" ca="1" si="329"/>
        <v>-10000000000</v>
      </c>
      <c r="HJ80" s="1">
        <f ca="1">RANK(HI80,HI$68:HI$93,HI$65)+COUNTIF(HI$68:HI80,HI80)-1</f>
        <v>13</v>
      </c>
      <c r="HK80" s="1">
        <f t="shared" ca="1" si="330"/>
        <v>13</v>
      </c>
      <c r="HL80" s="1">
        <f t="shared" ca="1" si="331"/>
        <v>0</v>
      </c>
      <c r="HM80" s="1">
        <f t="shared" ca="1" si="332"/>
        <v>1</v>
      </c>
      <c r="HN80" s="1" t="str">
        <f t="shared" ca="1" si="333"/>
        <v/>
      </c>
      <c r="HO80" s="1" t="str">
        <f t="shared" ca="1" si="334"/>
        <v/>
      </c>
      <c r="HP80" s="1" t="str">
        <f t="shared" ca="1" si="335"/>
        <v/>
      </c>
      <c r="HQ80" s="1" t="str">
        <f t="shared" ca="1" si="336"/>
        <v/>
      </c>
      <c r="HU80" s="1" t="e">
        <f>MATCH(CONCATENATE($B80,"_",INDEX($C$4:$C75,HU$65)),lu_DataCode,0)</f>
        <v>#N/A</v>
      </c>
      <c r="HV80" s="1" t="e">
        <f t="shared" ca="1" si="222"/>
        <v>#N/A</v>
      </c>
      <c r="HW80" s="1" t="e">
        <f t="shared" ca="1" si="223"/>
        <v>#N/A</v>
      </c>
      <c r="HX80" s="1">
        <f t="shared" ca="1" si="224"/>
        <v>0</v>
      </c>
      <c r="HY80" s="1">
        <f t="shared" ca="1" si="337"/>
        <v>-10000000000</v>
      </c>
      <c r="HZ80" s="1">
        <f ca="1">RANK(HY80,HY$68:HY$93,HY$65)+COUNTIF(HY$68:HY80,HY80)-1</f>
        <v>13</v>
      </c>
      <c r="IA80" s="1">
        <f t="shared" ca="1" si="338"/>
        <v>13</v>
      </c>
      <c r="IB80" s="1">
        <f t="shared" ca="1" si="339"/>
        <v>0</v>
      </c>
      <c r="IC80" s="1">
        <f t="shared" ca="1" si="340"/>
        <v>1</v>
      </c>
      <c r="ID80" s="1" t="str">
        <f t="shared" ca="1" si="341"/>
        <v/>
      </c>
      <c r="IE80" s="1" t="str">
        <f t="shared" ca="1" si="342"/>
        <v/>
      </c>
      <c r="IF80" s="1" t="str">
        <f t="shared" ca="1" si="343"/>
        <v/>
      </c>
      <c r="IG80" s="1" t="str">
        <f t="shared" ca="1" si="344"/>
        <v/>
      </c>
    </row>
    <row r="81" spans="1:241" ht="10.15" x14ac:dyDescent="0.2">
      <c r="A81" s="1">
        <f t="shared" ref="A81:D81" si="359">A50</f>
        <v>14</v>
      </c>
      <c r="B81" s="1" t="str">
        <f t="shared" si="359"/>
        <v>NAC_HT_1</v>
      </c>
      <c r="C81" s="1" t="str">
        <f t="shared" si="359"/>
        <v>Haiti</v>
      </c>
      <c r="D81" s="1">
        <f t="shared" si="359"/>
        <v>1</v>
      </c>
      <c r="E81" s="1" t="e">
        <f>MATCH(CONCATENATE($B81,"_",INDEX($C$4:$C76,E$65)),lu_DataCode,0)</f>
        <v>#N/A</v>
      </c>
      <c r="F81" s="1" t="e">
        <f t="shared" ca="1" si="346"/>
        <v>#N/A</v>
      </c>
      <c r="G81" s="1" t="e">
        <f t="shared" ca="1" si="347"/>
        <v>#N/A</v>
      </c>
      <c r="H81" s="1">
        <f t="shared" ca="1" si="348"/>
        <v>0</v>
      </c>
      <c r="I81" s="1">
        <f t="shared" ca="1" si="225"/>
        <v>-10000000000</v>
      </c>
      <c r="J81" s="1">
        <f ca="1">RANK(I81,I$68:I$93,I$65)+COUNTIF(I$68:I81,I81)-1</f>
        <v>14</v>
      </c>
      <c r="K81" s="1">
        <f t="shared" ca="1" si="349"/>
        <v>14</v>
      </c>
      <c r="L81" s="1">
        <f t="shared" ca="1" si="350"/>
        <v>0</v>
      </c>
      <c r="M81" s="1">
        <f t="shared" ca="1" si="228"/>
        <v>1</v>
      </c>
      <c r="N81" s="1" t="str">
        <f t="shared" ca="1" si="229"/>
        <v/>
      </c>
      <c r="O81" s="1" t="str">
        <f t="shared" ca="1" si="230"/>
        <v/>
      </c>
      <c r="P81" s="1" t="str">
        <f t="shared" ca="1" si="351"/>
        <v/>
      </c>
      <c r="Q81" s="1" t="str">
        <f t="shared" ca="1" si="352"/>
        <v/>
      </c>
      <c r="U81" s="1" t="e">
        <f>MATCH(CONCATENATE($B81,"_",INDEX($C$4:$C76,U$65)),lu_DataCode,0)</f>
        <v>#N/A</v>
      </c>
      <c r="V81" s="1" t="e">
        <f t="shared" ca="1" si="353"/>
        <v>#N/A</v>
      </c>
      <c r="W81" s="1" t="e">
        <f t="shared" ca="1" si="354"/>
        <v>#N/A</v>
      </c>
      <c r="X81" s="1">
        <f t="shared" ca="1" si="355"/>
        <v>0</v>
      </c>
      <c r="Y81" s="1">
        <f t="shared" ca="1" si="233"/>
        <v>-10000000000</v>
      </c>
      <c r="Z81" s="1">
        <f ca="1">RANK(Y81,Y$68:Y$93,Y$65)+COUNTIF(Y$68:Y81,Y81)-1</f>
        <v>14</v>
      </c>
      <c r="AA81" s="1">
        <f t="shared" ca="1" si="234"/>
        <v>14</v>
      </c>
      <c r="AB81" s="1">
        <f t="shared" ca="1" si="235"/>
        <v>0</v>
      </c>
      <c r="AC81" s="1">
        <f t="shared" ca="1" si="236"/>
        <v>1</v>
      </c>
      <c r="AD81" s="1" t="str">
        <f t="shared" ca="1" si="237"/>
        <v/>
      </c>
      <c r="AE81" s="1" t="str">
        <f t="shared" ca="1" si="238"/>
        <v/>
      </c>
      <c r="AF81" s="1" t="str">
        <f t="shared" ca="1" si="239"/>
        <v/>
      </c>
      <c r="AG81" s="1" t="str">
        <f t="shared" ca="1" si="240"/>
        <v/>
      </c>
      <c r="AK81" s="1" t="e">
        <f>MATCH(CONCATENATE($B81,"_",INDEX($C$4:$C76,AK$65)),lu_DataCode,0)</f>
        <v>#N/A</v>
      </c>
      <c r="AL81" s="1" t="e">
        <f t="shared" ca="1" si="186"/>
        <v>#N/A</v>
      </c>
      <c r="AM81" s="1" t="e">
        <f t="shared" ca="1" si="187"/>
        <v>#N/A</v>
      </c>
      <c r="AN81" s="1">
        <f t="shared" ca="1" si="188"/>
        <v>0</v>
      </c>
      <c r="AO81" s="1">
        <f t="shared" ca="1" si="241"/>
        <v>-10000000000</v>
      </c>
      <c r="AP81" s="1">
        <f ca="1">RANK(AO81,AO$68:AO$93,AO$65)+COUNTIF(AO$68:AO81,AO81)-1</f>
        <v>14</v>
      </c>
      <c r="AQ81" s="1">
        <f t="shared" ca="1" si="242"/>
        <v>14</v>
      </c>
      <c r="AR81" s="1">
        <f t="shared" ca="1" si="243"/>
        <v>0</v>
      </c>
      <c r="AS81" s="1">
        <f t="shared" ca="1" si="244"/>
        <v>1</v>
      </c>
      <c r="AT81" s="1" t="str">
        <f t="shared" ca="1" si="245"/>
        <v/>
      </c>
      <c r="AU81" s="1" t="str">
        <f t="shared" ca="1" si="246"/>
        <v/>
      </c>
      <c r="AV81" s="1" t="str">
        <f t="shared" ca="1" si="247"/>
        <v/>
      </c>
      <c r="AW81" s="1" t="str">
        <f t="shared" ca="1" si="248"/>
        <v/>
      </c>
      <c r="BA81" s="1" t="e">
        <f>MATCH(CONCATENATE($B81,"_",INDEX($C$4:$C76,BA$65)),lu_DataCode,0)</f>
        <v>#N/A</v>
      </c>
      <c r="BB81" s="1" t="e">
        <f t="shared" ca="1" si="189"/>
        <v>#N/A</v>
      </c>
      <c r="BC81" s="1" t="e">
        <f t="shared" ca="1" si="190"/>
        <v>#N/A</v>
      </c>
      <c r="BD81" s="1">
        <f t="shared" ca="1" si="191"/>
        <v>0</v>
      </c>
      <c r="BE81" s="1">
        <f t="shared" ca="1" si="249"/>
        <v>-10000000000</v>
      </c>
      <c r="BF81" s="1">
        <f ca="1">RANK(BE81,BE$68:BE$93,BE$65)+COUNTIF(BE$68:BE81,BE81)-1</f>
        <v>14</v>
      </c>
      <c r="BG81" s="1">
        <f t="shared" ca="1" si="250"/>
        <v>14</v>
      </c>
      <c r="BH81" s="1">
        <f t="shared" ca="1" si="251"/>
        <v>0</v>
      </c>
      <c r="BI81" s="1">
        <f t="shared" ca="1" si="252"/>
        <v>1</v>
      </c>
      <c r="BJ81" s="1" t="str">
        <f t="shared" ca="1" si="253"/>
        <v/>
      </c>
      <c r="BK81" s="1" t="str">
        <f t="shared" ca="1" si="254"/>
        <v/>
      </c>
      <c r="BL81" s="1" t="str">
        <f t="shared" ca="1" si="255"/>
        <v/>
      </c>
      <c r="BM81" s="1" t="str">
        <f t="shared" ca="1" si="256"/>
        <v/>
      </c>
      <c r="BQ81" s="1" t="e">
        <f>MATCH(CONCATENATE($B81,"_",INDEX($C$4:$C76,BQ$65)),lu_DataCode,0)</f>
        <v>#N/A</v>
      </c>
      <c r="BR81" s="1" t="e">
        <f t="shared" ca="1" si="192"/>
        <v>#N/A</v>
      </c>
      <c r="BS81" s="1" t="e">
        <f t="shared" ca="1" si="193"/>
        <v>#N/A</v>
      </c>
      <c r="BT81" s="1">
        <f t="shared" ca="1" si="194"/>
        <v>0</v>
      </c>
      <c r="BU81" s="1">
        <f t="shared" ca="1" si="257"/>
        <v>-10000000000</v>
      </c>
      <c r="BV81" s="1">
        <f ca="1">RANK(BU81,BU$68:BU$93,BU$65)+COUNTIF(BU$68:BU81,BU81)-1</f>
        <v>14</v>
      </c>
      <c r="BW81" s="1">
        <f t="shared" ca="1" si="258"/>
        <v>14</v>
      </c>
      <c r="BX81" s="1">
        <f t="shared" ca="1" si="259"/>
        <v>0</v>
      </c>
      <c r="BY81" s="1">
        <f t="shared" ca="1" si="260"/>
        <v>1</v>
      </c>
      <c r="BZ81" s="1" t="str">
        <f t="shared" ca="1" si="261"/>
        <v/>
      </c>
      <c r="CA81" s="1" t="str">
        <f t="shared" ca="1" si="262"/>
        <v/>
      </c>
      <c r="CB81" s="1" t="str">
        <f t="shared" ca="1" si="263"/>
        <v/>
      </c>
      <c r="CC81" s="1" t="str">
        <f t="shared" ca="1" si="264"/>
        <v/>
      </c>
      <c r="CG81" s="1" t="e">
        <f>MATCH(CONCATENATE($B81,"_",INDEX($C$4:$C76,CG$65)),lu_DataCode,0)</f>
        <v>#N/A</v>
      </c>
      <c r="CH81" s="1" t="e">
        <f t="shared" ca="1" si="195"/>
        <v>#N/A</v>
      </c>
      <c r="CI81" s="1" t="e">
        <f t="shared" ca="1" si="196"/>
        <v>#N/A</v>
      </c>
      <c r="CJ81" s="1">
        <f t="shared" ca="1" si="197"/>
        <v>0</v>
      </c>
      <c r="CK81" s="1">
        <f t="shared" ca="1" si="265"/>
        <v>-10000000000</v>
      </c>
      <c r="CL81" s="1">
        <f ca="1">RANK(CK81,CK$68:CK$93,CK$65)+COUNTIF(CK$68:CK81,CK81)-1</f>
        <v>14</v>
      </c>
      <c r="CM81" s="1">
        <f t="shared" ca="1" si="266"/>
        <v>14</v>
      </c>
      <c r="CN81" s="1">
        <f t="shared" ca="1" si="267"/>
        <v>0</v>
      </c>
      <c r="CO81" s="1">
        <f t="shared" ca="1" si="268"/>
        <v>1</v>
      </c>
      <c r="CP81" s="1" t="str">
        <f t="shared" ca="1" si="269"/>
        <v/>
      </c>
      <c r="CQ81" s="1" t="str">
        <f t="shared" ca="1" si="270"/>
        <v/>
      </c>
      <c r="CR81" s="1" t="str">
        <f t="shared" ca="1" si="271"/>
        <v/>
      </c>
      <c r="CS81" s="1" t="str">
        <f t="shared" ca="1" si="272"/>
        <v/>
      </c>
      <c r="CW81" s="1" t="e">
        <f>MATCH(CONCATENATE($B81,"_",INDEX($C$4:$C76,CW$65)),lu_DataCode,0)</f>
        <v>#N/A</v>
      </c>
      <c r="CX81" s="1" t="e">
        <f t="shared" ca="1" si="198"/>
        <v>#N/A</v>
      </c>
      <c r="CY81" s="1" t="e">
        <f t="shared" ca="1" si="199"/>
        <v>#N/A</v>
      </c>
      <c r="CZ81" s="1">
        <f t="shared" ca="1" si="200"/>
        <v>0</v>
      </c>
      <c r="DA81" s="1">
        <f t="shared" ca="1" si="273"/>
        <v>-10000000000</v>
      </c>
      <c r="DB81" s="1">
        <f ca="1">RANK(DA81,DA$68:DA$93,DA$65)+COUNTIF(DA$68:DA81,DA81)-1</f>
        <v>14</v>
      </c>
      <c r="DC81" s="1">
        <f t="shared" ca="1" si="274"/>
        <v>14</v>
      </c>
      <c r="DD81" s="1">
        <f t="shared" ca="1" si="275"/>
        <v>0</v>
      </c>
      <c r="DE81" s="1">
        <f t="shared" ca="1" si="276"/>
        <v>1</v>
      </c>
      <c r="DF81" s="1" t="str">
        <f t="shared" ca="1" si="277"/>
        <v/>
      </c>
      <c r="DG81" s="1" t="str">
        <f t="shared" ca="1" si="278"/>
        <v/>
      </c>
      <c r="DH81" s="1" t="str">
        <f t="shared" ca="1" si="279"/>
        <v/>
      </c>
      <c r="DI81" s="1" t="str">
        <f t="shared" ca="1" si="280"/>
        <v/>
      </c>
      <c r="DM81" s="1" t="e">
        <f>MATCH(CONCATENATE($B81,"_",INDEX($C$4:$C76,DM$65)),lu_DataCode,0)</f>
        <v>#N/A</v>
      </c>
      <c r="DN81" s="1" t="e">
        <f t="shared" ca="1" si="201"/>
        <v>#N/A</v>
      </c>
      <c r="DO81" s="1" t="e">
        <f t="shared" ca="1" si="202"/>
        <v>#N/A</v>
      </c>
      <c r="DP81" s="1">
        <f t="shared" ca="1" si="203"/>
        <v>0</v>
      </c>
      <c r="DQ81" s="1">
        <f t="shared" ca="1" si="281"/>
        <v>-10000000000</v>
      </c>
      <c r="DR81" s="1">
        <f ca="1">RANK(DQ81,DQ$68:DQ$93,DQ$65)+COUNTIF(DQ$68:DQ81,DQ81)-1</f>
        <v>14</v>
      </c>
      <c r="DS81" s="1">
        <f t="shared" ca="1" si="282"/>
        <v>14</v>
      </c>
      <c r="DT81" s="1">
        <f t="shared" ca="1" si="283"/>
        <v>0</v>
      </c>
      <c r="DU81" s="1">
        <f t="shared" ca="1" si="284"/>
        <v>1</v>
      </c>
      <c r="DV81" s="1" t="str">
        <f t="shared" ca="1" si="285"/>
        <v/>
      </c>
      <c r="DW81" s="1" t="str">
        <f t="shared" ca="1" si="286"/>
        <v/>
      </c>
      <c r="DX81" s="1" t="str">
        <f t="shared" ca="1" si="287"/>
        <v/>
      </c>
      <c r="DY81" s="1" t="str">
        <f t="shared" ca="1" si="288"/>
        <v/>
      </c>
      <c r="EC81" s="1" t="e">
        <f>MATCH(CONCATENATE($B81,"_",INDEX($C$4:$C76,EC$65)),lu_DataCode,0)</f>
        <v>#N/A</v>
      </c>
      <c r="ED81" s="1" t="e">
        <f t="shared" ca="1" si="204"/>
        <v>#N/A</v>
      </c>
      <c r="EE81" s="1" t="e">
        <f t="shared" ca="1" si="205"/>
        <v>#N/A</v>
      </c>
      <c r="EF81" s="1">
        <f t="shared" ca="1" si="206"/>
        <v>0</v>
      </c>
      <c r="EG81" s="1">
        <f t="shared" ca="1" si="289"/>
        <v>-10000000000</v>
      </c>
      <c r="EH81" s="1">
        <f ca="1">RANK(EG81,EG$68:EG$93,EG$65)+COUNTIF(EG$68:EG81,EG81)-1</f>
        <v>14</v>
      </c>
      <c r="EI81" s="1">
        <f t="shared" ca="1" si="290"/>
        <v>14</v>
      </c>
      <c r="EJ81" s="1">
        <f t="shared" ca="1" si="291"/>
        <v>0</v>
      </c>
      <c r="EK81" s="1">
        <f t="shared" ca="1" si="292"/>
        <v>1</v>
      </c>
      <c r="EL81" s="1" t="str">
        <f t="shared" ca="1" si="293"/>
        <v/>
      </c>
      <c r="EM81" s="1" t="str">
        <f t="shared" ca="1" si="294"/>
        <v/>
      </c>
      <c r="EN81" s="1" t="str">
        <f t="shared" ca="1" si="295"/>
        <v/>
      </c>
      <c r="EO81" s="1" t="str">
        <f t="shared" ca="1" si="296"/>
        <v/>
      </c>
      <c r="ES81" s="1" t="e">
        <f>MATCH(CONCATENATE($B81,"_",INDEX($C$4:$C76,ES$65)),lu_DataCode,0)</f>
        <v>#N/A</v>
      </c>
      <c r="ET81" s="1" t="e">
        <f t="shared" ca="1" si="207"/>
        <v>#N/A</v>
      </c>
      <c r="EU81" s="1" t="e">
        <f t="shared" ca="1" si="208"/>
        <v>#N/A</v>
      </c>
      <c r="EV81" s="1">
        <f t="shared" ca="1" si="209"/>
        <v>0</v>
      </c>
      <c r="EW81" s="1">
        <f t="shared" ca="1" si="297"/>
        <v>-10000000000</v>
      </c>
      <c r="EX81" s="1">
        <f ca="1">RANK(EW81,EW$68:EW$93,EW$65)+COUNTIF(EW$68:EW81,EW81)-1</f>
        <v>14</v>
      </c>
      <c r="EY81" s="1">
        <f t="shared" ca="1" si="298"/>
        <v>14</v>
      </c>
      <c r="EZ81" s="1">
        <f t="shared" ca="1" si="299"/>
        <v>0</v>
      </c>
      <c r="FA81" s="1">
        <f t="shared" ca="1" si="300"/>
        <v>1</v>
      </c>
      <c r="FB81" s="1" t="str">
        <f t="shared" ca="1" si="301"/>
        <v/>
      </c>
      <c r="FC81" s="1" t="str">
        <f t="shared" ca="1" si="302"/>
        <v/>
      </c>
      <c r="FD81" s="1" t="str">
        <f t="shared" ca="1" si="303"/>
        <v/>
      </c>
      <c r="FE81" s="1" t="str">
        <f t="shared" ca="1" si="304"/>
        <v/>
      </c>
      <c r="FI81" s="1" t="e">
        <f>MATCH(CONCATENATE($B81,"_",INDEX($C$4:$C76,FI$65)),lu_DataCode,0)</f>
        <v>#N/A</v>
      </c>
      <c r="FJ81" s="1" t="e">
        <f t="shared" ca="1" si="210"/>
        <v>#N/A</v>
      </c>
      <c r="FK81" s="1" t="e">
        <f t="shared" ca="1" si="211"/>
        <v>#N/A</v>
      </c>
      <c r="FL81" s="1">
        <f t="shared" ca="1" si="212"/>
        <v>0</v>
      </c>
      <c r="FM81" s="1">
        <f t="shared" ca="1" si="305"/>
        <v>-10000000000</v>
      </c>
      <c r="FN81" s="1">
        <f ca="1">RANK(FM81,FM$68:FM$93,FM$65)+COUNTIF(FM$68:FM81,FM81)-1</f>
        <v>14</v>
      </c>
      <c r="FO81" s="1">
        <f t="shared" ca="1" si="306"/>
        <v>14</v>
      </c>
      <c r="FP81" s="1">
        <f t="shared" ca="1" si="307"/>
        <v>0</v>
      </c>
      <c r="FQ81" s="1">
        <f t="shared" ca="1" si="308"/>
        <v>1</v>
      </c>
      <c r="FR81" s="1" t="str">
        <f t="shared" ca="1" si="309"/>
        <v/>
      </c>
      <c r="FS81" s="1" t="str">
        <f t="shared" ca="1" si="310"/>
        <v/>
      </c>
      <c r="FT81" s="1" t="str">
        <f t="shared" ca="1" si="311"/>
        <v/>
      </c>
      <c r="FU81" s="1" t="str">
        <f t="shared" ca="1" si="312"/>
        <v/>
      </c>
      <c r="FY81" s="1" t="e">
        <f>MATCH(CONCATENATE($B81,"_",INDEX($C$4:$C76,FY$65)),lu_DataCode,0)</f>
        <v>#N/A</v>
      </c>
      <c r="FZ81" s="1" t="e">
        <f t="shared" ca="1" si="213"/>
        <v>#N/A</v>
      </c>
      <c r="GA81" s="1" t="e">
        <f t="shared" ca="1" si="214"/>
        <v>#N/A</v>
      </c>
      <c r="GB81" s="1">
        <f t="shared" ca="1" si="215"/>
        <v>0</v>
      </c>
      <c r="GC81" s="1">
        <f t="shared" ca="1" si="313"/>
        <v>-10000000000</v>
      </c>
      <c r="GD81" s="1">
        <f ca="1">RANK(GC81,GC$68:GC$93,GC$65)+COUNTIF(GC$68:GC81,GC81)-1</f>
        <v>14</v>
      </c>
      <c r="GE81" s="1">
        <f t="shared" ca="1" si="314"/>
        <v>14</v>
      </c>
      <c r="GF81" s="1">
        <f t="shared" ca="1" si="315"/>
        <v>0</v>
      </c>
      <c r="GG81" s="1">
        <f t="shared" ca="1" si="316"/>
        <v>1</v>
      </c>
      <c r="GH81" s="1" t="str">
        <f t="shared" ca="1" si="317"/>
        <v/>
      </c>
      <c r="GI81" s="1" t="str">
        <f t="shared" ca="1" si="318"/>
        <v/>
      </c>
      <c r="GJ81" s="1" t="str">
        <f t="shared" ca="1" si="319"/>
        <v/>
      </c>
      <c r="GK81" s="1" t="str">
        <f t="shared" ca="1" si="320"/>
        <v/>
      </c>
      <c r="GO81" s="1" t="e">
        <f>MATCH(CONCATENATE($B81,"_",INDEX($C$4:$C76,GO$65)),lu_DataCode,0)</f>
        <v>#N/A</v>
      </c>
      <c r="GP81" s="1" t="e">
        <f t="shared" ca="1" si="216"/>
        <v>#N/A</v>
      </c>
      <c r="GQ81" s="1" t="e">
        <f t="shared" ca="1" si="217"/>
        <v>#N/A</v>
      </c>
      <c r="GR81" s="1">
        <f t="shared" ca="1" si="218"/>
        <v>0</v>
      </c>
      <c r="GS81" s="1">
        <f t="shared" ca="1" si="321"/>
        <v>-10000000000</v>
      </c>
      <c r="GT81" s="1">
        <f ca="1">RANK(GS81,GS$68:GS$93,GS$65)+COUNTIF(GS$68:GS81,GS81)-1</f>
        <v>14</v>
      </c>
      <c r="GU81" s="1">
        <f t="shared" ca="1" si="322"/>
        <v>14</v>
      </c>
      <c r="GV81" s="1">
        <f t="shared" ca="1" si="323"/>
        <v>0</v>
      </c>
      <c r="GW81" s="1">
        <f t="shared" ca="1" si="324"/>
        <v>1</v>
      </c>
      <c r="GX81" s="1" t="str">
        <f t="shared" ca="1" si="325"/>
        <v/>
      </c>
      <c r="GY81" s="1" t="str">
        <f t="shared" ca="1" si="326"/>
        <v/>
      </c>
      <c r="GZ81" s="1" t="str">
        <f t="shared" ca="1" si="327"/>
        <v/>
      </c>
      <c r="HA81" s="1" t="str">
        <f t="shared" ca="1" si="328"/>
        <v/>
      </c>
      <c r="HE81" s="1" t="e">
        <f>MATCH(CONCATENATE($B81,"_",INDEX($C$4:$C76,HE$65)),lu_DataCode,0)</f>
        <v>#N/A</v>
      </c>
      <c r="HF81" s="1" t="e">
        <f t="shared" ca="1" si="219"/>
        <v>#N/A</v>
      </c>
      <c r="HG81" s="1" t="e">
        <f t="shared" ca="1" si="220"/>
        <v>#N/A</v>
      </c>
      <c r="HH81" s="1">
        <f t="shared" ca="1" si="221"/>
        <v>0</v>
      </c>
      <c r="HI81" s="1">
        <f t="shared" ca="1" si="329"/>
        <v>-10000000000</v>
      </c>
      <c r="HJ81" s="1">
        <f ca="1">RANK(HI81,HI$68:HI$93,HI$65)+COUNTIF(HI$68:HI81,HI81)-1</f>
        <v>14</v>
      </c>
      <c r="HK81" s="1">
        <f t="shared" ca="1" si="330"/>
        <v>14</v>
      </c>
      <c r="HL81" s="1">
        <f t="shared" ca="1" si="331"/>
        <v>0</v>
      </c>
      <c r="HM81" s="1">
        <f t="shared" ca="1" si="332"/>
        <v>1</v>
      </c>
      <c r="HN81" s="1" t="str">
        <f t="shared" ca="1" si="333"/>
        <v/>
      </c>
      <c r="HO81" s="1" t="str">
        <f t="shared" ca="1" si="334"/>
        <v/>
      </c>
      <c r="HP81" s="1" t="str">
        <f t="shared" ca="1" si="335"/>
        <v/>
      </c>
      <c r="HQ81" s="1" t="str">
        <f t="shared" ca="1" si="336"/>
        <v/>
      </c>
      <c r="HU81" s="1" t="e">
        <f>MATCH(CONCATENATE($B81,"_",INDEX($C$4:$C76,HU$65)),lu_DataCode,0)</f>
        <v>#N/A</v>
      </c>
      <c r="HV81" s="1" t="e">
        <f t="shared" ca="1" si="222"/>
        <v>#N/A</v>
      </c>
      <c r="HW81" s="1" t="e">
        <f t="shared" ca="1" si="223"/>
        <v>#N/A</v>
      </c>
      <c r="HX81" s="1">
        <f t="shared" ca="1" si="224"/>
        <v>0</v>
      </c>
      <c r="HY81" s="1">
        <f t="shared" ca="1" si="337"/>
        <v>-10000000000</v>
      </c>
      <c r="HZ81" s="1">
        <f ca="1">RANK(HY81,HY$68:HY$93,HY$65)+COUNTIF(HY$68:HY81,HY81)-1</f>
        <v>14</v>
      </c>
      <c r="IA81" s="1">
        <f t="shared" ca="1" si="338"/>
        <v>14</v>
      </c>
      <c r="IB81" s="1">
        <f t="shared" ca="1" si="339"/>
        <v>0</v>
      </c>
      <c r="IC81" s="1">
        <f t="shared" ca="1" si="340"/>
        <v>1</v>
      </c>
      <c r="ID81" s="1" t="str">
        <f t="shared" ca="1" si="341"/>
        <v/>
      </c>
      <c r="IE81" s="1" t="str">
        <f t="shared" ca="1" si="342"/>
        <v/>
      </c>
      <c r="IF81" s="1" t="str">
        <f t="shared" ca="1" si="343"/>
        <v/>
      </c>
      <c r="IG81" s="1" t="str">
        <f t="shared" ca="1" si="344"/>
        <v/>
      </c>
    </row>
    <row r="82" spans="1:241" x14ac:dyDescent="0.2">
      <c r="A82" s="1">
        <f t="shared" ref="A82:D82" si="360">A51</f>
        <v>15</v>
      </c>
      <c r="B82" s="1" t="str">
        <f t="shared" si="360"/>
        <v>NAC_HN_1</v>
      </c>
      <c r="C82" s="1" t="str">
        <f t="shared" si="360"/>
        <v>Honduras</v>
      </c>
      <c r="D82" s="1">
        <f t="shared" si="360"/>
        <v>1</v>
      </c>
      <c r="E82" s="1" t="e">
        <f>MATCH(CONCATENATE($B82,"_",INDEX($C$4:$C77,E$65)),lu_DataCode,0)</f>
        <v>#N/A</v>
      </c>
      <c r="F82" s="1" t="e">
        <f t="shared" ca="1" si="346"/>
        <v>#N/A</v>
      </c>
      <c r="G82" s="1" t="e">
        <f t="shared" ca="1" si="347"/>
        <v>#N/A</v>
      </c>
      <c r="H82" s="1">
        <f t="shared" ca="1" si="348"/>
        <v>0</v>
      </c>
      <c r="I82" s="1">
        <f t="shared" ca="1" si="225"/>
        <v>-10000000000</v>
      </c>
      <c r="J82" s="1">
        <f ca="1">RANK(I82,I$68:I$93,I$65)+COUNTIF(I$68:I82,I82)-1</f>
        <v>15</v>
      </c>
      <c r="K82" s="1">
        <f t="shared" ca="1" si="349"/>
        <v>15</v>
      </c>
      <c r="L82" s="1">
        <f t="shared" ca="1" si="350"/>
        <v>0</v>
      </c>
      <c r="M82" s="1">
        <f t="shared" ca="1" si="228"/>
        <v>1</v>
      </c>
      <c r="N82" s="1" t="str">
        <f t="shared" ca="1" si="229"/>
        <v/>
      </c>
      <c r="O82" s="1" t="str">
        <f t="shared" ca="1" si="230"/>
        <v/>
      </c>
      <c r="P82" s="1" t="str">
        <f t="shared" ca="1" si="351"/>
        <v/>
      </c>
      <c r="Q82" s="1" t="str">
        <f t="shared" ca="1" si="352"/>
        <v/>
      </c>
      <c r="U82" s="1" t="e">
        <f>MATCH(CONCATENATE($B82,"_",INDEX($C$4:$C77,U$65)),lu_DataCode,0)</f>
        <v>#N/A</v>
      </c>
      <c r="V82" s="1" t="e">
        <f t="shared" ca="1" si="353"/>
        <v>#N/A</v>
      </c>
      <c r="W82" s="1" t="e">
        <f t="shared" ca="1" si="354"/>
        <v>#N/A</v>
      </c>
      <c r="X82" s="1">
        <f t="shared" ca="1" si="355"/>
        <v>0</v>
      </c>
      <c r="Y82" s="1">
        <f t="shared" ca="1" si="233"/>
        <v>-10000000000</v>
      </c>
      <c r="Z82" s="1">
        <f ca="1">RANK(Y82,Y$68:Y$93,Y$65)+COUNTIF(Y$68:Y82,Y82)-1</f>
        <v>15</v>
      </c>
      <c r="AA82" s="1">
        <f t="shared" ca="1" si="234"/>
        <v>15</v>
      </c>
      <c r="AB82" s="1">
        <f t="shared" ca="1" si="235"/>
        <v>0</v>
      </c>
      <c r="AC82" s="1">
        <f t="shared" ca="1" si="236"/>
        <v>1</v>
      </c>
      <c r="AD82" s="1" t="str">
        <f t="shared" ca="1" si="237"/>
        <v/>
      </c>
      <c r="AE82" s="1" t="str">
        <f t="shared" ca="1" si="238"/>
        <v/>
      </c>
      <c r="AF82" s="1" t="str">
        <f t="shared" ca="1" si="239"/>
        <v/>
      </c>
      <c r="AG82" s="1" t="str">
        <f t="shared" ca="1" si="240"/>
        <v/>
      </c>
      <c r="AK82" s="1" t="e">
        <f>MATCH(CONCATENATE($B82,"_",INDEX($C$4:$C77,AK$65)),lu_DataCode,0)</f>
        <v>#N/A</v>
      </c>
      <c r="AL82" s="1" t="e">
        <f t="shared" ca="1" si="186"/>
        <v>#N/A</v>
      </c>
      <c r="AM82" s="1" t="e">
        <f t="shared" ca="1" si="187"/>
        <v>#N/A</v>
      </c>
      <c r="AN82" s="1">
        <f t="shared" ca="1" si="188"/>
        <v>0</v>
      </c>
      <c r="AO82" s="1">
        <f t="shared" ca="1" si="241"/>
        <v>-10000000000</v>
      </c>
      <c r="AP82" s="1">
        <f ca="1">RANK(AO82,AO$68:AO$93,AO$65)+COUNTIF(AO$68:AO82,AO82)-1</f>
        <v>15</v>
      </c>
      <c r="AQ82" s="1">
        <f t="shared" ca="1" si="242"/>
        <v>15</v>
      </c>
      <c r="AR82" s="1">
        <f t="shared" ca="1" si="243"/>
        <v>0</v>
      </c>
      <c r="AS82" s="1">
        <f t="shared" ca="1" si="244"/>
        <v>1</v>
      </c>
      <c r="AT82" s="1" t="str">
        <f t="shared" ca="1" si="245"/>
        <v/>
      </c>
      <c r="AU82" s="1" t="str">
        <f t="shared" ca="1" si="246"/>
        <v/>
      </c>
      <c r="AV82" s="1" t="str">
        <f t="shared" ca="1" si="247"/>
        <v/>
      </c>
      <c r="AW82" s="1" t="str">
        <f t="shared" ca="1" si="248"/>
        <v/>
      </c>
      <c r="BA82" s="1" t="e">
        <f>MATCH(CONCATENATE($B82,"_",INDEX($C$4:$C77,BA$65)),lu_DataCode,0)</f>
        <v>#N/A</v>
      </c>
      <c r="BB82" s="1" t="e">
        <f t="shared" ca="1" si="189"/>
        <v>#N/A</v>
      </c>
      <c r="BC82" s="1" t="e">
        <f t="shared" ca="1" si="190"/>
        <v>#N/A</v>
      </c>
      <c r="BD82" s="1">
        <f t="shared" ca="1" si="191"/>
        <v>0</v>
      </c>
      <c r="BE82" s="1">
        <f t="shared" ca="1" si="249"/>
        <v>-10000000000</v>
      </c>
      <c r="BF82" s="1">
        <f ca="1">RANK(BE82,BE$68:BE$93,BE$65)+COUNTIF(BE$68:BE82,BE82)-1</f>
        <v>15</v>
      </c>
      <c r="BG82" s="1">
        <f t="shared" ca="1" si="250"/>
        <v>15</v>
      </c>
      <c r="BH82" s="1">
        <f t="shared" ca="1" si="251"/>
        <v>0</v>
      </c>
      <c r="BI82" s="1">
        <f t="shared" ca="1" si="252"/>
        <v>1</v>
      </c>
      <c r="BJ82" s="1" t="str">
        <f t="shared" ca="1" si="253"/>
        <v/>
      </c>
      <c r="BK82" s="1" t="str">
        <f t="shared" ca="1" si="254"/>
        <v/>
      </c>
      <c r="BL82" s="1" t="str">
        <f t="shared" ca="1" si="255"/>
        <v/>
      </c>
      <c r="BM82" s="1" t="str">
        <f t="shared" ca="1" si="256"/>
        <v/>
      </c>
      <c r="BQ82" s="1" t="e">
        <f>MATCH(CONCATENATE($B82,"_",INDEX($C$4:$C77,BQ$65)),lu_DataCode,0)</f>
        <v>#N/A</v>
      </c>
      <c r="BR82" s="1" t="e">
        <f t="shared" ca="1" si="192"/>
        <v>#N/A</v>
      </c>
      <c r="BS82" s="1" t="e">
        <f t="shared" ca="1" si="193"/>
        <v>#N/A</v>
      </c>
      <c r="BT82" s="1">
        <f t="shared" ca="1" si="194"/>
        <v>0</v>
      </c>
      <c r="BU82" s="1">
        <f t="shared" ca="1" si="257"/>
        <v>-10000000000</v>
      </c>
      <c r="BV82" s="1">
        <f ca="1">RANK(BU82,BU$68:BU$93,BU$65)+COUNTIF(BU$68:BU82,BU82)-1</f>
        <v>15</v>
      </c>
      <c r="BW82" s="1">
        <f t="shared" ca="1" si="258"/>
        <v>15</v>
      </c>
      <c r="BX82" s="1">
        <f t="shared" ca="1" si="259"/>
        <v>0</v>
      </c>
      <c r="BY82" s="1">
        <f t="shared" ca="1" si="260"/>
        <v>1</v>
      </c>
      <c r="BZ82" s="1" t="str">
        <f t="shared" ca="1" si="261"/>
        <v/>
      </c>
      <c r="CA82" s="1" t="str">
        <f t="shared" ca="1" si="262"/>
        <v/>
      </c>
      <c r="CB82" s="1" t="str">
        <f t="shared" ca="1" si="263"/>
        <v/>
      </c>
      <c r="CC82" s="1" t="str">
        <f t="shared" ca="1" si="264"/>
        <v/>
      </c>
      <c r="CG82" s="1" t="e">
        <f>MATCH(CONCATENATE($B82,"_",INDEX($C$4:$C77,CG$65)),lu_DataCode,0)</f>
        <v>#N/A</v>
      </c>
      <c r="CH82" s="1" t="e">
        <f t="shared" ca="1" si="195"/>
        <v>#N/A</v>
      </c>
      <c r="CI82" s="1" t="e">
        <f t="shared" ca="1" si="196"/>
        <v>#N/A</v>
      </c>
      <c r="CJ82" s="1">
        <f t="shared" ca="1" si="197"/>
        <v>0</v>
      </c>
      <c r="CK82" s="1">
        <f t="shared" ca="1" si="265"/>
        <v>-10000000000</v>
      </c>
      <c r="CL82" s="1">
        <f ca="1">RANK(CK82,CK$68:CK$93,CK$65)+COUNTIF(CK$68:CK82,CK82)-1</f>
        <v>15</v>
      </c>
      <c r="CM82" s="1">
        <f t="shared" ca="1" si="266"/>
        <v>15</v>
      </c>
      <c r="CN82" s="1">
        <f t="shared" ca="1" si="267"/>
        <v>0</v>
      </c>
      <c r="CO82" s="1">
        <f t="shared" ca="1" si="268"/>
        <v>1</v>
      </c>
      <c r="CP82" s="1" t="str">
        <f t="shared" ca="1" si="269"/>
        <v/>
      </c>
      <c r="CQ82" s="1" t="str">
        <f t="shared" ca="1" si="270"/>
        <v/>
      </c>
      <c r="CR82" s="1" t="str">
        <f t="shared" ca="1" si="271"/>
        <v/>
      </c>
      <c r="CS82" s="1" t="str">
        <f t="shared" ca="1" si="272"/>
        <v/>
      </c>
      <c r="CW82" s="1" t="e">
        <f>MATCH(CONCATENATE($B82,"_",INDEX($C$4:$C77,CW$65)),lu_DataCode,0)</f>
        <v>#N/A</v>
      </c>
      <c r="CX82" s="1" t="e">
        <f t="shared" ca="1" si="198"/>
        <v>#N/A</v>
      </c>
      <c r="CY82" s="1" t="e">
        <f t="shared" ca="1" si="199"/>
        <v>#N/A</v>
      </c>
      <c r="CZ82" s="1">
        <f t="shared" ca="1" si="200"/>
        <v>0</v>
      </c>
      <c r="DA82" s="1">
        <f t="shared" ca="1" si="273"/>
        <v>-10000000000</v>
      </c>
      <c r="DB82" s="1">
        <f ca="1">RANK(DA82,DA$68:DA$93,DA$65)+COUNTIF(DA$68:DA82,DA82)-1</f>
        <v>15</v>
      </c>
      <c r="DC82" s="1">
        <f t="shared" ca="1" si="274"/>
        <v>15</v>
      </c>
      <c r="DD82" s="1">
        <f t="shared" ca="1" si="275"/>
        <v>0</v>
      </c>
      <c r="DE82" s="1">
        <f t="shared" ca="1" si="276"/>
        <v>1</v>
      </c>
      <c r="DF82" s="1" t="str">
        <f t="shared" ca="1" si="277"/>
        <v/>
      </c>
      <c r="DG82" s="1" t="str">
        <f t="shared" ca="1" si="278"/>
        <v/>
      </c>
      <c r="DH82" s="1" t="str">
        <f t="shared" ca="1" si="279"/>
        <v/>
      </c>
      <c r="DI82" s="1" t="str">
        <f t="shared" ca="1" si="280"/>
        <v/>
      </c>
      <c r="DM82" s="1" t="e">
        <f>MATCH(CONCATENATE($B82,"_",INDEX($C$4:$C77,DM$65)),lu_DataCode,0)</f>
        <v>#N/A</v>
      </c>
      <c r="DN82" s="1" t="e">
        <f t="shared" ca="1" si="201"/>
        <v>#N/A</v>
      </c>
      <c r="DO82" s="1" t="e">
        <f t="shared" ca="1" si="202"/>
        <v>#N/A</v>
      </c>
      <c r="DP82" s="1">
        <f t="shared" ca="1" si="203"/>
        <v>0</v>
      </c>
      <c r="DQ82" s="1">
        <f t="shared" ca="1" si="281"/>
        <v>-10000000000</v>
      </c>
      <c r="DR82" s="1">
        <f ca="1">RANK(DQ82,DQ$68:DQ$93,DQ$65)+COUNTIF(DQ$68:DQ82,DQ82)-1</f>
        <v>15</v>
      </c>
      <c r="DS82" s="1">
        <f t="shared" ca="1" si="282"/>
        <v>15</v>
      </c>
      <c r="DT82" s="1">
        <f t="shared" ca="1" si="283"/>
        <v>0</v>
      </c>
      <c r="DU82" s="1">
        <f t="shared" ca="1" si="284"/>
        <v>1</v>
      </c>
      <c r="DV82" s="1" t="str">
        <f t="shared" ca="1" si="285"/>
        <v/>
      </c>
      <c r="DW82" s="1" t="str">
        <f t="shared" ca="1" si="286"/>
        <v/>
      </c>
      <c r="DX82" s="1" t="str">
        <f t="shared" ca="1" si="287"/>
        <v/>
      </c>
      <c r="DY82" s="1" t="str">
        <f t="shared" ca="1" si="288"/>
        <v/>
      </c>
      <c r="EC82" s="1" t="e">
        <f>MATCH(CONCATENATE($B82,"_",INDEX($C$4:$C77,EC$65)),lu_DataCode,0)</f>
        <v>#N/A</v>
      </c>
      <c r="ED82" s="1" t="e">
        <f t="shared" ca="1" si="204"/>
        <v>#N/A</v>
      </c>
      <c r="EE82" s="1" t="e">
        <f t="shared" ca="1" si="205"/>
        <v>#N/A</v>
      </c>
      <c r="EF82" s="1">
        <f t="shared" ca="1" si="206"/>
        <v>0</v>
      </c>
      <c r="EG82" s="1">
        <f t="shared" ca="1" si="289"/>
        <v>-10000000000</v>
      </c>
      <c r="EH82" s="1">
        <f ca="1">RANK(EG82,EG$68:EG$93,EG$65)+COUNTIF(EG$68:EG82,EG82)-1</f>
        <v>15</v>
      </c>
      <c r="EI82" s="1">
        <f t="shared" ca="1" si="290"/>
        <v>15</v>
      </c>
      <c r="EJ82" s="1">
        <f t="shared" ca="1" si="291"/>
        <v>0</v>
      </c>
      <c r="EK82" s="1">
        <f t="shared" ca="1" si="292"/>
        <v>1</v>
      </c>
      <c r="EL82" s="1" t="str">
        <f t="shared" ca="1" si="293"/>
        <v/>
      </c>
      <c r="EM82" s="1" t="str">
        <f t="shared" ca="1" si="294"/>
        <v/>
      </c>
      <c r="EN82" s="1" t="str">
        <f t="shared" ca="1" si="295"/>
        <v/>
      </c>
      <c r="EO82" s="1" t="str">
        <f t="shared" ca="1" si="296"/>
        <v/>
      </c>
      <c r="ES82" s="1" t="e">
        <f>MATCH(CONCATENATE($B82,"_",INDEX($C$4:$C77,ES$65)),lu_DataCode,0)</f>
        <v>#N/A</v>
      </c>
      <c r="ET82" s="1" t="e">
        <f t="shared" ca="1" si="207"/>
        <v>#N/A</v>
      </c>
      <c r="EU82" s="1" t="e">
        <f t="shared" ca="1" si="208"/>
        <v>#N/A</v>
      </c>
      <c r="EV82" s="1">
        <f t="shared" ca="1" si="209"/>
        <v>0</v>
      </c>
      <c r="EW82" s="1">
        <f t="shared" ca="1" si="297"/>
        <v>-10000000000</v>
      </c>
      <c r="EX82" s="1">
        <f ca="1">RANK(EW82,EW$68:EW$93,EW$65)+COUNTIF(EW$68:EW82,EW82)-1</f>
        <v>15</v>
      </c>
      <c r="EY82" s="1">
        <f t="shared" ca="1" si="298"/>
        <v>15</v>
      </c>
      <c r="EZ82" s="1">
        <f t="shared" ca="1" si="299"/>
        <v>0</v>
      </c>
      <c r="FA82" s="1">
        <f t="shared" ca="1" si="300"/>
        <v>1</v>
      </c>
      <c r="FB82" s="1" t="str">
        <f t="shared" ca="1" si="301"/>
        <v/>
      </c>
      <c r="FC82" s="1" t="str">
        <f t="shared" ca="1" si="302"/>
        <v/>
      </c>
      <c r="FD82" s="1" t="str">
        <f t="shared" ca="1" si="303"/>
        <v/>
      </c>
      <c r="FE82" s="1" t="str">
        <f t="shared" ca="1" si="304"/>
        <v/>
      </c>
      <c r="FI82" s="1" t="e">
        <f>MATCH(CONCATENATE($B82,"_",INDEX($C$4:$C77,FI$65)),lu_DataCode,0)</f>
        <v>#N/A</v>
      </c>
      <c r="FJ82" s="1" t="e">
        <f t="shared" ca="1" si="210"/>
        <v>#N/A</v>
      </c>
      <c r="FK82" s="1" t="e">
        <f t="shared" ca="1" si="211"/>
        <v>#N/A</v>
      </c>
      <c r="FL82" s="1">
        <f t="shared" ca="1" si="212"/>
        <v>0</v>
      </c>
      <c r="FM82" s="1">
        <f t="shared" ca="1" si="305"/>
        <v>-10000000000</v>
      </c>
      <c r="FN82" s="1">
        <f ca="1">RANK(FM82,FM$68:FM$93,FM$65)+COUNTIF(FM$68:FM82,FM82)-1</f>
        <v>15</v>
      </c>
      <c r="FO82" s="1">
        <f t="shared" ca="1" si="306"/>
        <v>15</v>
      </c>
      <c r="FP82" s="1">
        <f t="shared" ca="1" si="307"/>
        <v>0</v>
      </c>
      <c r="FQ82" s="1">
        <f t="shared" ca="1" si="308"/>
        <v>1</v>
      </c>
      <c r="FR82" s="1" t="str">
        <f t="shared" ca="1" si="309"/>
        <v/>
      </c>
      <c r="FS82" s="1" t="str">
        <f t="shared" ca="1" si="310"/>
        <v/>
      </c>
      <c r="FT82" s="1" t="str">
        <f t="shared" ca="1" si="311"/>
        <v/>
      </c>
      <c r="FU82" s="1" t="str">
        <f t="shared" ca="1" si="312"/>
        <v/>
      </c>
      <c r="FY82" s="1" t="e">
        <f>MATCH(CONCATENATE($B82,"_",INDEX($C$4:$C77,FY$65)),lu_DataCode,0)</f>
        <v>#N/A</v>
      </c>
      <c r="FZ82" s="1" t="e">
        <f t="shared" ca="1" si="213"/>
        <v>#N/A</v>
      </c>
      <c r="GA82" s="1" t="e">
        <f t="shared" ca="1" si="214"/>
        <v>#N/A</v>
      </c>
      <c r="GB82" s="1">
        <f t="shared" ca="1" si="215"/>
        <v>0</v>
      </c>
      <c r="GC82" s="1">
        <f t="shared" ca="1" si="313"/>
        <v>-10000000000</v>
      </c>
      <c r="GD82" s="1">
        <f ca="1">RANK(GC82,GC$68:GC$93,GC$65)+COUNTIF(GC$68:GC82,GC82)-1</f>
        <v>15</v>
      </c>
      <c r="GE82" s="1">
        <f t="shared" ca="1" si="314"/>
        <v>15</v>
      </c>
      <c r="GF82" s="1">
        <f t="shared" ca="1" si="315"/>
        <v>0</v>
      </c>
      <c r="GG82" s="1">
        <f t="shared" ca="1" si="316"/>
        <v>1</v>
      </c>
      <c r="GH82" s="1" t="str">
        <f t="shared" ca="1" si="317"/>
        <v/>
      </c>
      <c r="GI82" s="1" t="str">
        <f t="shared" ca="1" si="318"/>
        <v/>
      </c>
      <c r="GJ82" s="1" t="str">
        <f t="shared" ca="1" si="319"/>
        <v/>
      </c>
      <c r="GK82" s="1" t="str">
        <f t="shared" ca="1" si="320"/>
        <v/>
      </c>
      <c r="GO82" s="1" t="e">
        <f>MATCH(CONCATENATE($B82,"_",INDEX($C$4:$C77,GO$65)),lu_DataCode,0)</f>
        <v>#N/A</v>
      </c>
      <c r="GP82" s="1" t="e">
        <f t="shared" ca="1" si="216"/>
        <v>#N/A</v>
      </c>
      <c r="GQ82" s="1" t="e">
        <f t="shared" ca="1" si="217"/>
        <v>#N/A</v>
      </c>
      <c r="GR82" s="1">
        <f t="shared" ca="1" si="218"/>
        <v>0</v>
      </c>
      <c r="GS82" s="1">
        <f t="shared" ca="1" si="321"/>
        <v>-10000000000</v>
      </c>
      <c r="GT82" s="1">
        <f ca="1">RANK(GS82,GS$68:GS$93,GS$65)+COUNTIF(GS$68:GS82,GS82)-1</f>
        <v>15</v>
      </c>
      <c r="GU82" s="1">
        <f t="shared" ca="1" si="322"/>
        <v>15</v>
      </c>
      <c r="GV82" s="1">
        <f t="shared" ca="1" si="323"/>
        <v>0</v>
      </c>
      <c r="GW82" s="1">
        <f t="shared" ca="1" si="324"/>
        <v>1</v>
      </c>
      <c r="GX82" s="1" t="str">
        <f t="shared" ca="1" si="325"/>
        <v/>
      </c>
      <c r="GY82" s="1" t="str">
        <f t="shared" ca="1" si="326"/>
        <v/>
      </c>
      <c r="GZ82" s="1" t="str">
        <f t="shared" ca="1" si="327"/>
        <v/>
      </c>
      <c r="HA82" s="1" t="str">
        <f t="shared" ca="1" si="328"/>
        <v/>
      </c>
      <c r="HE82" s="1" t="e">
        <f>MATCH(CONCATENATE($B82,"_",INDEX($C$4:$C77,HE$65)),lu_DataCode,0)</f>
        <v>#N/A</v>
      </c>
      <c r="HF82" s="1" t="e">
        <f t="shared" ca="1" si="219"/>
        <v>#N/A</v>
      </c>
      <c r="HG82" s="1" t="e">
        <f t="shared" ca="1" si="220"/>
        <v>#N/A</v>
      </c>
      <c r="HH82" s="1">
        <f t="shared" ca="1" si="221"/>
        <v>0</v>
      </c>
      <c r="HI82" s="1">
        <f t="shared" ca="1" si="329"/>
        <v>-10000000000</v>
      </c>
      <c r="HJ82" s="1">
        <f ca="1">RANK(HI82,HI$68:HI$93,HI$65)+COUNTIF(HI$68:HI82,HI82)-1</f>
        <v>15</v>
      </c>
      <c r="HK82" s="1">
        <f t="shared" ca="1" si="330"/>
        <v>15</v>
      </c>
      <c r="HL82" s="1">
        <f t="shared" ca="1" si="331"/>
        <v>0</v>
      </c>
      <c r="HM82" s="1">
        <f t="shared" ca="1" si="332"/>
        <v>1</v>
      </c>
      <c r="HN82" s="1" t="str">
        <f t="shared" ca="1" si="333"/>
        <v/>
      </c>
      <c r="HO82" s="1" t="str">
        <f t="shared" ca="1" si="334"/>
        <v/>
      </c>
      <c r="HP82" s="1" t="str">
        <f t="shared" ca="1" si="335"/>
        <v/>
      </c>
      <c r="HQ82" s="1" t="str">
        <f t="shared" ca="1" si="336"/>
        <v/>
      </c>
      <c r="HU82" s="1" t="e">
        <f>MATCH(CONCATENATE($B82,"_",INDEX($C$4:$C77,HU$65)),lu_DataCode,0)</f>
        <v>#N/A</v>
      </c>
      <c r="HV82" s="1" t="e">
        <f t="shared" ca="1" si="222"/>
        <v>#N/A</v>
      </c>
      <c r="HW82" s="1" t="e">
        <f t="shared" ca="1" si="223"/>
        <v>#N/A</v>
      </c>
      <c r="HX82" s="1">
        <f t="shared" ca="1" si="224"/>
        <v>0</v>
      </c>
      <c r="HY82" s="1">
        <f t="shared" ca="1" si="337"/>
        <v>-10000000000</v>
      </c>
      <c r="HZ82" s="1">
        <f ca="1">RANK(HY82,HY$68:HY$93,HY$65)+COUNTIF(HY$68:HY82,HY82)-1</f>
        <v>15</v>
      </c>
      <c r="IA82" s="1">
        <f t="shared" ca="1" si="338"/>
        <v>15</v>
      </c>
      <c r="IB82" s="1">
        <f t="shared" ca="1" si="339"/>
        <v>0</v>
      </c>
      <c r="IC82" s="1">
        <f t="shared" ca="1" si="340"/>
        <v>1</v>
      </c>
      <c r="ID82" s="1" t="str">
        <f t="shared" ca="1" si="341"/>
        <v/>
      </c>
      <c r="IE82" s="1" t="str">
        <f t="shared" ca="1" si="342"/>
        <v/>
      </c>
      <c r="IF82" s="1" t="str">
        <f t="shared" ca="1" si="343"/>
        <v/>
      </c>
      <c r="IG82" s="1" t="str">
        <f t="shared" ca="1" si="344"/>
        <v/>
      </c>
    </row>
    <row r="83" spans="1:241" x14ac:dyDescent="0.2">
      <c r="A83" s="1">
        <f t="shared" ref="A83:D83" si="361">A52</f>
        <v>16</v>
      </c>
      <c r="B83" s="1" t="str">
        <f t="shared" si="361"/>
        <v>NAC_JM_1</v>
      </c>
      <c r="C83" s="1" t="str">
        <f t="shared" si="361"/>
        <v>Jamaica</v>
      </c>
      <c r="D83" s="1">
        <f t="shared" si="361"/>
        <v>1</v>
      </c>
      <c r="E83" s="1" t="e">
        <f>MATCH(CONCATENATE($B83,"_",INDEX($C$4:$C78,E$65)),lu_DataCode,0)</f>
        <v>#N/A</v>
      </c>
      <c r="F83" s="1" t="e">
        <f t="shared" ca="1" si="346"/>
        <v>#N/A</v>
      </c>
      <c r="G83" s="1" t="e">
        <f t="shared" ca="1" si="347"/>
        <v>#N/A</v>
      </c>
      <c r="H83" s="1">
        <f t="shared" ca="1" si="348"/>
        <v>0</v>
      </c>
      <c r="I83" s="1">
        <f t="shared" ca="1" si="225"/>
        <v>-10000000000</v>
      </c>
      <c r="J83" s="1">
        <f ca="1">RANK(I83,I$68:I$93,I$65)+COUNTIF(I$68:I83,I83)-1</f>
        <v>16</v>
      </c>
      <c r="K83" s="1">
        <f t="shared" ca="1" si="349"/>
        <v>16</v>
      </c>
      <c r="L83" s="1">
        <f t="shared" ca="1" si="350"/>
        <v>0</v>
      </c>
      <c r="M83" s="1">
        <f t="shared" ca="1" si="228"/>
        <v>1</v>
      </c>
      <c r="N83" s="1" t="str">
        <f t="shared" ca="1" si="229"/>
        <v/>
      </c>
      <c r="O83" s="1" t="str">
        <f t="shared" ca="1" si="230"/>
        <v/>
      </c>
      <c r="P83" s="1" t="str">
        <f t="shared" ca="1" si="351"/>
        <v/>
      </c>
      <c r="Q83" s="1" t="str">
        <f t="shared" ca="1" si="352"/>
        <v/>
      </c>
      <c r="U83" s="1" t="e">
        <f>MATCH(CONCATENATE($B83,"_",INDEX($C$4:$C78,U$65)),lu_DataCode,0)</f>
        <v>#N/A</v>
      </c>
      <c r="V83" s="1" t="e">
        <f t="shared" ca="1" si="353"/>
        <v>#N/A</v>
      </c>
      <c r="W83" s="1" t="e">
        <f t="shared" ca="1" si="354"/>
        <v>#N/A</v>
      </c>
      <c r="X83" s="1">
        <f t="shared" ca="1" si="355"/>
        <v>0</v>
      </c>
      <c r="Y83" s="1">
        <f t="shared" ca="1" si="233"/>
        <v>-10000000000</v>
      </c>
      <c r="Z83" s="1">
        <f ca="1">RANK(Y83,Y$68:Y$93,Y$65)+COUNTIF(Y$68:Y83,Y83)-1</f>
        <v>16</v>
      </c>
      <c r="AA83" s="1">
        <f t="shared" ca="1" si="234"/>
        <v>16</v>
      </c>
      <c r="AB83" s="1">
        <f t="shared" ca="1" si="235"/>
        <v>0</v>
      </c>
      <c r="AC83" s="1">
        <f t="shared" ca="1" si="236"/>
        <v>1</v>
      </c>
      <c r="AD83" s="1" t="str">
        <f t="shared" ca="1" si="237"/>
        <v/>
      </c>
      <c r="AE83" s="1" t="str">
        <f t="shared" ca="1" si="238"/>
        <v/>
      </c>
      <c r="AF83" s="1" t="str">
        <f t="shared" ca="1" si="239"/>
        <v/>
      </c>
      <c r="AG83" s="1" t="str">
        <f t="shared" ca="1" si="240"/>
        <v/>
      </c>
      <c r="AK83" s="1" t="e">
        <f>MATCH(CONCATENATE($B83,"_",INDEX($C$4:$C78,AK$65)),lu_DataCode,0)</f>
        <v>#N/A</v>
      </c>
      <c r="AL83" s="1" t="e">
        <f t="shared" ca="1" si="186"/>
        <v>#N/A</v>
      </c>
      <c r="AM83" s="1" t="e">
        <f t="shared" ca="1" si="187"/>
        <v>#N/A</v>
      </c>
      <c r="AN83" s="1">
        <f t="shared" ca="1" si="188"/>
        <v>0</v>
      </c>
      <c r="AO83" s="1">
        <f t="shared" ca="1" si="241"/>
        <v>-10000000000</v>
      </c>
      <c r="AP83" s="1">
        <f ca="1">RANK(AO83,AO$68:AO$93,AO$65)+COUNTIF(AO$68:AO83,AO83)-1</f>
        <v>16</v>
      </c>
      <c r="AQ83" s="1">
        <f t="shared" ca="1" si="242"/>
        <v>16</v>
      </c>
      <c r="AR83" s="1">
        <f t="shared" ca="1" si="243"/>
        <v>0</v>
      </c>
      <c r="AS83" s="1">
        <f t="shared" ca="1" si="244"/>
        <v>1</v>
      </c>
      <c r="AT83" s="1" t="str">
        <f t="shared" ca="1" si="245"/>
        <v/>
      </c>
      <c r="AU83" s="1" t="str">
        <f t="shared" ca="1" si="246"/>
        <v/>
      </c>
      <c r="AV83" s="1" t="str">
        <f t="shared" ca="1" si="247"/>
        <v/>
      </c>
      <c r="AW83" s="1" t="str">
        <f t="shared" ca="1" si="248"/>
        <v/>
      </c>
      <c r="BA83" s="1" t="e">
        <f>MATCH(CONCATENATE($B83,"_",INDEX($C$4:$C78,BA$65)),lu_DataCode,0)</f>
        <v>#N/A</v>
      </c>
      <c r="BB83" s="1" t="e">
        <f t="shared" ca="1" si="189"/>
        <v>#N/A</v>
      </c>
      <c r="BC83" s="1" t="e">
        <f t="shared" ca="1" si="190"/>
        <v>#N/A</v>
      </c>
      <c r="BD83" s="1">
        <f t="shared" ca="1" si="191"/>
        <v>0</v>
      </c>
      <c r="BE83" s="1">
        <f t="shared" ca="1" si="249"/>
        <v>-10000000000</v>
      </c>
      <c r="BF83" s="1">
        <f ca="1">RANK(BE83,BE$68:BE$93,BE$65)+COUNTIF(BE$68:BE83,BE83)-1</f>
        <v>16</v>
      </c>
      <c r="BG83" s="1">
        <f t="shared" ca="1" si="250"/>
        <v>16</v>
      </c>
      <c r="BH83" s="1">
        <f t="shared" ca="1" si="251"/>
        <v>0</v>
      </c>
      <c r="BI83" s="1">
        <f t="shared" ca="1" si="252"/>
        <v>1</v>
      </c>
      <c r="BJ83" s="1" t="str">
        <f t="shared" ca="1" si="253"/>
        <v/>
      </c>
      <c r="BK83" s="1" t="str">
        <f t="shared" ca="1" si="254"/>
        <v/>
      </c>
      <c r="BL83" s="1" t="str">
        <f t="shared" ca="1" si="255"/>
        <v/>
      </c>
      <c r="BM83" s="1" t="str">
        <f t="shared" ca="1" si="256"/>
        <v/>
      </c>
      <c r="BQ83" s="1" t="e">
        <f>MATCH(CONCATENATE($B83,"_",INDEX($C$4:$C78,BQ$65)),lu_DataCode,0)</f>
        <v>#N/A</v>
      </c>
      <c r="BR83" s="1" t="e">
        <f t="shared" ca="1" si="192"/>
        <v>#N/A</v>
      </c>
      <c r="BS83" s="1" t="e">
        <f t="shared" ca="1" si="193"/>
        <v>#N/A</v>
      </c>
      <c r="BT83" s="1">
        <f t="shared" ca="1" si="194"/>
        <v>0</v>
      </c>
      <c r="BU83" s="1">
        <f t="shared" ca="1" si="257"/>
        <v>-10000000000</v>
      </c>
      <c r="BV83" s="1">
        <f ca="1">RANK(BU83,BU$68:BU$93,BU$65)+COUNTIF(BU$68:BU83,BU83)-1</f>
        <v>16</v>
      </c>
      <c r="BW83" s="1">
        <f t="shared" ca="1" si="258"/>
        <v>16</v>
      </c>
      <c r="BX83" s="1">
        <f t="shared" ca="1" si="259"/>
        <v>0</v>
      </c>
      <c r="BY83" s="1">
        <f t="shared" ca="1" si="260"/>
        <v>1</v>
      </c>
      <c r="BZ83" s="1" t="str">
        <f t="shared" ca="1" si="261"/>
        <v/>
      </c>
      <c r="CA83" s="1" t="str">
        <f t="shared" ca="1" si="262"/>
        <v/>
      </c>
      <c r="CB83" s="1" t="str">
        <f t="shared" ca="1" si="263"/>
        <v/>
      </c>
      <c r="CC83" s="1" t="str">
        <f t="shared" ca="1" si="264"/>
        <v/>
      </c>
      <c r="CG83" s="1" t="e">
        <f>MATCH(CONCATENATE($B83,"_",INDEX($C$4:$C78,CG$65)),lu_DataCode,0)</f>
        <v>#N/A</v>
      </c>
      <c r="CH83" s="1" t="e">
        <f t="shared" ca="1" si="195"/>
        <v>#N/A</v>
      </c>
      <c r="CI83" s="1" t="e">
        <f t="shared" ca="1" si="196"/>
        <v>#N/A</v>
      </c>
      <c r="CJ83" s="1">
        <f t="shared" ca="1" si="197"/>
        <v>0</v>
      </c>
      <c r="CK83" s="1">
        <f t="shared" ca="1" si="265"/>
        <v>-10000000000</v>
      </c>
      <c r="CL83" s="1">
        <f ca="1">RANK(CK83,CK$68:CK$93,CK$65)+COUNTIF(CK$68:CK83,CK83)-1</f>
        <v>16</v>
      </c>
      <c r="CM83" s="1">
        <f t="shared" ca="1" si="266"/>
        <v>16</v>
      </c>
      <c r="CN83" s="1">
        <f t="shared" ca="1" si="267"/>
        <v>0</v>
      </c>
      <c r="CO83" s="1">
        <f t="shared" ca="1" si="268"/>
        <v>1</v>
      </c>
      <c r="CP83" s="1" t="str">
        <f t="shared" ca="1" si="269"/>
        <v/>
      </c>
      <c r="CQ83" s="1" t="str">
        <f t="shared" ca="1" si="270"/>
        <v/>
      </c>
      <c r="CR83" s="1" t="str">
        <f t="shared" ca="1" si="271"/>
        <v/>
      </c>
      <c r="CS83" s="1" t="str">
        <f t="shared" ca="1" si="272"/>
        <v/>
      </c>
      <c r="CW83" s="1" t="e">
        <f>MATCH(CONCATENATE($B83,"_",INDEX($C$4:$C78,CW$65)),lu_DataCode,0)</f>
        <v>#N/A</v>
      </c>
      <c r="CX83" s="1" t="e">
        <f t="shared" ca="1" si="198"/>
        <v>#N/A</v>
      </c>
      <c r="CY83" s="1" t="e">
        <f t="shared" ca="1" si="199"/>
        <v>#N/A</v>
      </c>
      <c r="CZ83" s="1">
        <f t="shared" ca="1" si="200"/>
        <v>0</v>
      </c>
      <c r="DA83" s="1">
        <f t="shared" ca="1" si="273"/>
        <v>-10000000000</v>
      </c>
      <c r="DB83" s="1">
        <f ca="1">RANK(DA83,DA$68:DA$93,DA$65)+COUNTIF(DA$68:DA83,DA83)-1</f>
        <v>16</v>
      </c>
      <c r="DC83" s="1">
        <f t="shared" ca="1" si="274"/>
        <v>16</v>
      </c>
      <c r="DD83" s="1">
        <f t="shared" ca="1" si="275"/>
        <v>0</v>
      </c>
      <c r="DE83" s="1">
        <f t="shared" ca="1" si="276"/>
        <v>1</v>
      </c>
      <c r="DF83" s="1" t="str">
        <f t="shared" ca="1" si="277"/>
        <v/>
      </c>
      <c r="DG83" s="1" t="str">
        <f t="shared" ca="1" si="278"/>
        <v/>
      </c>
      <c r="DH83" s="1" t="str">
        <f t="shared" ca="1" si="279"/>
        <v/>
      </c>
      <c r="DI83" s="1" t="str">
        <f t="shared" ca="1" si="280"/>
        <v/>
      </c>
      <c r="DM83" s="1" t="e">
        <f>MATCH(CONCATENATE($B83,"_",INDEX($C$4:$C78,DM$65)),lu_DataCode,0)</f>
        <v>#N/A</v>
      </c>
      <c r="DN83" s="1" t="e">
        <f t="shared" ca="1" si="201"/>
        <v>#N/A</v>
      </c>
      <c r="DO83" s="1" t="e">
        <f t="shared" ca="1" si="202"/>
        <v>#N/A</v>
      </c>
      <c r="DP83" s="1">
        <f t="shared" ca="1" si="203"/>
        <v>0</v>
      </c>
      <c r="DQ83" s="1">
        <f t="shared" ca="1" si="281"/>
        <v>-10000000000</v>
      </c>
      <c r="DR83" s="1">
        <f ca="1">RANK(DQ83,DQ$68:DQ$93,DQ$65)+COUNTIF(DQ$68:DQ83,DQ83)-1</f>
        <v>16</v>
      </c>
      <c r="DS83" s="1">
        <f t="shared" ca="1" si="282"/>
        <v>16</v>
      </c>
      <c r="DT83" s="1">
        <f t="shared" ca="1" si="283"/>
        <v>0</v>
      </c>
      <c r="DU83" s="1">
        <f t="shared" ca="1" si="284"/>
        <v>1</v>
      </c>
      <c r="DV83" s="1" t="str">
        <f t="shared" ca="1" si="285"/>
        <v/>
      </c>
      <c r="DW83" s="1" t="str">
        <f t="shared" ca="1" si="286"/>
        <v/>
      </c>
      <c r="DX83" s="1" t="str">
        <f t="shared" ca="1" si="287"/>
        <v/>
      </c>
      <c r="DY83" s="1" t="str">
        <f t="shared" ca="1" si="288"/>
        <v/>
      </c>
      <c r="EC83" s="1" t="e">
        <f>MATCH(CONCATENATE($B83,"_",INDEX($C$4:$C78,EC$65)),lu_DataCode,0)</f>
        <v>#N/A</v>
      </c>
      <c r="ED83" s="1" t="e">
        <f t="shared" ca="1" si="204"/>
        <v>#N/A</v>
      </c>
      <c r="EE83" s="1" t="e">
        <f t="shared" ca="1" si="205"/>
        <v>#N/A</v>
      </c>
      <c r="EF83" s="1">
        <f t="shared" ca="1" si="206"/>
        <v>0</v>
      </c>
      <c r="EG83" s="1">
        <f t="shared" ca="1" si="289"/>
        <v>-10000000000</v>
      </c>
      <c r="EH83" s="1">
        <f ca="1">RANK(EG83,EG$68:EG$93,EG$65)+COUNTIF(EG$68:EG83,EG83)-1</f>
        <v>16</v>
      </c>
      <c r="EI83" s="1">
        <f t="shared" ca="1" si="290"/>
        <v>16</v>
      </c>
      <c r="EJ83" s="1">
        <f t="shared" ca="1" si="291"/>
        <v>0</v>
      </c>
      <c r="EK83" s="1">
        <f t="shared" ca="1" si="292"/>
        <v>1</v>
      </c>
      <c r="EL83" s="1" t="str">
        <f t="shared" ca="1" si="293"/>
        <v/>
      </c>
      <c r="EM83" s="1" t="str">
        <f t="shared" ca="1" si="294"/>
        <v/>
      </c>
      <c r="EN83" s="1" t="str">
        <f t="shared" ca="1" si="295"/>
        <v/>
      </c>
      <c r="EO83" s="1" t="str">
        <f t="shared" ca="1" si="296"/>
        <v/>
      </c>
      <c r="ES83" s="1" t="e">
        <f>MATCH(CONCATENATE($B83,"_",INDEX($C$4:$C78,ES$65)),lu_DataCode,0)</f>
        <v>#N/A</v>
      </c>
      <c r="ET83" s="1" t="e">
        <f t="shared" ca="1" si="207"/>
        <v>#N/A</v>
      </c>
      <c r="EU83" s="1" t="e">
        <f t="shared" ca="1" si="208"/>
        <v>#N/A</v>
      </c>
      <c r="EV83" s="1">
        <f t="shared" ca="1" si="209"/>
        <v>0</v>
      </c>
      <c r="EW83" s="1">
        <f t="shared" ca="1" si="297"/>
        <v>-10000000000</v>
      </c>
      <c r="EX83" s="1">
        <f ca="1">RANK(EW83,EW$68:EW$93,EW$65)+COUNTIF(EW$68:EW83,EW83)-1</f>
        <v>16</v>
      </c>
      <c r="EY83" s="1">
        <f t="shared" ca="1" si="298"/>
        <v>16</v>
      </c>
      <c r="EZ83" s="1">
        <f t="shared" ca="1" si="299"/>
        <v>0</v>
      </c>
      <c r="FA83" s="1">
        <f t="shared" ca="1" si="300"/>
        <v>1</v>
      </c>
      <c r="FB83" s="1" t="str">
        <f t="shared" ca="1" si="301"/>
        <v/>
      </c>
      <c r="FC83" s="1" t="str">
        <f t="shared" ca="1" si="302"/>
        <v/>
      </c>
      <c r="FD83" s="1" t="str">
        <f t="shared" ca="1" si="303"/>
        <v/>
      </c>
      <c r="FE83" s="1" t="str">
        <f t="shared" ca="1" si="304"/>
        <v/>
      </c>
      <c r="FI83" s="1" t="e">
        <f>MATCH(CONCATENATE($B83,"_",INDEX($C$4:$C78,FI$65)),lu_DataCode,0)</f>
        <v>#N/A</v>
      </c>
      <c r="FJ83" s="1" t="e">
        <f t="shared" ca="1" si="210"/>
        <v>#N/A</v>
      </c>
      <c r="FK83" s="1" t="e">
        <f t="shared" ca="1" si="211"/>
        <v>#N/A</v>
      </c>
      <c r="FL83" s="1">
        <f t="shared" ca="1" si="212"/>
        <v>0</v>
      </c>
      <c r="FM83" s="1">
        <f t="shared" ca="1" si="305"/>
        <v>-10000000000</v>
      </c>
      <c r="FN83" s="1">
        <f ca="1">RANK(FM83,FM$68:FM$93,FM$65)+COUNTIF(FM$68:FM83,FM83)-1</f>
        <v>16</v>
      </c>
      <c r="FO83" s="1">
        <f t="shared" ca="1" si="306"/>
        <v>16</v>
      </c>
      <c r="FP83" s="1">
        <f t="shared" ca="1" si="307"/>
        <v>0</v>
      </c>
      <c r="FQ83" s="1">
        <f t="shared" ca="1" si="308"/>
        <v>1</v>
      </c>
      <c r="FR83" s="1" t="str">
        <f t="shared" ca="1" si="309"/>
        <v/>
      </c>
      <c r="FS83" s="1" t="str">
        <f t="shared" ca="1" si="310"/>
        <v/>
      </c>
      <c r="FT83" s="1" t="str">
        <f t="shared" ca="1" si="311"/>
        <v/>
      </c>
      <c r="FU83" s="1" t="str">
        <f t="shared" ca="1" si="312"/>
        <v/>
      </c>
      <c r="FY83" s="1" t="e">
        <f>MATCH(CONCATENATE($B83,"_",INDEX($C$4:$C78,FY$65)),lu_DataCode,0)</f>
        <v>#N/A</v>
      </c>
      <c r="FZ83" s="1" t="e">
        <f t="shared" ca="1" si="213"/>
        <v>#N/A</v>
      </c>
      <c r="GA83" s="1" t="e">
        <f t="shared" ca="1" si="214"/>
        <v>#N/A</v>
      </c>
      <c r="GB83" s="1">
        <f t="shared" ca="1" si="215"/>
        <v>0</v>
      </c>
      <c r="GC83" s="1">
        <f t="shared" ca="1" si="313"/>
        <v>-10000000000</v>
      </c>
      <c r="GD83" s="1">
        <f ca="1">RANK(GC83,GC$68:GC$93,GC$65)+COUNTIF(GC$68:GC83,GC83)-1</f>
        <v>16</v>
      </c>
      <c r="GE83" s="1">
        <f t="shared" ca="1" si="314"/>
        <v>16</v>
      </c>
      <c r="GF83" s="1">
        <f t="shared" ca="1" si="315"/>
        <v>0</v>
      </c>
      <c r="GG83" s="1">
        <f t="shared" ca="1" si="316"/>
        <v>1</v>
      </c>
      <c r="GH83" s="1" t="str">
        <f t="shared" ca="1" si="317"/>
        <v/>
      </c>
      <c r="GI83" s="1" t="str">
        <f t="shared" ca="1" si="318"/>
        <v/>
      </c>
      <c r="GJ83" s="1" t="str">
        <f t="shared" ca="1" si="319"/>
        <v/>
      </c>
      <c r="GK83" s="1" t="str">
        <f t="shared" ca="1" si="320"/>
        <v/>
      </c>
      <c r="GO83" s="1" t="e">
        <f>MATCH(CONCATENATE($B83,"_",INDEX($C$4:$C78,GO$65)),lu_DataCode,0)</f>
        <v>#N/A</v>
      </c>
      <c r="GP83" s="1" t="e">
        <f t="shared" ca="1" si="216"/>
        <v>#N/A</v>
      </c>
      <c r="GQ83" s="1" t="e">
        <f t="shared" ca="1" si="217"/>
        <v>#N/A</v>
      </c>
      <c r="GR83" s="1">
        <f t="shared" ca="1" si="218"/>
        <v>0</v>
      </c>
      <c r="GS83" s="1">
        <f t="shared" ca="1" si="321"/>
        <v>-10000000000</v>
      </c>
      <c r="GT83" s="1">
        <f ca="1">RANK(GS83,GS$68:GS$93,GS$65)+COUNTIF(GS$68:GS83,GS83)-1</f>
        <v>16</v>
      </c>
      <c r="GU83" s="1">
        <f t="shared" ca="1" si="322"/>
        <v>16</v>
      </c>
      <c r="GV83" s="1">
        <f t="shared" ca="1" si="323"/>
        <v>0</v>
      </c>
      <c r="GW83" s="1">
        <f t="shared" ca="1" si="324"/>
        <v>1</v>
      </c>
      <c r="GX83" s="1" t="str">
        <f t="shared" ca="1" si="325"/>
        <v/>
      </c>
      <c r="GY83" s="1" t="str">
        <f t="shared" ca="1" si="326"/>
        <v/>
      </c>
      <c r="GZ83" s="1" t="str">
        <f t="shared" ca="1" si="327"/>
        <v/>
      </c>
      <c r="HA83" s="1" t="str">
        <f t="shared" ca="1" si="328"/>
        <v/>
      </c>
      <c r="HE83" s="1" t="e">
        <f>MATCH(CONCATENATE($B83,"_",INDEX($C$4:$C78,HE$65)),lu_DataCode,0)</f>
        <v>#N/A</v>
      </c>
      <c r="HF83" s="1" t="e">
        <f t="shared" ca="1" si="219"/>
        <v>#N/A</v>
      </c>
      <c r="HG83" s="1" t="e">
        <f t="shared" ca="1" si="220"/>
        <v>#N/A</v>
      </c>
      <c r="HH83" s="1">
        <f t="shared" ca="1" si="221"/>
        <v>0</v>
      </c>
      <c r="HI83" s="1">
        <f t="shared" ca="1" si="329"/>
        <v>-10000000000</v>
      </c>
      <c r="HJ83" s="1">
        <f ca="1">RANK(HI83,HI$68:HI$93,HI$65)+COUNTIF(HI$68:HI83,HI83)-1</f>
        <v>16</v>
      </c>
      <c r="HK83" s="1">
        <f t="shared" ca="1" si="330"/>
        <v>16</v>
      </c>
      <c r="HL83" s="1">
        <f t="shared" ca="1" si="331"/>
        <v>0</v>
      </c>
      <c r="HM83" s="1">
        <f t="shared" ca="1" si="332"/>
        <v>1</v>
      </c>
      <c r="HN83" s="1" t="str">
        <f t="shared" ca="1" si="333"/>
        <v/>
      </c>
      <c r="HO83" s="1" t="str">
        <f t="shared" ca="1" si="334"/>
        <v/>
      </c>
      <c r="HP83" s="1" t="str">
        <f t="shared" ca="1" si="335"/>
        <v/>
      </c>
      <c r="HQ83" s="1" t="str">
        <f t="shared" ca="1" si="336"/>
        <v/>
      </c>
      <c r="HU83" s="1" t="e">
        <f>MATCH(CONCATENATE($B83,"_",INDEX($C$4:$C78,HU$65)),lu_DataCode,0)</f>
        <v>#N/A</v>
      </c>
      <c r="HV83" s="1" t="e">
        <f t="shared" ca="1" si="222"/>
        <v>#N/A</v>
      </c>
      <c r="HW83" s="1" t="e">
        <f t="shared" ca="1" si="223"/>
        <v>#N/A</v>
      </c>
      <c r="HX83" s="1">
        <f t="shared" ca="1" si="224"/>
        <v>0</v>
      </c>
      <c r="HY83" s="1">
        <f t="shared" ca="1" si="337"/>
        <v>-10000000000</v>
      </c>
      <c r="HZ83" s="1">
        <f ca="1">RANK(HY83,HY$68:HY$93,HY$65)+COUNTIF(HY$68:HY83,HY83)-1</f>
        <v>16</v>
      </c>
      <c r="IA83" s="1">
        <f t="shared" ca="1" si="338"/>
        <v>16</v>
      </c>
      <c r="IB83" s="1">
        <f t="shared" ca="1" si="339"/>
        <v>0</v>
      </c>
      <c r="IC83" s="1">
        <f t="shared" ca="1" si="340"/>
        <v>1</v>
      </c>
      <c r="ID83" s="1" t="str">
        <f t="shared" ca="1" si="341"/>
        <v/>
      </c>
      <c r="IE83" s="1" t="str">
        <f t="shared" ca="1" si="342"/>
        <v/>
      </c>
      <c r="IF83" s="1" t="str">
        <f t="shared" ca="1" si="343"/>
        <v/>
      </c>
      <c r="IG83" s="1" t="str">
        <f t="shared" ca="1" si="344"/>
        <v/>
      </c>
    </row>
    <row r="84" spans="1:241" x14ac:dyDescent="0.2">
      <c r="A84" s="1">
        <f t="shared" ref="A84:D84" si="362">A53</f>
        <v>17</v>
      </c>
      <c r="B84" s="1" t="str">
        <f t="shared" si="362"/>
        <v>NAC_MX_1</v>
      </c>
      <c r="C84" s="1" t="str">
        <f t="shared" si="362"/>
        <v>México</v>
      </c>
      <c r="D84" s="1">
        <f t="shared" si="362"/>
        <v>1</v>
      </c>
      <c r="E84" s="1" t="e">
        <f>MATCH(CONCATENATE($B84,"_",INDEX($C$4:$C79,E$65)),lu_DataCode,0)</f>
        <v>#N/A</v>
      </c>
      <c r="F84" s="1" t="e">
        <f t="shared" ca="1" si="346"/>
        <v>#N/A</v>
      </c>
      <c r="G84" s="1" t="e">
        <f t="shared" ca="1" si="347"/>
        <v>#N/A</v>
      </c>
      <c r="H84" s="1">
        <f t="shared" ca="1" si="348"/>
        <v>0</v>
      </c>
      <c r="I84" s="1">
        <f t="shared" ca="1" si="225"/>
        <v>-10000000000</v>
      </c>
      <c r="J84" s="1">
        <f ca="1">RANK(I84,I$68:I$93,I$65)+COUNTIF(I$68:I84,I84)-1</f>
        <v>17</v>
      </c>
      <c r="K84" s="1">
        <f t="shared" ca="1" si="349"/>
        <v>17</v>
      </c>
      <c r="L84" s="1">
        <f t="shared" ca="1" si="350"/>
        <v>0</v>
      </c>
      <c r="M84" s="1">
        <f t="shared" ca="1" si="228"/>
        <v>1</v>
      </c>
      <c r="N84" s="1" t="str">
        <f t="shared" ca="1" si="229"/>
        <v/>
      </c>
      <c r="O84" s="1" t="str">
        <f t="shared" ca="1" si="230"/>
        <v/>
      </c>
      <c r="P84" s="1" t="str">
        <f t="shared" ca="1" si="351"/>
        <v/>
      </c>
      <c r="Q84" s="1" t="str">
        <f t="shared" ca="1" si="352"/>
        <v/>
      </c>
      <c r="U84" s="1" t="e">
        <f>MATCH(CONCATENATE($B84,"_",INDEX($C$4:$C79,U$65)),lu_DataCode,0)</f>
        <v>#N/A</v>
      </c>
      <c r="V84" s="1" t="e">
        <f t="shared" ca="1" si="353"/>
        <v>#N/A</v>
      </c>
      <c r="W84" s="1" t="e">
        <f t="shared" ca="1" si="354"/>
        <v>#N/A</v>
      </c>
      <c r="X84" s="1">
        <f t="shared" ca="1" si="355"/>
        <v>0</v>
      </c>
      <c r="Y84" s="1">
        <f t="shared" ca="1" si="233"/>
        <v>-10000000000</v>
      </c>
      <c r="Z84" s="1">
        <f ca="1">RANK(Y84,Y$68:Y$93,Y$65)+COUNTIF(Y$68:Y84,Y84)-1</f>
        <v>17</v>
      </c>
      <c r="AA84" s="1">
        <f t="shared" ca="1" si="234"/>
        <v>17</v>
      </c>
      <c r="AB84" s="1">
        <f t="shared" ca="1" si="235"/>
        <v>0</v>
      </c>
      <c r="AC84" s="1">
        <f t="shared" ca="1" si="236"/>
        <v>1</v>
      </c>
      <c r="AD84" s="1" t="str">
        <f t="shared" ca="1" si="237"/>
        <v/>
      </c>
      <c r="AE84" s="1" t="str">
        <f t="shared" ca="1" si="238"/>
        <v/>
      </c>
      <c r="AF84" s="1" t="str">
        <f t="shared" ca="1" si="239"/>
        <v/>
      </c>
      <c r="AG84" s="1" t="str">
        <f t="shared" ca="1" si="240"/>
        <v/>
      </c>
      <c r="AK84" s="1" t="e">
        <f>MATCH(CONCATENATE($B84,"_",INDEX($C$4:$C79,AK$65)),lu_DataCode,0)</f>
        <v>#N/A</v>
      </c>
      <c r="AL84" s="1" t="e">
        <f t="shared" ca="1" si="186"/>
        <v>#N/A</v>
      </c>
      <c r="AM84" s="1" t="e">
        <f t="shared" ca="1" si="187"/>
        <v>#N/A</v>
      </c>
      <c r="AN84" s="1">
        <f t="shared" ca="1" si="188"/>
        <v>0</v>
      </c>
      <c r="AO84" s="1">
        <f t="shared" ca="1" si="241"/>
        <v>-10000000000</v>
      </c>
      <c r="AP84" s="1">
        <f ca="1">RANK(AO84,AO$68:AO$93,AO$65)+COUNTIF(AO$68:AO84,AO84)-1</f>
        <v>17</v>
      </c>
      <c r="AQ84" s="1">
        <f t="shared" ca="1" si="242"/>
        <v>17</v>
      </c>
      <c r="AR84" s="1">
        <f t="shared" ca="1" si="243"/>
        <v>0</v>
      </c>
      <c r="AS84" s="1">
        <f t="shared" ca="1" si="244"/>
        <v>1</v>
      </c>
      <c r="AT84" s="1" t="str">
        <f t="shared" ca="1" si="245"/>
        <v/>
      </c>
      <c r="AU84" s="1" t="str">
        <f t="shared" ca="1" si="246"/>
        <v/>
      </c>
      <c r="AV84" s="1" t="str">
        <f t="shared" ca="1" si="247"/>
        <v/>
      </c>
      <c r="AW84" s="1" t="str">
        <f t="shared" ca="1" si="248"/>
        <v/>
      </c>
      <c r="BA84" s="1" t="e">
        <f>MATCH(CONCATENATE($B84,"_",INDEX($C$4:$C79,BA$65)),lu_DataCode,0)</f>
        <v>#N/A</v>
      </c>
      <c r="BB84" s="1" t="e">
        <f t="shared" ca="1" si="189"/>
        <v>#N/A</v>
      </c>
      <c r="BC84" s="1" t="e">
        <f t="shared" ca="1" si="190"/>
        <v>#N/A</v>
      </c>
      <c r="BD84" s="1">
        <f t="shared" ca="1" si="191"/>
        <v>0</v>
      </c>
      <c r="BE84" s="1">
        <f t="shared" ca="1" si="249"/>
        <v>-10000000000</v>
      </c>
      <c r="BF84" s="1">
        <f ca="1">RANK(BE84,BE$68:BE$93,BE$65)+COUNTIF(BE$68:BE84,BE84)-1</f>
        <v>17</v>
      </c>
      <c r="BG84" s="1">
        <f t="shared" ca="1" si="250"/>
        <v>17</v>
      </c>
      <c r="BH84" s="1">
        <f t="shared" ca="1" si="251"/>
        <v>0</v>
      </c>
      <c r="BI84" s="1">
        <f t="shared" ca="1" si="252"/>
        <v>1</v>
      </c>
      <c r="BJ84" s="1" t="str">
        <f t="shared" ca="1" si="253"/>
        <v/>
      </c>
      <c r="BK84" s="1" t="str">
        <f t="shared" ca="1" si="254"/>
        <v/>
      </c>
      <c r="BL84" s="1" t="str">
        <f t="shared" ca="1" si="255"/>
        <v/>
      </c>
      <c r="BM84" s="1" t="str">
        <f t="shared" ca="1" si="256"/>
        <v/>
      </c>
      <c r="BQ84" s="1" t="e">
        <f>MATCH(CONCATENATE($B84,"_",INDEX($C$4:$C79,BQ$65)),lu_DataCode,0)</f>
        <v>#N/A</v>
      </c>
      <c r="BR84" s="1" t="e">
        <f t="shared" ca="1" si="192"/>
        <v>#N/A</v>
      </c>
      <c r="BS84" s="1" t="e">
        <f t="shared" ca="1" si="193"/>
        <v>#N/A</v>
      </c>
      <c r="BT84" s="1">
        <f t="shared" ca="1" si="194"/>
        <v>0</v>
      </c>
      <c r="BU84" s="1">
        <f t="shared" ca="1" si="257"/>
        <v>-10000000000</v>
      </c>
      <c r="BV84" s="1">
        <f ca="1">RANK(BU84,BU$68:BU$93,BU$65)+COUNTIF(BU$68:BU84,BU84)-1</f>
        <v>17</v>
      </c>
      <c r="BW84" s="1">
        <f t="shared" ca="1" si="258"/>
        <v>17</v>
      </c>
      <c r="BX84" s="1">
        <f t="shared" ca="1" si="259"/>
        <v>0</v>
      </c>
      <c r="BY84" s="1">
        <f t="shared" ca="1" si="260"/>
        <v>1</v>
      </c>
      <c r="BZ84" s="1" t="str">
        <f t="shared" ca="1" si="261"/>
        <v/>
      </c>
      <c r="CA84" s="1" t="str">
        <f t="shared" ca="1" si="262"/>
        <v/>
      </c>
      <c r="CB84" s="1" t="str">
        <f t="shared" ca="1" si="263"/>
        <v/>
      </c>
      <c r="CC84" s="1" t="str">
        <f t="shared" ca="1" si="264"/>
        <v/>
      </c>
      <c r="CG84" s="1" t="e">
        <f>MATCH(CONCATENATE($B84,"_",INDEX($C$4:$C79,CG$65)),lu_DataCode,0)</f>
        <v>#N/A</v>
      </c>
      <c r="CH84" s="1" t="e">
        <f t="shared" ca="1" si="195"/>
        <v>#N/A</v>
      </c>
      <c r="CI84" s="1" t="e">
        <f t="shared" ca="1" si="196"/>
        <v>#N/A</v>
      </c>
      <c r="CJ84" s="1">
        <f t="shared" ca="1" si="197"/>
        <v>0</v>
      </c>
      <c r="CK84" s="1">
        <f t="shared" ca="1" si="265"/>
        <v>-10000000000</v>
      </c>
      <c r="CL84" s="1">
        <f ca="1">RANK(CK84,CK$68:CK$93,CK$65)+COUNTIF(CK$68:CK84,CK84)-1</f>
        <v>17</v>
      </c>
      <c r="CM84" s="1">
        <f t="shared" ca="1" si="266"/>
        <v>17</v>
      </c>
      <c r="CN84" s="1">
        <f t="shared" ca="1" si="267"/>
        <v>0</v>
      </c>
      <c r="CO84" s="1">
        <f t="shared" ca="1" si="268"/>
        <v>1</v>
      </c>
      <c r="CP84" s="1" t="str">
        <f t="shared" ca="1" si="269"/>
        <v/>
      </c>
      <c r="CQ84" s="1" t="str">
        <f t="shared" ca="1" si="270"/>
        <v/>
      </c>
      <c r="CR84" s="1" t="str">
        <f t="shared" ca="1" si="271"/>
        <v/>
      </c>
      <c r="CS84" s="1" t="str">
        <f t="shared" ca="1" si="272"/>
        <v/>
      </c>
      <c r="CW84" s="1" t="e">
        <f>MATCH(CONCATENATE($B84,"_",INDEX($C$4:$C79,CW$65)),lu_DataCode,0)</f>
        <v>#N/A</v>
      </c>
      <c r="CX84" s="1" t="e">
        <f t="shared" ca="1" si="198"/>
        <v>#N/A</v>
      </c>
      <c r="CY84" s="1" t="e">
        <f t="shared" ca="1" si="199"/>
        <v>#N/A</v>
      </c>
      <c r="CZ84" s="1">
        <f t="shared" ca="1" si="200"/>
        <v>0</v>
      </c>
      <c r="DA84" s="1">
        <f t="shared" ca="1" si="273"/>
        <v>-10000000000</v>
      </c>
      <c r="DB84" s="1">
        <f ca="1">RANK(DA84,DA$68:DA$93,DA$65)+COUNTIF(DA$68:DA84,DA84)-1</f>
        <v>17</v>
      </c>
      <c r="DC84" s="1">
        <f t="shared" ca="1" si="274"/>
        <v>17</v>
      </c>
      <c r="DD84" s="1">
        <f t="shared" ca="1" si="275"/>
        <v>0</v>
      </c>
      <c r="DE84" s="1">
        <f t="shared" ca="1" si="276"/>
        <v>1</v>
      </c>
      <c r="DF84" s="1" t="str">
        <f t="shared" ca="1" si="277"/>
        <v/>
      </c>
      <c r="DG84" s="1" t="str">
        <f t="shared" ca="1" si="278"/>
        <v/>
      </c>
      <c r="DH84" s="1" t="str">
        <f t="shared" ca="1" si="279"/>
        <v/>
      </c>
      <c r="DI84" s="1" t="str">
        <f t="shared" ca="1" si="280"/>
        <v/>
      </c>
      <c r="DM84" s="1" t="e">
        <f>MATCH(CONCATENATE($B84,"_",INDEX($C$4:$C79,DM$65)),lu_DataCode,0)</f>
        <v>#N/A</v>
      </c>
      <c r="DN84" s="1" t="e">
        <f t="shared" ca="1" si="201"/>
        <v>#N/A</v>
      </c>
      <c r="DO84" s="1" t="e">
        <f t="shared" ca="1" si="202"/>
        <v>#N/A</v>
      </c>
      <c r="DP84" s="1">
        <f t="shared" ca="1" si="203"/>
        <v>0</v>
      </c>
      <c r="DQ84" s="1">
        <f t="shared" ca="1" si="281"/>
        <v>-10000000000</v>
      </c>
      <c r="DR84" s="1">
        <f ca="1">RANK(DQ84,DQ$68:DQ$93,DQ$65)+COUNTIF(DQ$68:DQ84,DQ84)-1</f>
        <v>17</v>
      </c>
      <c r="DS84" s="1">
        <f t="shared" ca="1" si="282"/>
        <v>17</v>
      </c>
      <c r="DT84" s="1">
        <f t="shared" ca="1" si="283"/>
        <v>0</v>
      </c>
      <c r="DU84" s="1">
        <f t="shared" ca="1" si="284"/>
        <v>1</v>
      </c>
      <c r="DV84" s="1" t="str">
        <f t="shared" ca="1" si="285"/>
        <v/>
      </c>
      <c r="DW84" s="1" t="str">
        <f t="shared" ca="1" si="286"/>
        <v/>
      </c>
      <c r="DX84" s="1" t="str">
        <f t="shared" ca="1" si="287"/>
        <v/>
      </c>
      <c r="DY84" s="1" t="str">
        <f t="shared" ca="1" si="288"/>
        <v/>
      </c>
      <c r="EC84" s="1" t="e">
        <f>MATCH(CONCATENATE($B84,"_",INDEX($C$4:$C79,EC$65)),lu_DataCode,0)</f>
        <v>#N/A</v>
      </c>
      <c r="ED84" s="1" t="e">
        <f t="shared" ca="1" si="204"/>
        <v>#N/A</v>
      </c>
      <c r="EE84" s="1" t="e">
        <f t="shared" ca="1" si="205"/>
        <v>#N/A</v>
      </c>
      <c r="EF84" s="1">
        <f t="shared" ca="1" si="206"/>
        <v>0</v>
      </c>
      <c r="EG84" s="1">
        <f t="shared" ca="1" si="289"/>
        <v>-10000000000</v>
      </c>
      <c r="EH84" s="1">
        <f ca="1">RANK(EG84,EG$68:EG$93,EG$65)+COUNTIF(EG$68:EG84,EG84)-1</f>
        <v>17</v>
      </c>
      <c r="EI84" s="1">
        <f t="shared" ca="1" si="290"/>
        <v>17</v>
      </c>
      <c r="EJ84" s="1">
        <f t="shared" ca="1" si="291"/>
        <v>0</v>
      </c>
      <c r="EK84" s="1">
        <f t="shared" ca="1" si="292"/>
        <v>1</v>
      </c>
      <c r="EL84" s="1" t="str">
        <f t="shared" ca="1" si="293"/>
        <v/>
      </c>
      <c r="EM84" s="1" t="str">
        <f t="shared" ca="1" si="294"/>
        <v/>
      </c>
      <c r="EN84" s="1" t="str">
        <f t="shared" ca="1" si="295"/>
        <v/>
      </c>
      <c r="EO84" s="1" t="str">
        <f t="shared" ca="1" si="296"/>
        <v/>
      </c>
      <c r="ES84" s="1" t="e">
        <f>MATCH(CONCATENATE($B84,"_",INDEX($C$4:$C79,ES$65)),lu_DataCode,0)</f>
        <v>#N/A</v>
      </c>
      <c r="ET84" s="1" t="e">
        <f t="shared" ca="1" si="207"/>
        <v>#N/A</v>
      </c>
      <c r="EU84" s="1" t="e">
        <f t="shared" ca="1" si="208"/>
        <v>#N/A</v>
      </c>
      <c r="EV84" s="1">
        <f t="shared" ca="1" si="209"/>
        <v>0</v>
      </c>
      <c r="EW84" s="1">
        <f t="shared" ca="1" si="297"/>
        <v>-10000000000</v>
      </c>
      <c r="EX84" s="1">
        <f ca="1">RANK(EW84,EW$68:EW$93,EW$65)+COUNTIF(EW$68:EW84,EW84)-1</f>
        <v>17</v>
      </c>
      <c r="EY84" s="1">
        <f t="shared" ca="1" si="298"/>
        <v>17</v>
      </c>
      <c r="EZ84" s="1">
        <f t="shared" ca="1" si="299"/>
        <v>0</v>
      </c>
      <c r="FA84" s="1">
        <f t="shared" ca="1" si="300"/>
        <v>1</v>
      </c>
      <c r="FB84" s="1" t="str">
        <f t="shared" ca="1" si="301"/>
        <v/>
      </c>
      <c r="FC84" s="1" t="str">
        <f t="shared" ca="1" si="302"/>
        <v/>
      </c>
      <c r="FD84" s="1" t="str">
        <f t="shared" ca="1" si="303"/>
        <v/>
      </c>
      <c r="FE84" s="1" t="str">
        <f t="shared" ca="1" si="304"/>
        <v/>
      </c>
      <c r="FI84" s="1" t="e">
        <f>MATCH(CONCATENATE($B84,"_",INDEX($C$4:$C79,FI$65)),lu_DataCode,0)</f>
        <v>#N/A</v>
      </c>
      <c r="FJ84" s="1" t="e">
        <f t="shared" ca="1" si="210"/>
        <v>#N/A</v>
      </c>
      <c r="FK84" s="1" t="e">
        <f t="shared" ca="1" si="211"/>
        <v>#N/A</v>
      </c>
      <c r="FL84" s="1">
        <f t="shared" ca="1" si="212"/>
        <v>0</v>
      </c>
      <c r="FM84" s="1">
        <f t="shared" ca="1" si="305"/>
        <v>-10000000000</v>
      </c>
      <c r="FN84" s="1">
        <f ca="1">RANK(FM84,FM$68:FM$93,FM$65)+COUNTIF(FM$68:FM84,FM84)-1</f>
        <v>17</v>
      </c>
      <c r="FO84" s="1">
        <f t="shared" ca="1" si="306"/>
        <v>17</v>
      </c>
      <c r="FP84" s="1">
        <f t="shared" ca="1" si="307"/>
        <v>0</v>
      </c>
      <c r="FQ84" s="1">
        <f t="shared" ca="1" si="308"/>
        <v>1</v>
      </c>
      <c r="FR84" s="1" t="str">
        <f t="shared" ca="1" si="309"/>
        <v/>
      </c>
      <c r="FS84" s="1" t="str">
        <f t="shared" ca="1" si="310"/>
        <v/>
      </c>
      <c r="FT84" s="1" t="str">
        <f t="shared" ca="1" si="311"/>
        <v/>
      </c>
      <c r="FU84" s="1" t="str">
        <f t="shared" ca="1" si="312"/>
        <v/>
      </c>
      <c r="FY84" s="1" t="e">
        <f>MATCH(CONCATENATE($B84,"_",INDEX($C$4:$C79,FY$65)),lu_DataCode,0)</f>
        <v>#N/A</v>
      </c>
      <c r="FZ84" s="1" t="e">
        <f t="shared" ca="1" si="213"/>
        <v>#N/A</v>
      </c>
      <c r="GA84" s="1" t="e">
        <f t="shared" ca="1" si="214"/>
        <v>#N/A</v>
      </c>
      <c r="GB84" s="1">
        <f t="shared" ca="1" si="215"/>
        <v>0</v>
      </c>
      <c r="GC84" s="1">
        <f t="shared" ca="1" si="313"/>
        <v>-10000000000</v>
      </c>
      <c r="GD84" s="1">
        <f ca="1">RANK(GC84,GC$68:GC$93,GC$65)+COUNTIF(GC$68:GC84,GC84)-1</f>
        <v>17</v>
      </c>
      <c r="GE84" s="1">
        <f t="shared" ca="1" si="314"/>
        <v>17</v>
      </c>
      <c r="GF84" s="1">
        <f t="shared" ca="1" si="315"/>
        <v>0</v>
      </c>
      <c r="GG84" s="1">
        <f t="shared" ca="1" si="316"/>
        <v>1</v>
      </c>
      <c r="GH84" s="1" t="str">
        <f t="shared" ca="1" si="317"/>
        <v/>
      </c>
      <c r="GI84" s="1" t="str">
        <f t="shared" ca="1" si="318"/>
        <v/>
      </c>
      <c r="GJ84" s="1" t="str">
        <f t="shared" ca="1" si="319"/>
        <v/>
      </c>
      <c r="GK84" s="1" t="str">
        <f t="shared" ca="1" si="320"/>
        <v/>
      </c>
      <c r="GO84" s="1" t="e">
        <f>MATCH(CONCATENATE($B84,"_",INDEX($C$4:$C79,GO$65)),lu_DataCode,0)</f>
        <v>#N/A</v>
      </c>
      <c r="GP84" s="1" t="e">
        <f t="shared" ca="1" si="216"/>
        <v>#N/A</v>
      </c>
      <c r="GQ84" s="1" t="e">
        <f t="shared" ca="1" si="217"/>
        <v>#N/A</v>
      </c>
      <c r="GR84" s="1">
        <f t="shared" ca="1" si="218"/>
        <v>0</v>
      </c>
      <c r="GS84" s="1">
        <f t="shared" ca="1" si="321"/>
        <v>-10000000000</v>
      </c>
      <c r="GT84" s="1">
        <f ca="1">RANK(GS84,GS$68:GS$93,GS$65)+COUNTIF(GS$68:GS84,GS84)-1</f>
        <v>17</v>
      </c>
      <c r="GU84" s="1">
        <f t="shared" ca="1" si="322"/>
        <v>17</v>
      </c>
      <c r="GV84" s="1">
        <f t="shared" ca="1" si="323"/>
        <v>0</v>
      </c>
      <c r="GW84" s="1">
        <f t="shared" ca="1" si="324"/>
        <v>1</v>
      </c>
      <c r="GX84" s="1" t="str">
        <f t="shared" ca="1" si="325"/>
        <v/>
      </c>
      <c r="GY84" s="1" t="str">
        <f t="shared" ca="1" si="326"/>
        <v/>
      </c>
      <c r="GZ84" s="1" t="str">
        <f t="shared" ca="1" si="327"/>
        <v/>
      </c>
      <c r="HA84" s="1" t="str">
        <f t="shared" ca="1" si="328"/>
        <v/>
      </c>
      <c r="HE84" s="1" t="e">
        <f>MATCH(CONCATENATE($B84,"_",INDEX($C$4:$C79,HE$65)),lu_DataCode,0)</f>
        <v>#N/A</v>
      </c>
      <c r="HF84" s="1" t="e">
        <f t="shared" ca="1" si="219"/>
        <v>#N/A</v>
      </c>
      <c r="HG84" s="1" t="e">
        <f t="shared" ca="1" si="220"/>
        <v>#N/A</v>
      </c>
      <c r="HH84" s="1">
        <f t="shared" ca="1" si="221"/>
        <v>0</v>
      </c>
      <c r="HI84" s="1">
        <f t="shared" ca="1" si="329"/>
        <v>-10000000000</v>
      </c>
      <c r="HJ84" s="1">
        <f ca="1">RANK(HI84,HI$68:HI$93,HI$65)+COUNTIF(HI$68:HI84,HI84)-1</f>
        <v>17</v>
      </c>
      <c r="HK84" s="1">
        <f t="shared" ca="1" si="330"/>
        <v>17</v>
      </c>
      <c r="HL84" s="1">
        <f t="shared" ca="1" si="331"/>
        <v>0</v>
      </c>
      <c r="HM84" s="1">
        <f t="shared" ca="1" si="332"/>
        <v>1</v>
      </c>
      <c r="HN84" s="1" t="str">
        <f t="shared" ca="1" si="333"/>
        <v/>
      </c>
      <c r="HO84" s="1" t="str">
        <f t="shared" ca="1" si="334"/>
        <v/>
      </c>
      <c r="HP84" s="1" t="str">
        <f t="shared" ca="1" si="335"/>
        <v/>
      </c>
      <c r="HQ84" s="1" t="str">
        <f t="shared" ca="1" si="336"/>
        <v/>
      </c>
      <c r="HU84" s="1" t="e">
        <f>MATCH(CONCATENATE($B84,"_",INDEX($C$4:$C79,HU$65)),lu_DataCode,0)</f>
        <v>#N/A</v>
      </c>
      <c r="HV84" s="1" t="e">
        <f t="shared" ca="1" si="222"/>
        <v>#N/A</v>
      </c>
      <c r="HW84" s="1" t="e">
        <f t="shared" ca="1" si="223"/>
        <v>#N/A</v>
      </c>
      <c r="HX84" s="1">
        <f t="shared" ca="1" si="224"/>
        <v>0</v>
      </c>
      <c r="HY84" s="1">
        <f t="shared" ca="1" si="337"/>
        <v>-10000000000</v>
      </c>
      <c r="HZ84" s="1">
        <f ca="1">RANK(HY84,HY$68:HY$93,HY$65)+COUNTIF(HY$68:HY84,HY84)-1</f>
        <v>17</v>
      </c>
      <c r="IA84" s="1">
        <f t="shared" ca="1" si="338"/>
        <v>17</v>
      </c>
      <c r="IB84" s="1">
        <f t="shared" ca="1" si="339"/>
        <v>0</v>
      </c>
      <c r="IC84" s="1">
        <f t="shared" ca="1" si="340"/>
        <v>1</v>
      </c>
      <c r="ID84" s="1" t="str">
        <f t="shared" ca="1" si="341"/>
        <v/>
      </c>
      <c r="IE84" s="1" t="str">
        <f t="shared" ca="1" si="342"/>
        <v/>
      </c>
      <c r="IF84" s="1" t="str">
        <f t="shared" ca="1" si="343"/>
        <v/>
      </c>
      <c r="IG84" s="1" t="str">
        <f t="shared" ca="1" si="344"/>
        <v/>
      </c>
    </row>
    <row r="85" spans="1:241" x14ac:dyDescent="0.2">
      <c r="A85" s="1">
        <f t="shared" ref="A85:D85" si="363">A54</f>
        <v>18</v>
      </c>
      <c r="B85" s="1" t="str">
        <f t="shared" si="363"/>
        <v>NAC_NI_1</v>
      </c>
      <c r="C85" s="1" t="str">
        <f t="shared" si="363"/>
        <v>Nicaragua</v>
      </c>
      <c r="D85" s="1">
        <f t="shared" si="363"/>
        <v>1</v>
      </c>
      <c r="E85" s="1" t="e">
        <f>MATCH(CONCATENATE($B85,"_",INDEX($C$4:$C80,E$65)),lu_DataCode,0)</f>
        <v>#N/A</v>
      </c>
      <c r="F85" s="1" t="e">
        <f t="shared" ca="1" si="346"/>
        <v>#N/A</v>
      </c>
      <c r="G85" s="1" t="e">
        <f t="shared" ca="1" si="347"/>
        <v>#N/A</v>
      </c>
      <c r="H85" s="1">
        <f t="shared" ca="1" si="348"/>
        <v>0</v>
      </c>
      <c r="I85" s="1">
        <f t="shared" ca="1" si="225"/>
        <v>-10000000000</v>
      </c>
      <c r="J85" s="1">
        <f ca="1">RANK(I85,I$68:I$93,I$65)+COUNTIF(I$68:I85,I85)-1</f>
        <v>18</v>
      </c>
      <c r="K85" s="1">
        <f t="shared" ca="1" si="349"/>
        <v>18</v>
      </c>
      <c r="L85" s="1">
        <f t="shared" ca="1" si="350"/>
        <v>0</v>
      </c>
      <c r="M85" s="1">
        <f t="shared" ca="1" si="228"/>
        <v>1</v>
      </c>
      <c r="N85" s="1" t="str">
        <f t="shared" ca="1" si="229"/>
        <v/>
      </c>
      <c r="O85" s="1" t="str">
        <f t="shared" ca="1" si="230"/>
        <v/>
      </c>
      <c r="P85" s="1" t="str">
        <f t="shared" ca="1" si="351"/>
        <v/>
      </c>
      <c r="Q85" s="1" t="str">
        <f t="shared" ca="1" si="352"/>
        <v/>
      </c>
      <c r="U85" s="1" t="e">
        <f>MATCH(CONCATENATE($B85,"_",INDEX($C$4:$C80,U$65)),lu_DataCode,0)</f>
        <v>#N/A</v>
      </c>
      <c r="V85" s="1" t="e">
        <f t="shared" ca="1" si="353"/>
        <v>#N/A</v>
      </c>
      <c r="W85" s="1" t="e">
        <f t="shared" ca="1" si="354"/>
        <v>#N/A</v>
      </c>
      <c r="X85" s="1">
        <f t="shared" ca="1" si="355"/>
        <v>0</v>
      </c>
      <c r="Y85" s="1">
        <f t="shared" ca="1" si="233"/>
        <v>-10000000000</v>
      </c>
      <c r="Z85" s="1">
        <f ca="1">RANK(Y85,Y$68:Y$93,Y$65)+COUNTIF(Y$68:Y85,Y85)-1</f>
        <v>18</v>
      </c>
      <c r="AA85" s="1">
        <f t="shared" ca="1" si="234"/>
        <v>18</v>
      </c>
      <c r="AB85" s="1">
        <f t="shared" ca="1" si="235"/>
        <v>0</v>
      </c>
      <c r="AC85" s="1">
        <f t="shared" ca="1" si="236"/>
        <v>1</v>
      </c>
      <c r="AD85" s="1" t="str">
        <f t="shared" ca="1" si="237"/>
        <v/>
      </c>
      <c r="AE85" s="1" t="str">
        <f t="shared" ca="1" si="238"/>
        <v/>
      </c>
      <c r="AF85" s="1" t="str">
        <f t="shared" ca="1" si="239"/>
        <v/>
      </c>
      <c r="AG85" s="1" t="str">
        <f t="shared" ca="1" si="240"/>
        <v/>
      </c>
      <c r="AK85" s="1" t="e">
        <f>MATCH(CONCATENATE($B85,"_",INDEX($C$4:$C80,AK$65)),lu_DataCode,0)</f>
        <v>#N/A</v>
      </c>
      <c r="AL85" s="1" t="e">
        <f t="shared" ca="1" si="186"/>
        <v>#N/A</v>
      </c>
      <c r="AM85" s="1" t="e">
        <f t="shared" ca="1" si="187"/>
        <v>#N/A</v>
      </c>
      <c r="AN85" s="1">
        <f t="shared" ca="1" si="188"/>
        <v>0</v>
      </c>
      <c r="AO85" s="1">
        <f t="shared" ca="1" si="241"/>
        <v>-10000000000</v>
      </c>
      <c r="AP85" s="1">
        <f ca="1">RANK(AO85,AO$68:AO$93,AO$65)+COUNTIF(AO$68:AO85,AO85)-1</f>
        <v>18</v>
      </c>
      <c r="AQ85" s="1">
        <f t="shared" ca="1" si="242"/>
        <v>18</v>
      </c>
      <c r="AR85" s="1">
        <f t="shared" ca="1" si="243"/>
        <v>0</v>
      </c>
      <c r="AS85" s="1">
        <f t="shared" ca="1" si="244"/>
        <v>1</v>
      </c>
      <c r="AT85" s="1" t="str">
        <f t="shared" ca="1" si="245"/>
        <v/>
      </c>
      <c r="AU85" s="1" t="str">
        <f t="shared" ca="1" si="246"/>
        <v/>
      </c>
      <c r="AV85" s="1" t="str">
        <f t="shared" ca="1" si="247"/>
        <v/>
      </c>
      <c r="AW85" s="1" t="str">
        <f t="shared" ca="1" si="248"/>
        <v/>
      </c>
      <c r="BA85" s="1" t="e">
        <f>MATCH(CONCATENATE($B85,"_",INDEX($C$4:$C80,BA$65)),lu_DataCode,0)</f>
        <v>#N/A</v>
      </c>
      <c r="BB85" s="1" t="e">
        <f t="shared" ca="1" si="189"/>
        <v>#N/A</v>
      </c>
      <c r="BC85" s="1" t="e">
        <f t="shared" ca="1" si="190"/>
        <v>#N/A</v>
      </c>
      <c r="BD85" s="1">
        <f t="shared" ca="1" si="191"/>
        <v>0</v>
      </c>
      <c r="BE85" s="1">
        <f t="shared" ca="1" si="249"/>
        <v>-10000000000</v>
      </c>
      <c r="BF85" s="1">
        <f ca="1">RANK(BE85,BE$68:BE$93,BE$65)+COUNTIF(BE$68:BE85,BE85)-1</f>
        <v>18</v>
      </c>
      <c r="BG85" s="1">
        <f t="shared" ca="1" si="250"/>
        <v>18</v>
      </c>
      <c r="BH85" s="1">
        <f t="shared" ca="1" si="251"/>
        <v>0</v>
      </c>
      <c r="BI85" s="1">
        <f t="shared" ca="1" si="252"/>
        <v>1</v>
      </c>
      <c r="BJ85" s="1" t="str">
        <f t="shared" ca="1" si="253"/>
        <v/>
      </c>
      <c r="BK85" s="1" t="str">
        <f t="shared" ca="1" si="254"/>
        <v/>
      </c>
      <c r="BL85" s="1" t="str">
        <f t="shared" ca="1" si="255"/>
        <v/>
      </c>
      <c r="BM85" s="1" t="str">
        <f t="shared" ca="1" si="256"/>
        <v/>
      </c>
      <c r="BQ85" s="1" t="e">
        <f>MATCH(CONCATENATE($B85,"_",INDEX($C$4:$C80,BQ$65)),lu_DataCode,0)</f>
        <v>#N/A</v>
      </c>
      <c r="BR85" s="1" t="e">
        <f t="shared" ca="1" si="192"/>
        <v>#N/A</v>
      </c>
      <c r="BS85" s="1" t="e">
        <f t="shared" ca="1" si="193"/>
        <v>#N/A</v>
      </c>
      <c r="BT85" s="1">
        <f t="shared" ca="1" si="194"/>
        <v>0</v>
      </c>
      <c r="BU85" s="1">
        <f t="shared" ca="1" si="257"/>
        <v>-10000000000</v>
      </c>
      <c r="BV85" s="1">
        <f ca="1">RANK(BU85,BU$68:BU$93,BU$65)+COUNTIF(BU$68:BU85,BU85)-1</f>
        <v>18</v>
      </c>
      <c r="BW85" s="1">
        <f t="shared" ca="1" si="258"/>
        <v>18</v>
      </c>
      <c r="BX85" s="1">
        <f t="shared" ca="1" si="259"/>
        <v>0</v>
      </c>
      <c r="BY85" s="1">
        <f t="shared" ca="1" si="260"/>
        <v>1</v>
      </c>
      <c r="BZ85" s="1" t="str">
        <f t="shared" ca="1" si="261"/>
        <v/>
      </c>
      <c r="CA85" s="1" t="str">
        <f t="shared" ca="1" si="262"/>
        <v/>
      </c>
      <c r="CB85" s="1" t="str">
        <f t="shared" ca="1" si="263"/>
        <v/>
      </c>
      <c r="CC85" s="1" t="str">
        <f t="shared" ca="1" si="264"/>
        <v/>
      </c>
      <c r="CG85" s="1" t="e">
        <f>MATCH(CONCATENATE($B85,"_",INDEX($C$4:$C80,CG$65)),lu_DataCode,0)</f>
        <v>#N/A</v>
      </c>
      <c r="CH85" s="1" t="e">
        <f t="shared" ca="1" si="195"/>
        <v>#N/A</v>
      </c>
      <c r="CI85" s="1" t="e">
        <f t="shared" ca="1" si="196"/>
        <v>#N/A</v>
      </c>
      <c r="CJ85" s="1">
        <f t="shared" ca="1" si="197"/>
        <v>0</v>
      </c>
      <c r="CK85" s="1">
        <f t="shared" ca="1" si="265"/>
        <v>-10000000000</v>
      </c>
      <c r="CL85" s="1">
        <f ca="1">RANK(CK85,CK$68:CK$93,CK$65)+COUNTIF(CK$68:CK85,CK85)-1</f>
        <v>18</v>
      </c>
      <c r="CM85" s="1">
        <f t="shared" ca="1" si="266"/>
        <v>18</v>
      </c>
      <c r="CN85" s="1">
        <f t="shared" ca="1" si="267"/>
        <v>0</v>
      </c>
      <c r="CO85" s="1">
        <f t="shared" ca="1" si="268"/>
        <v>1</v>
      </c>
      <c r="CP85" s="1" t="str">
        <f t="shared" ca="1" si="269"/>
        <v/>
      </c>
      <c r="CQ85" s="1" t="str">
        <f t="shared" ca="1" si="270"/>
        <v/>
      </c>
      <c r="CR85" s="1" t="str">
        <f t="shared" ca="1" si="271"/>
        <v/>
      </c>
      <c r="CS85" s="1" t="str">
        <f t="shared" ca="1" si="272"/>
        <v/>
      </c>
      <c r="CW85" s="1" t="e">
        <f>MATCH(CONCATENATE($B85,"_",INDEX($C$4:$C80,CW$65)),lu_DataCode,0)</f>
        <v>#N/A</v>
      </c>
      <c r="CX85" s="1" t="e">
        <f t="shared" ca="1" si="198"/>
        <v>#N/A</v>
      </c>
      <c r="CY85" s="1" t="e">
        <f t="shared" ca="1" si="199"/>
        <v>#N/A</v>
      </c>
      <c r="CZ85" s="1">
        <f t="shared" ca="1" si="200"/>
        <v>0</v>
      </c>
      <c r="DA85" s="1">
        <f t="shared" ca="1" si="273"/>
        <v>-10000000000</v>
      </c>
      <c r="DB85" s="1">
        <f ca="1">RANK(DA85,DA$68:DA$93,DA$65)+COUNTIF(DA$68:DA85,DA85)-1</f>
        <v>18</v>
      </c>
      <c r="DC85" s="1">
        <f t="shared" ca="1" si="274"/>
        <v>18</v>
      </c>
      <c r="DD85" s="1">
        <f t="shared" ca="1" si="275"/>
        <v>0</v>
      </c>
      <c r="DE85" s="1">
        <f t="shared" ca="1" si="276"/>
        <v>1</v>
      </c>
      <c r="DF85" s="1" t="str">
        <f t="shared" ca="1" si="277"/>
        <v/>
      </c>
      <c r="DG85" s="1" t="str">
        <f t="shared" ca="1" si="278"/>
        <v/>
      </c>
      <c r="DH85" s="1" t="str">
        <f t="shared" ca="1" si="279"/>
        <v/>
      </c>
      <c r="DI85" s="1" t="str">
        <f t="shared" ca="1" si="280"/>
        <v/>
      </c>
      <c r="DM85" s="1" t="e">
        <f>MATCH(CONCATENATE($B85,"_",INDEX($C$4:$C80,DM$65)),lu_DataCode,0)</f>
        <v>#N/A</v>
      </c>
      <c r="DN85" s="1" t="e">
        <f t="shared" ca="1" si="201"/>
        <v>#N/A</v>
      </c>
      <c r="DO85" s="1" t="e">
        <f t="shared" ca="1" si="202"/>
        <v>#N/A</v>
      </c>
      <c r="DP85" s="1">
        <f t="shared" ca="1" si="203"/>
        <v>0</v>
      </c>
      <c r="DQ85" s="1">
        <f t="shared" ca="1" si="281"/>
        <v>-10000000000</v>
      </c>
      <c r="DR85" s="1">
        <f ca="1">RANK(DQ85,DQ$68:DQ$93,DQ$65)+COUNTIF(DQ$68:DQ85,DQ85)-1</f>
        <v>18</v>
      </c>
      <c r="DS85" s="1">
        <f t="shared" ca="1" si="282"/>
        <v>18</v>
      </c>
      <c r="DT85" s="1">
        <f t="shared" ca="1" si="283"/>
        <v>0</v>
      </c>
      <c r="DU85" s="1">
        <f t="shared" ca="1" si="284"/>
        <v>1</v>
      </c>
      <c r="DV85" s="1" t="str">
        <f t="shared" ca="1" si="285"/>
        <v/>
      </c>
      <c r="DW85" s="1" t="str">
        <f t="shared" ca="1" si="286"/>
        <v/>
      </c>
      <c r="DX85" s="1" t="str">
        <f t="shared" ca="1" si="287"/>
        <v/>
      </c>
      <c r="DY85" s="1" t="str">
        <f t="shared" ca="1" si="288"/>
        <v/>
      </c>
      <c r="EC85" s="1" t="e">
        <f>MATCH(CONCATENATE($B85,"_",INDEX($C$4:$C80,EC$65)),lu_DataCode,0)</f>
        <v>#N/A</v>
      </c>
      <c r="ED85" s="1" t="e">
        <f t="shared" ca="1" si="204"/>
        <v>#N/A</v>
      </c>
      <c r="EE85" s="1" t="e">
        <f t="shared" ca="1" si="205"/>
        <v>#N/A</v>
      </c>
      <c r="EF85" s="1">
        <f t="shared" ca="1" si="206"/>
        <v>0</v>
      </c>
      <c r="EG85" s="1">
        <f t="shared" ca="1" si="289"/>
        <v>-10000000000</v>
      </c>
      <c r="EH85" s="1">
        <f ca="1">RANK(EG85,EG$68:EG$93,EG$65)+COUNTIF(EG$68:EG85,EG85)-1</f>
        <v>18</v>
      </c>
      <c r="EI85" s="1">
        <f t="shared" ca="1" si="290"/>
        <v>18</v>
      </c>
      <c r="EJ85" s="1">
        <f t="shared" ca="1" si="291"/>
        <v>0</v>
      </c>
      <c r="EK85" s="1">
        <f t="shared" ca="1" si="292"/>
        <v>1</v>
      </c>
      <c r="EL85" s="1" t="str">
        <f t="shared" ca="1" si="293"/>
        <v/>
      </c>
      <c r="EM85" s="1" t="str">
        <f t="shared" ca="1" si="294"/>
        <v/>
      </c>
      <c r="EN85" s="1" t="str">
        <f t="shared" ca="1" si="295"/>
        <v/>
      </c>
      <c r="EO85" s="1" t="str">
        <f t="shared" ca="1" si="296"/>
        <v/>
      </c>
      <c r="ES85" s="1" t="e">
        <f>MATCH(CONCATENATE($B85,"_",INDEX($C$4:$C80,ES$65)),lu_DataCode,0)</f>
        <v>#N/A</v>
      </c>
      <c r="ET85" s="1" t="e">
        <f t="shared" ca="1" si="207"/>
        <v>#N/A</v>
      </c>
      <c r="EU85" s="1" t="e">
        <f t="shared" ca="1" si="208"/>
        <v>#N/A</v>
      </c>
      <c r="EV85" s="1">
        <f t="shared" ca="1" si="209"/>
        <v>0</v>
      </c>
      <c r="EW85" s="1">
        <f t="shared" ca="1" si="297"/>
        <v>-10000000000</v>
      </c>
      <c r="EX85" s="1">
        <f ca="1">RANK(EW85,EW$68:EW$93,EW$65)+COUNTIF(EW$68:EW85,EW85)-1</f>
        <v>18</v>
      </c>
      <c r="EY85" s="1">
        <f t="shared" ca="1" si="298"/>
        <v>18</v>
      </c>
      <c r="EZ85" s="1">
        <f t="shared" ca="1" si="299"/>
        <v>0</v>
      </c>
      <c r="FA85" s="1">
        <f t="shared" ca="1" si="300"/>
        <v>1</v>
      </c>
      <c r="FB85" s="1" t="str">
        <f t="shared" ca="1" si="301"/>
        <v/>
      </c>
      <c r="FC85" s="1" t="str">
        <f t="shared" ca="1" si="302"/>
        <v/>
      </c>
      <c r="FD85" s="1" t="str">
        <f t="shared" ca="1" si="303"/>
        <v/>
      </c>
      <c r="FE85" s="1" t="str">
        <f t="shared" ca="1" si="304"/>
        <v/>
      </c>
      <c r="FI85" s="1" t="e">
        <f>MATCH(CONCATENATE($B85,"_",INDEX($C$4:$C80,FI$65)),lu_DataCode,0)</f>
        <v>#N/A</v>
      </c>
      <c r="FJ85" s="1" t="e">
        <f t="shared" ca="1" si="210"/>
        <v>#N/A</v>
      </c>
      <c r="FK85" s="1" t="e">
        <f t="shared" ca="1" si="211"/>
        <v>#N/A</v>
      </c>
      <c r="FL85" s="1">
        <f t="shared" ca="1" si="212"/>
        <v>0</v>
      </c>
      <c r="FM85" s="1">
        <f t="shared" ca="1" si="305"/>
        <v>-10000000000</v>
      </c>
      <c r="FN85" s="1">
        <f ca="1">RANK(FM85,FM$68:FM$93,FM$65)+COUNTIF(FM$68:FM85,FM85)-1</f>
        <v>18</v>
      </c>
      <c r="FO85" s="1">
        <f t="shared" ca="1" si="306"/>
        <v>18</v>
      </c>
      <c r="FP85" s="1">
        <f t="shared" ca="1" si="307"/>
        <v>0</v>
      </c>
      <c r="FQ85" s="1">
        <f t="shared" ca="1" si="308"/>
        <v>1</v>
      </c>
      <c r="FR85" s="1" t="str">
        <f t="shared" ca="1" si="309"/>
        <v/>
      </c>
      <c r="FS85" s="1" t="str">
        <f t="shared" ca="1" si="310"/>
        <v/>
      </c>
      <c r="FT85" s="1" t="str">
        <f t="shared" ca="1" si="311"/>
        <v/>
      </c>
      <c r="FU85" s="1" t="str">
        <f t="shared" ca="1" si="312"/>
        <v/>
      </c>
      <c r="FY85" s="1" t="e">
        <f>MATCH(CONCATENATE($B85,"_",INDEX($C$4:$C80,FY$65)),lu_DataCode,0)</f>
        <v>#N/A</v>
      </c>
      <c r="FZ85" s="1" t="e">
        <f t="shared" ca="1" si="213"/>
        <v>#N/A</v>
      </c>
      <c r="GA85" s="1" t="e">
        <f t="shared" ca="1" si="214"/>
        <v>#N/A</v>
      </c>
      <c r="GB85" s="1">
        <f t="shared" ca="1" si="215"/>
        <v>0</v>
      </c>
      <c r="GC85" s="1">
        <f t="shared" ca="1" si="313"/>
        <v>-10000000000</v>
      </c>
      <c r="GD85" s="1">
        <f ca="1">RANK(GC85,GC$68:GC$93,GC$65)+COUNTIF(GC$68:GC85,GC85)-1</f>
        <v>18</v>
      </c>
      <c r="GE85" s="1">
        <f t="shared" ca="1" si="314"/>
        <v>18</v>
      </c>
      <c r="GF85" s="1">
        <f t="shared" ca="1" si="315"/>
        <v>0</v>
      </c>
      <c r="GG85" s="1">
        <f t="shared" ca="1" si="316"/>
        <v>1</v>
      </c>
      <c r="GH85" s="1" t="str">
        <f t="shared" ca="1" si="317"/>
        <v/>
      </c>
      <c r="GI85" s="1" t="str">
        <f t="shared" ca="1" si="318"/>
        <v/>
      </c>
      <c r="GJ85" s="1" t="str">
        <f t="shared" ca="1" si="319"/>
        <v/>
      </c>
      <c r="GK85" s="1" t="str">
        <f t="shared" ca="1" si="320"/>
        <v/>
      </c>
      <c r="GO85" s="1" t="e">
        <f>MATCH(CONCATENATE($B85,"_",INDEX($C$4:$C80,GO$65)),lu_DataCode,0)</f>
        <v>#N/A</v>
      </c>
      <c r="GP85" s="1" t="e">
        <f t="shared" ca="1" si="216"/>
        <v>#N/A</v>
      </c>
      <c r="GQ85" s="1" t="e">
        <f t="shared" ca="1" si="217"/>
        <v>#N/A</v>
      </c>
      <c r="GR85" s="1">
        <f t="shared" ca="1" si="218"/>
        <v>0</v>
      </c>
      <c r="GS85" s="1">
        <f t="shared" ca="1" si="321"/>
        <v>-10000000000</v>
      </c>
      <c r="GT85" s="1">
        <f ca="1">RANK(GS85,GS$68:GS$93,GS$65)+COUNTIF(GS$68:GS85,GS85)-1</f>
        <v>18</v>
      </c>
      <c r="GU85" s="1">
        <f t="shared" ca="1" si="322"/>
        <v>18</v>
      </c>
      <c r="GV85" s="1">
        <f t="shared" ca="1" si="323"/>
        <v>0</v>
      </c>
      <c r="GW85" s="1">
        <f t="shared" ca="1" si="324"/>
        <v>1</v>
      </c>
      <c r="GX85" s="1" t="str">
        <f t="shared" ca="1" si="325"/>
        <v/>
      </c>
      <c r="GY85" s="1" t="str">
        <f t="shared" ca="1" si="326"/>
        <v/>
      </c>
      <c r="GZ85" s="1" t="str">
        <f t="shared" ca="1" si="327"/>
        <v/>
      </c>
      <c r="HA85" s="1" t="str">
        <f t="shared" ca="1" si="328"/>
        <v/>
      </c>
      <c r="HE85" s="1" t="e">
        <f>MATCH(CONCATENATE($B85,"_",INDEX($C$4:$C80,HE$65)),lu_DataCode,0)</f>
        <v>#N/A</v>
      </c>
      <c r="HF85" s="1" t="e">
        <f t="shared" ca="1" si="219"/>
        <v>#N/A</v>
      </c>
      <c r="HG85" s="1" t="e">
        <f t="shared" ca="1" si="220"/>
        <v>#N/A</v>
      </c>
      <c r="HH85" s="1">
        <f t="shared" ca="1" si="221"/>
        <v>0</v>
      </c>
      <c r="HI85" s="1">
        <f t="shared" ca="1" si="329"/>
        <v>-10000000000</v>
      </c>
      <c r="HJ85" s="1">
        <f ca="1">RANK(HI85,HI$68:HI$93,HI$65)+COUNTIF(HI$68:HI85,HI85)-1</f>
        <v>18</v>
      </c>
      <c r="HK85" s="1">
        <f t="shared" ca="1" si="330"/>
        <v>18</v>
      </c>
      <c r="HL85" s="1">
        <f t="shared" ca="1" si="331"/>
        <v>0</v>
      </c>
      <c r="HM85" s="1">
        <f t="shared" ca="1" si="332"/>
        <v>1</v>
      </c>
      <c r="HN85" s="1" t="str">
        <f t="shared" ca="1" si="333"/>
        <v/>
      </c>
      <c r="HO85" s="1" t="str">
        <f t="shared" ca="1" si="334"/>
        <v/>
      </c>
      <c r="HP85" s="1" t="str">
        <f t="shared" ca="1" si="335"/>
        <v/>
      </c>
      <c r="HQ85" s="1" t="str">
        <f t="shared" ca="1" si="336"/>
        <v/>
      </c>
      <c r="HU85" s="1" t="e">
        <f>MATCH(CONCATENATE($B85,"_",INDEX($C$4:$C80,HU$65)),lu_DataCode,0)</f>
        <v>#N/A</v>
      </c>
      <c r="HV85" s="1" t="e">
        <f t="shared" ca="1" si="222"/>
        <v>#N/A</v>
      </c>
      <c r="HW85" s="1" t="e">
        <f t="shared" ca="1" si="223"/>
        <v>#N/A</v>
      </c>
      <c r="HX85" s="1">
        <f t="shared" ca="1" si="224"/>
        <v>0</v>
      </c>
      <c r="HY85" s="1">
        <f t="shared" ca="1" si="337"/>
        <v>-10000000000</v>
      </c>
      <c r="HZ85" s="1">
        <f ca="1">RANK(HY85,HY$68:HY$93,HY$65)+COUNTIF(HY$68:HY85,HY85)-1</f>
        <v>18</v>
      </c>
      <c r="IA85" s="1">
        <f t="shared" ca="1" si="338"/>
        <v>18</v>
      </c>
      <c r="IB85" s="1">
        <f t="shared" ca="1" si="339"/>
        <v>0</v>
      </c>
      <c r="IC85" s="1">
        <f t="shared" ca="1" si="340"/>
        <v>1</v>
      </c>
      <c r="ID85" s="1" t="str">
        <f t="shared" ca="1" si="341"/>
        <v/>
      </c>
      <c r="IE85" s="1" t="str">
        <f t="shared" ca="1" si="342"/>
        <v/>
      </c>
      <c r="IF85" s="1" t="str">
        <f t="shared" ca="1" si="343"/>
        <v/>
      </c>
      <c r="IG85" s="1" t="str">
        <f t="shared" ca="1" si="344"/>
        <v/>
      </c>
    </row>
    <row r="86" spans="1:241" x14ac:dyDescent="0.2">
      <c r="A86" s="1">
        <f t="shared" ref="A86:D86" si="364">A55</f>
        <v>19</v>
      </c>
      <c r="B86" s="1" t="str">
        <f t="shared" si="364"/>
        <v>NAC_PA_1</v>
      </c>
      <c r="C86" s="1" t="str">
        <f t="shared" si="364"/>
        <v>Panamá</v>
      </c>
      <c r="D86" s="1">
        <f t="shared" si="364"/>
        <v>1</v>
      </c>
      <c r="E86" s="1" t="e">
        <f>MATCH(CONCATENATE($B86,"_",INDEX($C$4:$C81,E$65)),lu_DataCode,0)</f>
        <v>#N/A</v>
      </c>
      <c r="F86" s="1" t="e">
        <f t="shared" ca="1" si="346"/>
        <v>#N/A</v>
      </c>
      <c r="G86" s="1" t="e">
        <f t="shared" ca="1" si="347"/>
        <v>#N/A</v>
      </c>
      <c r="H86" s="1">
        <f t="shared" ca="1" si="348"/>
        <v>0</v>
      </c>
      <c r="I86" s="1">
        <f t="shared" ca="1" si="225"/>
        <v>-10000000000</v>
      </c>
      <c r="J86" s="1">
        <f ca="1">RANK(I86,I$68:I$93,I$65)+COUNTIF(I$68:I86,I86)-1</f>
        <v>19</v>
      </c>
      <c r="K86" s="1">
        <f t="shared" ca="1" si="349"/>
        <v>19</v>
      </c>
      <c r="L86" s="1">
        <f t="shared" ca="1" si="350"/>
        <v>0</v>
      </c>
      <c r="M86" s="1">
        <f t="shared" ca="1" si="228"/>
        <v>1</v>
      </c>
      <c r="N86" s="1" t="str">
        <f t="shared" ca="1" si="229"/>
        <v/>
      </c>
      <c r="O86" s="1" t="str">
        <f t="shared" ca="1" si="230"/>
        <v/>
      </c>
      <c r="P86" s="1" t="str">
        <f t="shared" ca="1" si="351"/>
        <v/>
      </c>
      <c r="Q86" s="1" t="str">
        <f t="shared" ca="1" si="352"/>
        <v/>
      </c>
      <c r="U86" s="1" t="e">
        <f>MATCH(CONCATENATE($B86,"_",INDEX($C$4:$C81,U$65)),lu_DataCode,0)</f>
        <v>#N/A</v>
      </c>
      <c r="V86" s="1" t="e">
        <f t="shared" ca="1" si="353"/>
        <v>#N/A</v>
      </c>
      <c r="W86" s="1" t="e">
        <f t="shared" ca="1" si="354"/>
        <v>#N/A</v>
      </c>
      <c r="X86" s="1">
        <f t="shared" ca="1" si="355"/>
        <v>0</v>
      </c>
      <c r="Y86" s="1">
        <f t="shared" ca="1" si="233"/>
        <v>-10000000000</v>
      </c>
      <c r="Z86" s="1">
        <f ca="1">RANK(Y86,Y$68:Y$93,Y$65)+COUNTIF(Y$68:Y86,Y86)-1</f>
        <v>19</v>
      </c>
      <c r="AA86" s="1">
        <f t="shared" ca="1" si="234"/>
        <v>19</v>
      </c>
      <c r="AB86" s="1">
        <f t="shared" ca="1" si="235"/>
        <v>0</v>
      </c>
      <c r="AC86" s="1">
        <f t="shared" ca="1" si="236"/>
        <v>1</v>
      </c>
      <c r="AD86" s="1" t="str">
        <f t="shared" ca="1" si="237"/>
        <v/>
      </c>
      <c r="AE86" s="1" t="str">
        <f t="shared" ca="1" si="238"/>
        <v/>
      </c>
      <c r="AF86" s="1" t="str">
        <f t="shared" ca="1" si="239"/>
        <v/>
      </c>
      <c r="AG86" s="1" t="str">
        <f t="shared" ca="1" si="240"/>
        <v/>
      </c>
      <c r="AK86" s="1" t="e">
        <f>MATCH(CONCATENATE($B86,"_",INDEX($C$4:$C81,AK$65)),lu_DataCode,0)</f>
        <v>#N/A</v>
      </c>
      <c r="AL86" s="1" t="e">
        <f t="shared" ca="1" si="186"/>
        <v>#N/A</v>
      </c>
      <c r="AM86" s="1" t="e">
        <f t="shared" ca="1" si="187"/>
        <v>#N/A</v>
      </c>
      <c r="AN86" s="1">
        <f t="shared" ca="1" si="188"/>
        <v>0</v>
      </c>
      <c r="AO86" s="1">
        <f t="shared" ca="1" si="241"/>
        <v>-10000000000</v>
      </c>
      <c r="AP86" s="1">
        <f ca="1">RANK(AO86,AO$68:AO$93,AO$65)+COUNTIF(AO$68:AO86,AO86)-1</f>
        <v>19</v>
      </c>
      <c r="AQ86" s="1">
        <f t="shared" ca="1" si="242"/>
        <v>19</v>
      </c>
      <c r="AR86" s="1">
        <f t="shared" ca="1" si="243"/>
        <v>0</v>
      </c>
      <c r="AS86" s="1">
        <f t="shared" ca="1" si="244"/>
        <v>1</v>
      </c>
      <c r="AT86" s="1" t="str">
        <f t="shared" ca="1" si="245"/>
        <v/>
      </c>
      <c r="AU86" s="1" t="str">
        <f t="shared" ca="1" si="246"/>
        <v/>
      </c>
      <c r="AV86" s="1" t="str">
        <f t="shared" ca="1" si="247"/>
        <v/>
      </c>
      <c r="AW86" s="1" t="str">
        <f t="shared" ca="1" si="248"/>
        <v/>
      </c>
      <c r="BA86" s="1" t="e">
        <f>MATCH(CONCATENATE($B86,"_",INDEX($C$4:$C81,BA$65)),lu_DataCode,0)</f>
        <v>#N/A</v>
      </c>
      <c r="BB86" s="1" t="e">
        <f t="shared" ca="1" si="189"/>
        <v>#N/A</v>
      </c>
      <c r="BC86" s="1" t="e">
        <f t="shared" ca="1" si="190"/>
        <v>#N/A</v>
      </c>
      <c r="BD86" s="1">
        <f t="shared" ca="1" si="191"/>
        <v>0</v>
      </c>
      <c r="BE86" s="1">
        <f t="shared" ca="1" si="249"/>
        <v>-10000000000</v>
      </c>
      <c r="BF86" s="1">
        <f ca="1">RANK(BE86,BE$68:BE$93,BE$65)+COUNTIF(BE$68:BE86,BE86)-1</f>
        <v>19</v>
      </c>
      <c r="BG86" s="1">
        <f t="shared" ca="1" si="250"/>
        <v>19</v>
      </c>
      <c r="BH86" s="1">
        <f t="shared" ca="1" si="251"/>
        <v>0</v>
      </c>
      <c r="BI86" s="1">
        <f t="shared" ca="1" si="252"/>
        <v>1</v>
      </c>
      <c r="BJ86" s="1" t="str">
        <f t="shared" ca="1" si="253"/>
        <v/>
      </c>
      <c r="BK86" s="1" t="str">
        <f t="shared" ca="1" si="254"/>
        <v/>
      </c>
      <c r="BL86" s="1" t="str">
        <f t="shared" ca="1" si="255"/>
        <v/>
      </c>
      <c r="BM86" s="1" t="str">
        <f t="shared" ca="1" si="256"/>
        <v/>
      </c>
      <c r="BQ86" s="1" t="e">
        <f>MATCH(CONCATENATE($B86,"_",INDEX($C$4:$C81,BQ$65)),lu_DataCode,0)</f>
        <v>#N/A</v>
      </c>
      <c r="BR86" s="1" t="e">
        <f t="shared" ca="1" si="192"/>
        <v>#N/A</v>
      </c>
      <c r="BS86" s="1" t="e">
        <f t="shared" ca="1" si="193"/>
        <v>#N/A</v>
      </c>
      <c r="BT86" s="1">
        <f t="shared" ca="1" si="194"/>
        <v>0</v>
      </c>
      <c r="BU86" s="1">
        <f t="shared" ca="1" si="257"/>
        <v>-10000000000</v>
      </c>
      <c r="BV86" s="1">
        <f ca="1">RANK(BU86,BU$68:BU$93,BU$65)+COUNTIF(BU$68:BU86,BU86)-1</f>
        <v>19</v>
      </c>
      <c r="BW86" s="1">
        <f t="shared" ca="1" si="258"/>
        <v>19</v>
      </c>
      <c r="BX86" s="1">
        <f t="shared" ca="1" si="259"/>
        <v>0</v>
      </c>
      <c r="BY86" s="1">
        <f t="shared" ca="1" si="260"/>
        <v>1</v>
      </c>
      <c r="BZ86" s="1" t="str">
        <f t="shared" ca="1" si="261"/>
        <v/>
      </c>
      <c r="CA86" s="1" t="str">
        <f t="shared" ca="1" si="262"/>
        <v/>
      </c>
      <c r="CB86" s="1" t="str">
        <f t="shared" ca="1" si="263"/>
        <v/>
      </c>
      <c r="CC86" s="1" t="str">
        <f t="shared" ca="1" si="264"/>
        <v/>
      </c>
      <c r="CG86" s="1" t="e">
        <f>MATCH(CONCATENATE($B86,"_",INDEX($C$4:$C81,CG$65)),lu_DataCode,0)</f>
        <v>#N/A</v>
      </c>
      <c r="CH86" s="1" t="e">
        <f t="shared" ca="1" si="195"/>
        <v>#N/A</v>
      </c>
      <c r="CI86" s="1" t="e">
        <f t="shared" ca="1" si="196"/>
        <v>#N/A</v>
      </c>
      <c r="CJ86" s="1">
        <f t="shared" ca="1" si="197"/>
        <v>0</v>
      </c>
      <c r="CK86" s="1">
        <f t="shared" ca="1" si="265"/>
        <v>-10000000000</v>
      </c>
      <c r="CL86" s="1">
        <f ca="1">RANK(CK86,CK$68:CK$93,CK$65)+COUNTIF(CK$68:CK86,CK86)-1</f>
        <v>19</v>
      </c>
      <c r="CM86" s="1">
        <f t="shared" ca="1" si="266"/>
        <v>19</v>
      </c>
      <c r="CN86" s="1">
        <f t="shared" ca="1" si="267"/>
        <v>0</v>
      </c>
      <c r="CO86" s="1">
        <f t="shared" ca="1" si="268"/>
        <v>1</v>
      </c>
      <c r="CP86" s="1" t="str">
        <f t="shared" ca="1" si="269"/>
        <v/>
      </c>
      <c r="CQ86" s="1" t="str">
        <f t="shared" ca="1" si="270"/>
        <v/>
      </c>
      <c r="CR86" s="1" t="str">
        <f t="shared" ca="1" si="271"/>
        <v/>
      </c>
      <c r="CS86" s="1" t="str">
        <f t="shared" ca="1" si="272"/>
        <v/>
      </c>
      <c r="CW86" s="1" t="e">
        <f>MATCH(CONCATENATE($B86,"_",INDEX($C$4:$C81,CW$65)),lu_DataCode,0)</f>
        <v>#N/A</v>
      </c>
      <c r="CX86" s="1" t="e">
        <f t="shared" ca="1" si="198"/>
        <v>#N/A</v>
      </c>
      <c r="CY86" s="1" t="e">
        <f t="shared" ca="1" si="199"/>
        <v>#N/A</v>
      </c>
      <c r="CZ86" s="1">
        <f t="shared" ca="1" si="200"/>
        <v>0</v>
      </c>
      <c r="DA86" s="1">
        <f t="shared" ca="1" si="273"/>
        <v>-10000000000</v>
      </c>
      <c r="DB86" s="1">
        <f ca="1">RANK(DA86,DA$68:DA$93,DA$65)+COUNTIF(DA$68:DA86,DA86)-1</f>
        <v>19</v>
      </c>
      <c r="DC86" s="1">
        <f t="shared" ca="1" si="274"/>
        <v>19</v>
      </c>
      <c r="DD86" s="1">
        <f t="shared" ca="1" si="275"/>
        <v>0</v>
      </c>
      <c r="DE86" s="1">
        <f t="shared" ca="1" si="276"/>
        <v>1</v>
      </c>
      <c r="DF86" s="1" t="str">
        <f t="shared" ca="1" si="277"/>
        <v/>
      </c>
      <c r="DG86" s="1" t="str">
        <f t="shared" ca="1" si="278"/>
        <v/>
      </c>
      <c r="DH86" s="1" t="str">
        <f t="shared" ca="1" si="279"/>
        <v/>
      </c>
      <c r="DI86" s="1" t="str">
        <f t="shared" ca="1" si="280"/>
        <v/>
      </c>
      <c r="DM86" s="1" t="e">
        <f>MATCH(CONCATENATE($B86,"_",INDEX($C$4:$C81,DM$65)),lu_DataCode,0)</f>
        <v>#N/A</v>
      </c>
      <c r="DN86" s="1" t="e">
        <f t="shared" ca="1" si="201"/>
        <v>#N/A</v>
      </c>
      <c r="DO86" s="1" t="e">
        <f t="shared" ca="1" si="202"/>
        <v>#N/A</v>
      </c>
      <c r="DP86" s="1">
        <f t="shared" ca="1" si="203"/>
        <v>0</v>
      </c>
      <c r="DQ86" s="1">
        <f t="shared" ca="1" si="281"/>
        <v>-10000000000</v>
      </c>
      <c r="DR86" s="1">
        <f ca="1">RANK(DQ86,DQ$68:DQ$93,DQ$65)+COUNTIF(DQ$68:DQ86,DQ86)-1</f>
        <v>19</v>
      </c>
      <c r="DS86" s="1">
        <f t="shared" ca="1" si="282"/>
        <v>19</v>
      </c>
      <c r="DT86" s="1">
        <f t="shared" ca="1" si="283"/>
        <v>0</v>
      </c>
      <c r="DU86" s="1">
        <f t="shared" ca="1" si="284"/>
        <v>1</v>
      </c>
      <c r="DV86" s="1" t="str">
        <f t="shared" ca="1" si="285"/>
        <v/>
      </c>
      <c r="DW86" s="1" t="str">
        <f t="shared" ca="1" si="286"/>
        <v/>
      </c>
      <c r="DX86" s="1" t="str">
        <f t="shared" ca="1" si="287"/>
        <v/>
      </c>
      <c r="DY86" s="1" t="str">
        <f t="shared" ca="1" si="288"/>
        <v/>
      </c>
      <c r="EC86" s="1" t="e">
        <f>MATCH(CONCATENATE($B86,"_",INDEX($C$4:$C81,EC$65)),lu_DataCode,0)</f>
        <v>#N/A</v>
      </c>
      <c r="ED86" s="1" t="e">
        <f t="shared" ca="1" si="204"/>
        <v>#N/A</v>
      </c>
      <c r="EE86" s="1" t="e">
        <f t="shared" ca="1" si="205"/>
        <v>#N/A</v>
      </c>
      <c r="EF86" s="1">
        <f t="shared" ca="1" si="206"/>
        <v>0</v>
      </c>
      <c r="EG86" s="1">
        <f t="shared" ca="1" si="289"/>
        <v>-10000000000</v>
      </c>
      <c r="EH86" s="1">
        <f ca="1">RANK(EG86,EG$68:EG$93,EG$65)+COUNTIF(EG$68:EG86,EG86)-1</f>
        <v>19</v>
      </c>
      <c r="EI86" s="1">
        <f t="shared" ca="1" si="290"/>
        <v>19</v>
      </c>
      <c r="EJ86" s="1">
        <f t="shared" ca="1" si="291"/>
        <v>0</v>
      </c>
      <c r="EK86" s="1">
        <f t="shared" ca="1" si="292"/>
        <v>1</v>
      </c>
      <c r="EL86" s="1" t="str">
        <f t="shared" ca="1" si="293"/>
        <v/>
      </c>
      <c r="EM86" s="1" t="str">
        <f t="shared" ca="1" si="294"/>
        <v/>
      </c>
      <c r="EN86" s="1" t="str">
        <f t="shared" ca="1" si="295"/>
        <v/>
      </c>
      <c r="EO86" s="1" t="str">
        <f t="shared" ca="1" si="296"/>
        <v/>
      </c>
      <c r="ES86" s="1" t="e">
        <f>MATCH(CONCATENATE($B86,"_",INDEX($C$4:$C81,ES$65)),lu_DataCode,0)</f>
        <v>#N/A</v>
      </c>
      <c r="ET86" s="1" t="e">
        <f t="shared" ca="1" si="207"/>
        <v>#N/A</v>
      </c>
      <c r="EU86" s="1" t="e">
        <f t="shared" ca="1" si="208"/>
        <v>#N/A</v>
      </c>
      <c r="EV86" s="1">
        <f t="shared" ca="1" si="209"/>
        <v>0</v>
      </c>
      <c r="EW86" s="1">
        <f t="shared" ca="1" si="297"/>
        <v>-10000000000</v>
      </c>
      <c r="EX86" s="1">
        <f ca="1">RANK(EW86,EW$68:EW$93,EW$65)+COUNTIF(EW$68:EW86,EW86)-1</f>
        <v>19</v>
      </c>
      <c r="EY86" s="1">
        <f t="shared" ca="1" si="298"/>
        <v>19</v>
      </c>
      <c r="EZ86" s="1">
        <f t="shared" ca="1" si="299"/>
        <v>0</v>
      </c>
      <c r="FA86" s="1">
        <f t="shared" ca="1" si="300"/>
        <v>1</v>
      </c>
      <c r="FB86" s="1" t="str">
        <f t="shared" ca="1" si="301"/>
        <v/>
      </c>
      <c r="FC86" s="1" t="str">
        <f t="shared" ca="1" si="302"/>
        <v/>
      </c>
      <c r="FD86" s="1" t="str">
        <f t="shared" ca="1" si="303"/>
        <v/>
      </c>
      <c r="FE86" s="1" t="str">
        <f t="shared" ca="1" si="304"/>
        <v/>
      </c>
      <c r="FI86" s="1" t="e">
        <f>MATCH(CONCATENATE($B86,"_",INDEX($C$4:$C81,FI$65)),lu_DataCode,0)</f>
        <v>#N/A</v>
      </c>
      <c r="FJ86" s="1" t="e">
        <f t="shared" ca="1" si="210"/>
        <v>#N/A</v>
      </c>
      <c r="FK86" s="1" t="e">
        <f t="shared" ca="1" si="211"/>
        <v>#N/A</v>
      </c>
      <c r="FL86" s="1">
        <f t="shared" ca="1" si="212"/>
        <v>0</v>
      </c>
      <c r="FM86" s="1">
        <f t="shared" ca="1" si="305"/>
        <v>-10000000000</v>
      </c>
      <c r="FN86" s="1">
        <f ca="1">RANK(FM86,FM$68:FM$93,FM$65)+COUNTIF(FM$68:FM86,FM86)-1</f>
        <v>19</v>
      </c>
      <c r="FO86" s="1">
        <f t="shared" ca="1" si="306"/>
        <v>19</v>
      </c>
      <c r="FP86" s="1">
        <f t="shared" ca="1" si="307"/>
        <v>0</v>
      </c>
      <c r="FQ86" s="1">
        <f t="shared" ca="1" si="308"/>
        <v>1</v>
      </c>
      <c r="FR86" s="1" t="str">
        <f t="shared" ca="1" si="309"/>
        <v/>
      </c>
      <c r="FS86" s="1" t="str">
        <f t="shared" ca="1" si="310"/>
        <v/>
      </c>
      <c r="FT86" s="1" t="str">
        <f t="shared" ca="1" si="311"/>
        <v/>
      </c>
      <c r="FU86" s="1" t="str">
        <f t="shared" ca="1" si="312"/>
        <v/>
      </c>
      <c r="FY86" s="1" t="e">
        <f>MATCH(CONCATENATE($B86,"_",INDEX($C$4:$C81,FY$65)),lu_DataCode,0)</f>
        <v>#N/A</v>
      </c>
      <c r="FZ86" s="1" t="e">
        <f t="shared" ca="1" si="213"/>
        <v>#N/A</v>
      </c>
      <c r="GA86" s="1" t="e">
        <f t="shared" ca="1" si="214"/>
        <v>#N/A</v>
      </c>
      <c r="GB86" s="1">
        <f t="shared" ca="1" si="215"/>
        <v>0</v>
      </c>
      <c r="GC86" s="1">
        <f t="shared" ca="1" si="313"/>
        <v>-10000000000</v>
      </c>
      <c r="GD86" s="1">
        <f ca="1">RANK(GC86,GC$68:GC$93,GC$65)+COUNTIF(GC$68:GC86,GC86)-1</f>
        <v>19</v>
      </c>
      <c r="GE86" s="1">
        <f t="shared" ca="1" si="314"/>
        <v>19</v>
      </c>
      <c r="GF86" s="1">
        <f t="shared" ca="1" si="315"/>
        <v>0</v>
      </c>
      <c r="GG86" s="1">
        <f t="shared" ca="1" si="316"/>
        <v>1</v>
      </c>
      <c r="GH86" s="1" t="str">
        <f t="shared" ca="1" si="317"/>
        <v/>
      </c>
      <c r="GI86" s="1" t="str">
        <f t="shared" ca="1" si="318"/>
        <v/>
      </c>
      <c r="GJ86" s="1" t="str">
        <f t="shared" ca="1" si="319"/>
        <v/>
      </c>
      <c r="GK86" s="1" t="str">
        <f t="shared" ca="1" si="320"/>
        <v/>
      </c>
      <c r="GO86" s="1" t="e">
        <f>MATCH(CONCATENATE($B86,"_",INDEX($C$4:$C81,GO$65)),lu_DataCode,0)</f>
        <v>#N/A</v>
      </c>
      <c r="GP86" s="1" t="e">
        <f t="shared" ca="1" si="216"/>
        <v>#N/A</v>
      </c>
      <c r="GQ86" s="1" t="e">
        <f t="shared" ca="1" si="217"/>
        <v>#N/A</v>
      </c>
      <c r="GR86" s="1">
        <f t="shared" ca="1" si="218"/>
        <v>0</v>
      </c>
      <c r="GS86" s="1">
        <f t="shared" ca="1" si="321"/>
        <v>-10000000000</v>
      </c>
      <c r="GT86" s="1">
        <f ca="1">RANK(GS86,GS$68:GS$93,GS$65)+COUNTIF(GS$68:GS86,GS86)-1</f>
        <v>19</v>
      </c>
      <c r="GU86" s="1">
        <f t="shared" ca="1" si="322"/>
        <v>19</v>
      </c>
      <c r="GV86" s="1">
        <f t="shared" ca="1" si="323"/>
        <v>0</v>
      </c>
      <c r="GW86" s="1">
        <f t="shared" ca="1" si="324"/>
        <v>1</v>
      </c>
      <c r="GX86" s="1" t="str">
        <f t="shared" ca="1" si="325"/>
        <v/>
      </c>
      <c r="GY86" s="1" t="str">
        <f t="shared" ca="1" si="326"/>
        <v/>
      </c>
      <c r="GZ86" s="1" t="str">
        <f t="shared" ca="1" si="327"/>
        <v/>
      </c>
      <c r="HA86" s="1" t="str">
        <f t="shared" ca="1" si="328"/>
        <v/>
      </c>
      <c r="HE86" s="1" t="e">
        <f>MATCH(CONCATENATE($B86,"_",INDEX($C$4:$C81,HE$65)),lu_DataCode,0)</f>
        <v>#N/A</v>
      </c>
      <c r="HF86" s="1" t="e">
        <f t="shared" ca="1" si="219"/>
        <v>#N/A</v>
      </c>
      <c r="HG86" s="1" t="e">
        <f t="shared" ca="1" si="220"/>
        <v>#N/A</v>
      </c>
      <c r="HH86" s="1">
        <f t="shared" ca="1" si="221"/>
        <v>0</v>
      </c>
      <c r="HI86" s="1">
        <f t="shared" ca="1" si="329"/>
        <v>-10000000000</v>
      </c>
      <c r="HJ86" s="1">
        <f ca="1">RANK(HI86,HI$68:HI$93,HI$65)+COUNTIF(HI$68:HI86,HI86)-1</f>
        <v>19</v>
      </c>
      <c r="HK86" s="1">
        <f t="shared" ca="1" si="330"/>
        <v>19</v>
      </c>
      <c r="HL86" s="1">
        <f t="shared" ca="1" si="331"/>
        <v>0</v>
      </c>
      <c r="HM86" s="1">
        <f t="shared" ca="1" si="332"/>
        <v>1</v>
      </c>
      <c r="HN86" s="1" t="str">
        <f t="shared" ca="1" si="333"/>
        <v/>
      </c>
      <c r="HO86" s="1" t="str">
        <f t="shared" ca="1" si="334"/>
        <v/>
      </c>
      <c r="HP86" s="1" t="str">
        <f t="shared" ca="1" si="335"/>
        <v/>
      </c>
      <c r="HQ86" s="1" t="str">
        <f t="shared" ca="1" si="336"/>
        <v/>
      </c>
      <c r="HU86" s="1" t="e">
        <f>MATCH(CONCATENATE($B86,"_",INDEX($C$4:$C81,HU$65)),lu_DataCode,0)</f>
        <v>#N/A</v>
      </c>
      <c r="HV86" s="1" t="e">
        <f t="shared" ca="1" si="222"/>
        <v>#N/A</v>
      </c>
      <c r="HW86" s="1" t="e">
        <f t="shared" ca="1" si="223"/>
        <v>#N/A</v>
      </c>
      <c r="HX86" s="1">
        <f t="shared" ca="1" si="224"/>
        <v>0</v>
      </c>
      <c r="HY86" s="1">
        <f t="shared" ca="1" si="337"/>
        <v>-10000000000</v>
      </c>
      <c r="HZ86" s="1">
        <f ca="1">RANK(HY86,HY$68:HY$93,HY$65)+COUNTIF(HY$68:HY86,HY86)-1</f>
        <v>19</v>
      </c>
      <c r="IA86" s="1">
        <f t="shared" ca="1" si="338"/>
        <v>19</v>
      </c>
      <c r="IB86" s="1">
        <f t="shared" ca="1" si="339"/>
        <v>0</v>
      </c>
      <c r="IC86" s="1">
        <f t="shared" ca="1" si="340"/>
        <v>1</v>
      </c>
      <c r="ID86" s="1" t="str">
        <f t="shared" ca="1" si="341"/>
        <v/>
      </c>
      <c r="IE86" s="1" t="str">
        <f t="shared" ca="1" si="342"/>
        <v/>
      </c>
      <c r="IF86" s="1" t="str">
        <f t="shared" ca="1" si="343"/>
        <v/>
      </c>
      <c r="IG86" s="1" t="str">
        <f t="shared" ca="1" si="344"/>
        <v/>
      </c>
    </row>
    <row r="87" spans="1:241" x14ac:dyDescent="0.2">
      <c r="A87" s="1">
        <f t="shared" ref="A87:D87" si="365">A56</f>
        <v>20</v>
      </c>
      <c r="B87" s="1" t="str">
        <f t="shared" si="365"/>
        <v>NAC_PY_1</v>
      </c>
      <c r="C87" s="1" t="str">
        <f t="shared" si="365"/>
        <v>Paraguay</v>
      </c>
      <c r="D87" s="1">
        <f t="shared" si="365"/>
        <v>1</v>
      </c>
      <c r="E87" s="1" t="e">
        <f>MATCH(CONCATENATE($B87,"_",INDEX($C$4:$C82,E$65)),lu_DataCode,0)</f>
        <v>#N/A</v>
      </c>
      <c r="F87" s="1" t="e">
        <f t="shared" ca="1" si="346"/>
        <v>#N/A</v>
      </c>
      <c r="G87" s="1" t="e">
        <f t="shared" ca="1" si="347"/>
        <v>#N/A</v>
      </c>
      <c r="H87" s="1">
        <f t="shared" ca="1" si="348"/>
        <v>0</v>
      </c>
      <c r="I87" s="1">
        <f t="shared" ca="1" si="225"/>
        <v>-10000000000</v>
      </c>
      <c r="J87" s="1">
        <f ca="1">RANK(I87,I$68:I$93,I$65)+COUNTIF(I$68:I87,I87)-1</f>
        <v>20</v>
      </c>
      <c r="K87" s="1">
        <f t="shared" ca="1" si="349"/>
        <v>20</v>
      </c>
      <c r="L87" s="1">
        <f t="shared" ca="1" si="350"/>
        <v>0</v>
      </c>
      <c r="M87" s="1">
        <f t="shared" ca="1" si="228"/>
        <v>1</v>
      </c>
      <c r="N87" s="1" t="str">
        <f t="shared" ca="1" si="229"/>
        <v/>
      </c>
      <c r="O87" s="1" t="str">
        <f t="shared" ca="1" si="230"/>
        <v/>
      </c>
      <c r="P87" s="1" t="str">
        <f t="shared" ca="1" si="351"/>
        <v/>
      </c>
      <c r="Q87" s="1" t="str">
        <f t="shared" ca="1" si="352"/>
        <v/>
      </c>
      <c r="U87" s="1" t="e">
        <f>MATCH(CONCATENATE($B87,"_",INDEX($C$4:$C82,U$65)),lu_DataCode,0)</f>
        <v>#N/A</v>
      </c>
      <c r="V87" s="1" t="e">
        <f t="shared" ca="1" si="353"/>
        <v>#N/A</v>
      </c>
      <c r="W87" s="1" t="e">
        <f t="shared" ca="1" si="354"/>
        <v>#N/A</v>
      </c>
      <c r="X87" s="1">
        <f t="shared" ca="1" si="355"/>
        <v>0</v>
      </c>
      <c r="Y87" s="1">
        <f t="shared" ca="1" si="233"/>
        <v>-10000000000</v>
      </c>
      <c r="Z87" s="1">
        <f ca="1">RANK(Y87,Y$68:Y$93,Y$65)+COUNTIF(Y$68:Y87,Y87)-1</f>
        <v>20</v>
      </c>
      <c r="AA87" s="1">
        <f t="shared" ca="1" si="234"/>
        <v>20</v>
      </c>
      <c r="AB87" s="1">
        <f t="shared" ca="1" si="235"/>
        <v>0</v>
      </c>
      <c r="AC87" s="1">
        <f t="shared" ca="1" si="236"/>
        <v>1</v>
      </c>
      <c r="AD87" s="1" t="str">
        <f t="shared" ca="1" si="237"/>
        <v/>
      </c>
      <c r="AE87" s="1" t="str">
        <f t="shared" ca="1" si="238"/>
        <v/>
      </c>
      <c r="AF87" s="1" t="str">
        <f t="shared" ca="1" si="239"/>
        <v/>
      </c>
      <c r="AG87" s="1" t="str">
        <f t="shared" ca="1" si="240"/>
        <v/>
      </c>
      <c r="AK87" s="1" t="e">
        <f>MATCH(CONCATENATE($B87,"_",INDEX($C$4:$C82,AK$65)),lu_DataCode,0)</f>
        <v>#N/A</v>
      </c>
      <c r="AL87" s="1" t="e">
        <f t="shared" ca="1" si="186"/>
        <v>#N/A</v>
      </c>
      <c r="AM87" s="1" t="e">
        <f t="shared" ca="1" si="187"/>
        <v>#N/A</v>
      </c>
      <c r="AN87" s="1">
        <f t="shared" ca="1" si="188"/>
        <v>0</v>
      </c>
      <c r="AO87" s="1">
        <f t="shared" ca="1" si="241"/>
        <v>-10000000000</v>
      </c>
      <c r="AP87" s="1">
        <f ca="1">RANK(AO87,AO$68:AO$93,AO$65)+COUNTIF(AO$68:AO87,AO87)-1</f>
        <v>20</v>
      </c>
      <c r="AQ87" s="1">
        <f t="shared" ca="1" si="242"/>
        <v>20</v>
      </c>
      <c r="AR87" s="1">
        <f t="shared" ca="1" si="243"/>
        <v>0</v>
      </c>
      <c r="AS87" s="1">
        <f t="shared" ca="1" si="244"/>
        <v>1</v>
      </c>
      <c r="AT87" s="1" t="str">
        <f t="shared" ca="1" si="245"/>
        <v/>
      </c>
      <c r="AU87" s="1" t="str">
        <f t="shared" ca="1" si="246"/>
        <v/>
      </c>
      <c r="AV87" s="1" t="str">
        <f t="shared" ca="1" si="247"/>
        <v/>
      </c>
      <c r="AW87" s="1" t="str">
        <f t="shared" ca="1" si="248"/>
        <v/>
      </c>
      <c r="BA87" s="1" t="e">
        <f>MATCH(CONCATENATE($B87,"_",INDEX($C$4:$C82,BA$65)),lu_DataCode,0)</f>
        <v>#N/A</v>
      </c>
      <c r="BB87" s="1" t="e">
        <f t="shared" ca="1" si="189"/>
        <v>#N/A</v>
      </c>
      <c r="BC87" s="1" t="e">
        <f t="shared" ca="1" si="190"/>
        <v>#N/A</v>
      </c>
      <c r="BD87" s="1">
        <f t="shared" ca="1" si="191"/>
        <v>0</v>
      </c>
      <c r="BE87" s="1">
        <f t="shared" ca="1" si="249"/>
        <v>-10000000000</v>
      </c>
      <c r="BF87" s="1">
        <f ca="1">RANK(BE87,BE$68:BE$93,BE$65)+COUNTIF(BE$68:BE87,BE87)-1</f>
        <v>20</v>
      </c>
      <c r="BG87" s="1">
        <f t="shared" ca="1" si="250"/>
        <v>20</v>
      </c>
      <c r="BH87" s="1">
        <f t="shared" ca="1" si="251"/>
        <v>0</v>
      </c>
      <c r="BI87" s="1">
        <f t="shared" ca="1" si="252"/>
        <v>1</v>
      </c>
      <c r="BJ87" s="1" t="str">
        <f t="shared" ca="1" si="253"/>
        <v/>
      </c>
      <c r="BK87" s="1" t="str">
        <f t="shared" ca="1" si="254"/>
        <v/>
      </c>
      <c r="BL87" s="1" t="str">
        <f t="shared" ca="1" si="255"/>
        <v/>
      </c>
      <c r="BM87" s="1" t="str">
        <f t="shared" ca="1" si="256"/>
        <v/>
      </c>
      <c r="BQ87" s="1" t="e">
        <f>MATCH(CONCATENATE($B87,"_",INDEX($C$4:$C82,BQ$65)),lu_DataCode,0)</f>
        <v>#N/A</v>
      </c>
      <c r="BR87" s="1" t="e">
        <f t="shared" ca="1" si="192"/>
        <v>#N/A</v>
      </c>
      <c r="BS87" s="1" t="e">
        <f t="shared" ca="1" si="193"/>
        <v>#N/A</v>
      </c>
      <c r="BT87" s="1">
        <f t="shared" ca="1" si="194"/>
        <v>0</v>
      </c>
      <c r="BU87" s="1">
        <f t="shared" ca="1" si="257"/>
        <v>-10000000000</v>
      </c>
      <c r="BV87" s="1">
        <f ca="1">RANK(BU87,BU$68:BU$93,BU$65)+COUNTIF(BU$68:BU87,BU87)-1</f>
        <v>20</v>
      </c>
      <c r="BW87" s="1">
        <f t="shared" ca="1" si="258"/>
        <v>20</v>
      </c>
      <c r="BX87" s="1">
        <f t="shared" ca="1" si="259"/>
        <v>0</v>
      </c>
      <c r="BY87" s="1">
        <f t="shared" ca="1" si="260"/>
        <v>1</v>
      </c>
      <c r="BZ87" s="1" t="str">
        <f t="shared" ca="1" si="261"/>
        <v/>
      </c>
      <c r="CA87" s="1" t="str">
        <f t="shared" ca="1" si="262"/>
        <v/>
      </c>
      <c r="CB87" s="1" t="str">
        <f t="shared" ca="1" si="263"/>
        <v/>
      </c>
      <c r="CC87" s="1" t="str">
        <f t="shared" ca="1" si="264"/>
        <v/>
      </c>
      <c r="CG87" s="1" t="e">
        <f>MATCH(CONCATENATE($B87,"_",INDEX($C$4:$C82,CG$65)),lu_DataCode,0)</f>
        <v>#N/A</v>
      </c>
      <c r="CH87" s="1" t="e">
        <f t="shared" ca="1" si="195"/>
        <v>#N/A</v>
      </c>
      <c r="CI87" s="1" t="e">
        <f t="shared" ca="1" si="196"/>
        <v>#N/A</v>
      </c>
      <c r="CJ87" s="1">
        <f t="shared" ca="1" si="197"/>
        <v>0</v>
      </c>
      <c r="CK87" s="1">
        <f t="shared" ca="1" si="265"/>
        <v>-10000000000</v>
      </c>
      <c r="CL87" s="1">
        <f ca="1">RANK(CK87,CK$68:CK$93,CK$65)+COUNTIF(CK$68:CK87,CK87)-1</f>
        <v>20</v>
      </c>
      <c r="CM87" s="1">
        <f t="shared" ca="1" si="266"/>
        <v>20</v>
      </c>
      <c r="CN87" s="1">
        <f t="shared" ca="1" si="267"/>
        <v>0</v>
      </c>
      <c r="CO87" s="1">
        <f t="shared" ca="1" si="268"/>
        <v>1</v>
      </c>
      <c r="CP87" s="1" t="str">
        <f t="shared" ca="1" si="269"/>
        <v/>
      </c>
      <c r="CQ87" s="1" t="str">
        <f t="shared" ca="1" si="270"/>
        <v/>
      </c>
      <c r="CR87" s="1" t="str">
        <f t="shared" ca="1" si="271"/>
        <v/>
      </c>
      <c r="CS87" s="1" t="str">
        <f t="shared" ca="1" si="272"/>
        <v/>
      </c>
      <c r="CW87" s="1" t="e">
        <f>MATCH(CONCATENATE($B87,"_",INDEX($C$4:$C82,CW$65)),lu_DataCode,0)</f>
        <v>#N/A</v>
      </c>
      <c r="CX87" s="1" t="e">
        <f t="shared" ca="1" si="198"/>
        <v>#N/A</v>
      </c>
      <c r="CY87" s="1" t="e">
        <f t="shared" ca="1" si="199"/>
        <v>#N/A</v>
      </c>
      <c r="CZ87" s="1">
        <f t="shared" ca="1" si="200"/>
        <v>0</v>
      </c>
      <c r="DA87" s="1">
        <f t="shared" ca="1" si="273"/>
        <v>-10000000000</v>
      </c>
      <c r="DB87" s="1">
        <f ca="1">RANK(DA87,DA$68:DA$93,DA$65)+COUNTIF(DA$68:DA87,DA87)-1</f>
        <v>20</v>
      </c>
      <c r="DC87" s="1">
        <f t="shared" ca="1" si="274"/>
        <v>20</v>
      </c>
      <c r="DD87" s="1">
        <f t="shared" ca="1" si="275"/>
        <v>0</v>
      </c>
      <c r="DE87" s="1">
        <f t="shared" ca="1" si="276"/>
        <v>1</v>
      </c>
      <c r="DF87" s="1" t="str">
        <f t="shared" ca="1" si="277"/>
        <v/>
      </c>
      <c r="DG87" s="1" t="str">
        <f t="shared" ca="1" si="278"/>
        <v/>
      </c>
      <c r="DH87" s="1" t="str">
        <f t="shared" ca="1" si="279"/>
        <v/>
      </c>
      <c r="DI87" s="1" t="str">
        <f t="shared" ca="1" si="280"/>
        <v/>
      </c>
      <c r="DM87" s="1" t="e">
        <f>MATCH(CONCATENATE($B87,"_",INDEX($C$4:$C82,DM$65)),lu_DataCode,0)</f>
        <v>#N/A</v>
      </c>
      <c r="DN87" s="1" t="e">
        <f t="shared" ca="1" si="201"/>
        <v>#N/A</v>
      </c>
      <c r="DO87" s="1" t="e">
        <f t="shared" ca="1" si="202"/>
        <v>#N/A</v>
      </c>
      <c r="DP87" s="1">
        <f t="shared" ca="1" si="203"/>
        <v>0</v>
      </c>
      <c r="DQ87" s="1">
        <f t="shared" ca="1" si="281"/>
        <v>-10000000000</v>
      </c>
      <c r="DR87" s="1">
        <f ca="1">RANK(DQ87,DQ$68:DQ$93,DQ$65)+COUNTIF(DQ$68:DQ87,DQ87)-1</f>
        <v>20</v>
      </c>
      <c r="DS87" s="1">
        <f t="shared" ca="1" si="282"/>
        <v>20</v>
      </c>
      <c r="DT87" s="1">
        <f t="shared" ca="1" si="283"/>
        <v>0</v>
      </c>
      <c r="DU87" s="1">
        <f t="shared" ca="1" si="284"/>
        <v>1</v>
      </c>
      <c r="DV87" s="1" t="str">
        <f t="shared" ca="1" si="285"/>
        <v/>
      </c>
      <c r="DW87" s="1" t="str">
        <f t="shared" ca="1" si="286"/>
        <v/>
      </c>
      <c r="DX87" s="1" t="str">
        <f t="shared" ca="1" si="287"/>
        <v/>
      </c>
      <c r="DY87" s="1" t="str">
        <f t="shared" ca="1" si="288"/>
        <v/>
      </c>
      <c r="EC87" s="1" t="e">
        <f>MATCH(CONCATENATE($B87,"_",INDEX($C$4:$C82,EC$65)),lu_DataCode,0)</f>
        <v>#N/A</v>
      </c>
      <c r="ED87" s="1" t="e">
        <f t="shared" ca="1" si="204"/>
        <v>#N/A</v>
      </c>
      <c r="EE87" s="1" t="e">
        <f t="shared" ca="1" si="205"/>
        <v>#N/A</v>
      </c>
      <c r="EF87" s="1">
        <f t="shared" ca="1" si="206"/>
        <v>0</v>
      </c>
      <c r="EG87" s="1">
        <f t="shared" ca="1" si="289"/>
        <v>-10000000000</v>
      </c>
      <c r="EH87" s="1">
        <f ca="1">RANK(EG87,EG$68:EG$93,EG$65)+COUNTIF(EG$68:EG87,EG87)-1</f>
        <v>20</v>
      </c>
      <c r="EI87" s="1">
        <f t="shared" ca="1" si="290"/>
        <v>20</v>
      </c>
      <c r="EJ87" s="1">
        <f t="shared" ca="1" si="291"/>
        <v>0</v>
      </c>
      <c r="EK87" s="1">
        <f t="shared" ca="1" si="292"/>
        <v>1</v>
      </c>
      <c r="EL87" s="1" t="str">
        <f t="shared" ca="1" si="293"/>
        <v/>
      </c>
      <c r="EM87" s="1" t="str">
        <f t="shared" ca="1" si="294"/>
        <v/>
      </c>
      <c r="EN87" s="1" t="str">
        <f t="shared" ca="1" si="295"/>
        <v/>
      </c>
      <c r="EO87" s="1" t="str">
        <f t="shared" ca="1" si="296"/>
        <v/>
      </c>
      <c r="ES87" s="1" t="e">
        <f>MATCH(CONCATENATE($B87,"_",INDEX($C$4:$C82,ES$65)),lu_DataCode,0)</f>
        <v>#N/A</v>
      </c>
      <c r="ET87" s="1" t="e">
        <f t="shared" ca="1" si="207"/>
        <v>#N/A</v>
      </c>
      <c r="EU87" s="1" t="e">
        <f t="shared" ca="1" si="208"/>
        <v>#N/A</v>
      </c>
      <c r="EV87" s="1">
        <f t="shared" ca="1" si="209"/>
        <v>0</v>
      </c>
      <c r="EW87" s="1">
        <f t="shared" ca="1" si="297"/>
        <v>-10000000000</v>
      </c>
      <c r="EX87" s="1">
        <f ca="1">RANK(EW87,EW$68:EW$93,EW$65)+COUNTIF(EW$68:EW87,EW87)-1</f>
        <v>20</v>
      </c>
      <c r="EY87" s="1">
        <f t="shared" ca="1" si="298"/>
        <v>20</v>
      </c>
      <c r="EZ87" s="1">
        <f t="shared" ca="1" si="299"/>
        <v>0</v>
      </c>
      <c r="FA87" s="1">
        <f t="shared" ca="1" si="300"/>
        <v>1</v>
      </c>
      <c r="FB87" s="1" t="str">
        <f t="shared" ca="1" si="301"/>
        <v/>
      </c>
      <c r="FC87" s="1" t="str">
        <f t="shared" ca="1" si="302"/>
        <v/>
      </c>
      <c r="FD87" s="1" t="str">
        <f t="shared" ca="1" si="303"/>
        <v/>
      </c>
      <c r="FE87" s="1" t="str">
        <f t="shared" ca="1" si="304"/>
        <v/>
      </c>
      <c r="FI87" s="1" t="e">
        <f>MATCH(CONCATENATE($B87,"_",INDEX($C$4:$C82,FI$65)),lu_DataCode,0)</f>
        <v>#N/A</v>
      </c>
      <c r="FJ87" s="1" t="e">
        <f t="shared" ca="1" si="210"/>
        <v>#N/A</v>
      </c>
      <c r="FK87" s="1" t="e">
        <f t="shared" ca="1" si="211"/>
        <v>#N/A</v>
      </c>
      <c r="FL87" s="1">
        <f t="shared" ca="1" si="212"/>
        <v>0</v>
      </c>
      <c r="FM87" s="1">
        <f t="shared" ca="1" si="305"/>
        <v>-10000000000</v>
      </c>
      <c r="FN87" s="1">
        <f ca="1">RANK(FM87,FM$68:FM$93,FM$65)+COUNTIF(FM$68:FM87,FM87)-1</f>
        <v>20</v>
      </c>
      <c r="FO87" s="1">
        <f t="shared" ca="1" si="306"/>
        <v>20</v>
      </c>
      <c r="FP87" s="1">
        <f t="shared" ca="1" si="307"/>
        <v>0</v>
      </c>
      <c r="FQ87" s="1">
        <f t="shared" ca="1" si="308"/>
        <v>1</v>
      </c>
      <c r="FR87" s="1" t="str">
        <f t="shared" ca="1" si="309"/>
        <v/>
      </c>
      <c r="FS87" s="1" t="str">
        <f t="shared" ca="1" si="310"/>
        <v/>
      </c>
      <c r="FT87" s="1" t="str">
        <f t="shared" ca="1" si="311"/>
        <v/>
      </c>
      <c r="FU87" s="1" t="str">
        <f t="shared" ca="1" si="312"/>
        <v/>
      </c>
      <c r="FY87" s="1" t="e">
        <f>MATCH(CONCATENATE($B87,"_",INDEX($C$4:$C82,FY$65)),lu_DataCode,0)</f>
        <v>#N/A</v>
      </c>
      <c r="FZ87" s="1" t="e">
        <f t="shared" ca="1" si="213"/>
        <v>#N/A</v>
      </c>
      <c r="GA87" s="1" t="e">
        <f t="shared" ca="1" si="214"/>
        <v>#N/A</v>
      </c>
      <c r="GB87" s="1">
        <f t="shared" ca="1" si="215"/>
        <v>0</v>
      </c>
      <c r="GC87" s="1">
        <f t="shared" ca="1" si="313"/>
        <v>-10000000000</v>
      </c>
      <c r="GD87" s="1">
        <f ca="1">RANK(GC87,GC$68:GC$93,GC$65)+COUNTIF(GC$68:GC87,GC87)-1</f>
        <v>20</v>
      </c>
      <c r="GE87" s="1">
        <f t="shared" ca="1" si="314"/>
        <v>20</v>
      </c>
      <c r="GF87" s="1">
        <f t="shared" ca="1" si="315"/>
        <v>0</v>
      </c>
      <c r="GG87" s="1">
        <f t="shared" ca="1" si="316"/>
        <v>1</v>
      </c>
      <c r="GH87" s="1" t="str">
        <f t="shared" ca="1" si="317"/>
        <v/>
      </c>
      <c r="GI87" s="1" t="str">
        <f t="shared" ca="1" si="318"/>
        <v/>
      </c>
      <c r="GJ87" s="1" t="str">
        <f t="shared" ca="1" si="319"/>
        <v/>
      </c>
      <c r="GK87" s="1" t="str">
        <f t="shared" ca="1" si="320"/>
        <v/>
      </c>
      <c r="GO87" s="1" t="e">
        <f>MATCH(CONCATENATE($B87,"_",INDEX($C$4:$C82,GO$65)),lu_DataCode,0)</f>
        <v>#N/A</v>
      </c>
      <c r="GP87" s="1" t="e">
        <f t="shared" ca="1" si="216"/>
        <v>#N/A</v>
      </c>
      <c r="GQ87" s="1" t="e">
        <f t="shared" ca="1" si="217"/>
        <v>#N/A</v>
      </c>
      <c r="GR87" s="1">
        <f t="shared" ca="1" si="218"/>
        <v>0</v>
      </c>
      <c r="GS87" s="1">
        <f t="shared" ca="1" si="321"/>
        <v>-10000000000</v>
      </c>
      <c r="GT87" s="1">
        <f ca="1">RANK(GS87,GS$68:GS$93,GS$65)+COUNTIF(GS$68:GS87,GS87)-1</f>
        <v>20</v>
      </c>
      <c r="GU87" s="1">
        <f t="shared" ca="1" si="322"/>
        <v>20</v>
      </c>
      <c r="GV87" s="1">
        <f t="shared" ca="1" si="323"/>
        <v>0</v>
      </c>
      <c r="GW87" s="1">
        <f t="shared" ca="1" si="324"/>
        <v>1</v>
      </c>
      <c r="GX87" s="1" t="str">
        <f t="shared" ca="1" si="325"/>
        <v/>
      </c>
      <c r="GY87" s="1" t="str">
        <f t="shared" ca="1" si="326"/>
        <v/>
      </c>
      <c r="GZ87" s="1" t="str">
        <f t="shared" ca="1" si="327"/>
        <v/>
      </c>
      <c r="HA87" s="1" t="str">
        <f t="shared" ca="1" si="328"/>
        <v/>
      </c>
      <c r="HE87" s="1" t="e">
        <f>MATCH(CONCATENATE($B87,"_",INDEX($C$4:$C82,HE$65)),lu_DataCode,0)</f>
        <v>#N/A</v>
      </c>
      <c r="HF87" s="1" t="e">
        <f t="shared" ca="1" si="219"/>
        <v>#N/A</v>
      </c>
      <c r="HG87" s="1" t="e">
        <f t="shared" ca="1" si="220"/>
        <v>#N/A</v>
      </c>
      <c r="HH87" s="1">
        <f t="shared" ca="1" si="221"/>
        <v>0</v>
      </c>
      <c r="HI87" s="1">
        <f t="shared" ca="1" si="329"/>
        <v>-10000000000</v>
      </c>
      <c r="HJ87" s="1">
        <f ca="1">RANK(HI87,HI$68:HI$93,HI$65)+COUNTIF(HI$68:HI87,HI87)-1</f>
        <v>20</v>
      </c>
      <c r="HK87" s="1">
        <f t="shared" ca="1" si="330"/>
        <v>20</v>
      </c>
      <c r="HL87" s="1">
        <f t="shared" ca="1" si="331"/>
        <v>0</v>
      </c>
      <c r="HM87" s="1">
        <f t="shared" ca="1" si="332"/>
        <v>1</v>
      </c>
      <c r="HN87" s="1" t="str">
        <f t="shared" ca="1" si="333"/>
        <v/>
      </c>
      <c r="HO87" s="1" t="str">
        <f t="shared" ca="1" si="334"/>
        <v/>
      </c>
      <c r="HP87" s="1" t="str">
        <f t="shared" ca="1" si="335"/>
        <v/>
      </c>
      <c r="HQ87" s="1" t="str">
        <f t="shared" ca="1" si="336"/>
        <v/>
      </c>
      <c r="HU87" s="1" t="e">
        <f>MATCH(CONCATENATE($B87,"_",INDEX($C$4:$C82,HU$65)),lu_DataCode,0)</f>
        <v>#N/A</v>
      </c>
      <c r="HV87" s="1" t="e">
        <f t="shared" ca="1" si="222"/>
        <v>#N/A</v>
      </c>
      <c r="HW87" s="1" t="e">
        <f t="shared" ca="1" si="223"/>
        <v>#N/A</v>
      </c>
      <c r="HX87" s="1">
        <f t="shared" ca="1" si="224"/>
        <v>0</v>
      </c>
      <c r="HY87" s="1">
        <f t="shared" ca="1" si="337"/>
        <v>-10000000000</v>
      </c>
      <c r="HZ87" s="1">
        <f ca="1">RANK(HY87,HY$68:HY$93,HY$65)+COUNTIF(HY$68:HY87,HY87)-1</f>
        <v>20</v>
      </c>
      <c r="IA87" s="1">
        <f t="shared" ca="1" si="338"/>
        <v>20</v>
      </c>
      <c r="IB87" s="1">
        <f t="shared" ca="1" si="339"/>
        <v>0</v>
      </c>
      <c r="IC87" s="1">
        <f t="shared" ca="1" si="340"/>
        <v>1</v>
      </c>
      <c r="ID87" s="1" t="str">
        <f t="shared" ca="1" si="341"/>
        <v/>
      </c>
      <c r="IE87" s="1" t="str">
        <f t="shared" ca="1" si="342"/>
        <v/>
      </c>
      <c r="IF87" s="1" t="str">
        <f t="shared" ca="1" si="343"/>
        <v/>
      </c>
      <c r="IG87" s="1" t="str">
        <f t="shared" ca="1" si="344"/>
        <v/>
      </c>
    </row>
    <row r="88" spans="1:241" x14ac:dyDescent="0.2">
      <c r="A88" s="1">
        <f t="shared" ref="A88:D88" si="366">A57</f>
        <v>21</v>
      </c>
      <c r="B88" s="1" t="str">
        <f t="shared" si="366"/>
        <v>NAC_PE_1</v>
      </c>
      <c r="C88" s="1" t="str">
        <f t="shared" si="366"/>
        <v>Peru</v>
      </c>
      <c r="D88" s="1">
        <f t="shared" si="366"/>
        <v>1</v>
      </c>
      <c r="E88" s="1" t="e">
        <f>MATCH(CONCATENATE($B88,"_",INDEX($C$4:$C83,E$65)),lu_DataCode,0)</f>
        <v>#N/A</v>
      </c>
      <c r="F88" s="1" t="e">
        <f t="shared" ca="1" si="346"/>
        <v>#N/A</v>
      </c>
      <c r="G88" s="1" t="e">
        <f t="shared" ca="1" si="347"/>
        <v>#N/A</v>
      </c>
      <c r="H88" s="1">
        <f t="shared" ca="1" si="348"/>
        <v>0</v>
      </c>
      <c r="I88" s="1">
        <f t="shared" ca="1" si="225"/>
        <v>-10000000000</v>
      </c>
      <c r="J88" s="1">
        <f ca="1">RANK(I88,I$68:I$93,I$65)+COUNTIF(I$68:I88,I88)-1</f>
        <v>21</v>
      </c>
      <c r="K88" s="1">
        <f t="shared" ca="1" si="349"/>
        <v>21</v>
      </c>
      <c r="L88" s="1">
        <f t="shared" ca="1" si="350"/>
        <v>0</v>
      </c>
      <c r="M88" s="1">
        <f t="shared" ca="1" si="228"/>
        <v>1</v>
      </c>
      <c r="N88" s="1" t="str">
        <f t="shared" ca="1" si="229"/>
        <v/>
      </c>
      <c r="O88" s="1" t="str">
        <f t="shared" ca="1" si="230"/>
        <v/>
      </c>
      <c r="P88" s="1" t="str">
        <f t="shared" ca="1" si="351"/>
        <v/>
      </c>
      <c r="Q88" s="1" t="str">
        <f t="shared" ca="1" si="352"/>
        <v/>
      </c>
      <c r="U88" s="1" t="e">
        <f>MATCH(CONCATENATE($B88,"_",INDEX($C$4:$C83,U$65)),lu_DataCode,0)</f>
        <v>#N/A</v>
      </c>
      <c r="V88" s="1" t="e">
        <f t="shared" ca="1" si="353"/>
        <v>#N/A</v>
      </c>
      <c r="W88" s="1" t="e">
        <f t="shared" ca="1" si="354"/>
        <v>#N/A</v>
      </c>
      <c r="X88" s="1">
        <f t="shared" ca="1" si="355"/>
        <v>0</v>
      </c>
      <c r="Y88" s="1">
        <f t="shared" ca="1" si="233"/>
        <v>-10000000000</v>
      </c>
      <c r="Z88" s="1">
        <f ca="1">RANK(Y88,Y$68:Y$93,Y$65)+COUNTIF(Y$68:Y88,Y88)-1</f>
        <v>21</v>
      </c>
      <c r="AA88" s="1">
        <f t="shared" ca="1" si="234"/>
        <v>21</v>
      </c>
      <c r="AB88" s="1">
        <f t="shared" ca="1" si="235"/>
        <v>0</v>
      </c>
      <c r="AC88" s="1">
        <f t="shared" ca="1" si="236"/>
        <v>1</v>
      </c>
      <c r="AD88" s="1" t="str">
        <f t="shared" ca="1" si="237"/>
        <v/>
      </c>
      <c r="AE88" s="1" t="str">
        <f t="shared" ca="1" si="238"/>
        <v/>
      </c>
      <c r="AF88" s="1" t="str">
        <f t="shared" ca="1" si="239"/>
        <v/>
      </c>
      <c r="AG88" s="1" t="str">
        <f t="shared" ca="1" si="240"/>
        <v/>
      </c>
      <c r="AK88" s="1" t="e">
        <f>MATCH(CONCATENATE($B88,"_",INDEX($C$4:$C83,AK$65)),lu_DataCode,0)</f>
        <v>#N/A</v>
      </c>
      <c r="AL88" s="1" t="e">
        <f t="shared" ca="1" si="186"/>
        <v>#N/A</v>
      </c>
      <c r="AM88" s="1" t="e">
        <f t="shared" ca="1" si="187"/>
        <v>#N/A</v>
      </c>
      <c r="AN88" s="1">
        <f t="shared" ca="1" si="188"/>
        <v>0</v>
      </c>
      <c r="AO88" s="1">
        <f t="shared" ca="1" si="241"/>
        <v>-10000000000</v>
      </c>
      <c r="AP88" s="1">
        <f ca="1">RANK(AO88,AO$68:AO$93,AO$65)+COUNTIF(AO$68:AO88,AO88)-1</f>
        <v>21</v>
      </c>
      <c r="AQ88" s="1">
        <f t="shared" ca="1" si="242"/>
        <v>21</v>
      </c>
      <c r="AR88" s="1">
        <f t="shared" ca="1" si="243"/>
        <v>0</v>
      </c>
      <c r="AS88" s="1">
        <f t="shared" ca="1" si="244"/>
        <v>1</v>
      </c>
      <c r="AT88" s="1" t="str">
        <f t="shared" ca="1" si="245"/>
        <v/>
      </c>
      <c r="AU88" s="1" t="str">
        <f t="shared" ca="1" si="246"/>
        <v/>
      </c>
      <c r="AV88" s="1" t="str">
        <f t="shared" ca="1" si="247"/>
        <v/>
      </c>
      <c r="AW88" s="1" t="str">
        <f t="shared" ca="1" si="248"/>
        <v/>
      </c>
      <c r="BA88" s="1" t="e">
        <f>MATCH(CONCATENATE($B88,"_",INDEX($C$4:$C83,BA$65)),lu_DataCode,0)</f>
        <v>#N/A</v>
      </c>
      <c r="BB88" s="1" t="e">
        <f t="shared" ca="1" si="189"/>
        <v>#N/A</v>
      </c>
      <c r="BC88" s="1" t="e">
        <f t="shared" ca="1" si="190"/>
        <v>#N/A</v>
      </c>
      <c r="BD88" s="1">
        <f t="shared" ca="1" si="191"/>
        <v>0</v>
      </c>
      <c r="BE88" s="1">
        <f t="shared" ca="1" si="249"/>
        <v>-10000000000</v>
      </c>
      <c r="BF88" s="1">
        <f ca="1">RANK(BE88,BE$68:BE$93,BE$65)+COUNTIF(BE$68:BE88,BE88)-1</f>
        <v>21</v>
      </c>
      <c r="BG88" s="1">
        <f t="shared" ca="1" si="250"/>
        <v>21</v>
      </c>
      <c r="BH88" s="1">
        <f t="shared" ca="1" si="251"/>
        <v>0</v>
      </c>
      <c r="BI88" s="1">
        <f t="shared" ca="1" si="252"/>
        <v>1</v>
      </c>
      <c r="BJ88" s="1" t="str">
        <f t="shared" ca="1" si="253"/>
        <v/>
      </c>
      <c r="BK88" s="1" t="str">
        <f t="shared" ca="1" si="254"/>
        <v/>
      </c>
      <c r="BL88" s="1" t="str">
        <f t="shared" ca="1" si="255"/>
        <v/>
      </c>
      <c r="BM88" s="1" t="str">
        <f t="shared" ca="1" si="256"/>
        <v/>
      </c>
      <c r="BQ88" s="1" t="e">
        <f>MATCH(CONCATENATE($B88,"_",INDEX($C$4:$C83,BQ$65)),lu_DataCode,0)</f>
        <v>#N/A</v>
      </c>
      <c r="BR88" s="1" t="e">
        <f t="shared" ca="1" si="192"/>
        <v>#N/A</v>
      </c>
      <c r="BS88" s="1" t="e">
        <f t="shared" ca="1" si="193"/>
        <v>#N/A</v>
      </c>
      <c r="BT88" s="1">
        <f t="shared" ca="1" si="194"/>
        <v>0</v>
      </c>
      <c r="BU88" s="1">
        <f t="shared" ca="1" si="257"/>
        <v>-10000000000</v>
      </c>
      <c r="BV88" s="1">
        <f ca="1">RANK(BU88,BU$68:BU$93,BU$65)+COUNTIF(BU$68:BU88,BU88)-1</f>
        <v>21</v>
      </c>
      <c r="BW88" s="1">
        <f t="shared" ca="1" si="258"/>
        <v>21</v>
      </c>
      <c r="BX88" s="1">
        <f t="shared" ca="1" si="259"/>
        <v>0</v>
      </c>
      <c r="BY88" s="1">
        <f t="shared" ca="1" si="260"/>
        <v>1</v>
      </c>
      <c r="BZ88" s="1" t="str">
        <f t="shared" ca="1" si="261"/>
        <v/>
      </c>
      <c r="CA88" s="1" t="str">
        <f t="shared" ca="1" si="262"/>
        <v/>
      </c>
      <c r="CB88" s="1" t="str">
        <f t="shared" ca="1" si="263"/>
        <v/>
      </c>
      <c r="CC88" s="1" t="str">
        <f t="shared" ca="1" si="264"/>
        <v/>
      </c>
      <c r="CG88" s="1" t="e">
        <f>MATCH(CONCATENATE($B88,"_",INDEX($C$4:$C83,CG$65)),lu_DataCode,0)</f>
        <v>#N/A</v>
      </c>
      <c r="CH88" s="1" t="e">
        <f t="shared" ca="1" si="195"/>
        <v>#N/A</v>
      </c>
      <c r="CI88" s="1" t="e">
        <f t="shared" ca="1" si="196"/>
        <v>#N/A</v>
      </c>
      <c r="CJ88" s="1">
        <f t="shared" ca="1" si="197"/>
        <v>0</v>
      </c>
      <c r="CK88" s="1">
        <f t="shared" ca="1" si="265"/>
        <v>-10000000000</v>
      </c>
      <c r="CL88" s="1">
        <f ca="1">RANK(CK88,CK$68:CK$93,CK$65)+COUNTIF(CK$68:CK88,CK88)-1</f>
        <v>21</v>
      </c>
      <c r="CM88" s="1">
        <f t="shared" ca="1" si="266"/>
        <v>21</v>
      </c>
      <c r="CN88" s="1">
        <f t="shared" ca="1" si="267"/>
        <v>0</v>
      </c>
      <c r="CO88" s="1">
        <f t="shared" ca="1" si="268"/>
        <v>1</v>
      </c>
      <c r="CP88" s="1" t="str">
        <f t="shared" ca="1" si="269"/>
        <v/>
      </c>
      <c r="CQ88" s="1" t="str">
        <f t="shared" ca="1" si="270"/>
        <v/>
      </c>
      <c r="CR88" s="1" t="str">
        <f t="shared" ca="1" si="271"/>
        <v/>
      </c>
      <c r="CS88" s="1" t="str">
        <f t="shared" ca="1" si="272"/>
        <v/>
      </c>
      <c r="CW88" s="1" t="e">
        <f>MATCH(CONCATENATE($B88,"_",INDEX($C$4:$C83,CW$65)),lu_DataCode,0)</f>
        <v>#N/A</v>
      </c>
      <c r="CX88" s="1" t="e">
        <f t="shared" ca="1" si="198"/>
        <v>#N/A</v>
      </c>
      <c r="CY88" s="1" t="e">
        <f t="shared" ca="1" si="199"/>
        <v>#N/A</v>
      </c>
      <c r="CZ88" s="1">
        <f t="shared" ca="1" si="200"/>
        <v>0</v>
      </c>
      <c r="DA88" s="1">
        <f t="shared" ca="1" si="273"/>
        <v>-10000000000</v>
      </c>
      <c r="DB88" s="1">
        <f ca="1">RANK(DA88,DA$68:DA$93,DA$65)+COUNTIF(DA$68:DA88,DA88)-1</f>
        <v>21</v>
      </c>
      <c r="DC88" s="1">
        <f t="shared" ca="1" si="274"/>
        <v>21</v>
      </c>
      <c r="DD88" s="1">
        <f t="shared" ca="1" si="275"/>
        <v>0</v>
      </c>
      <c r="DE88" s="1">
        <f t="shared" ca="1" si="276"/>
        <v>1</v>
      </c>
      <c r="DF88" s="1" t="str">
        <f t="shared" ca="1" si="277"/>
        <v/>
      </c>
      <c r="DG88" s="1" t="str">
        <f t="shared" ca="1" si="278"/>
        <v/>
      </c>
      <c r="DH88" s="1" t="str">
        <f t="shared" ca="1" si="279"/>
        <v/>
      </c>
      <c r="DI88" s="1" t="str">
        <f t="shared" ca="1" si="280"/>
        <v/>
      </c>
      <c r="DM88" s="1" t="e">
        <f>MATCH(CONCATENATE($B88,"_",INDEX($C$4:$C83,DM$65)),lu_DataCode,0)</f>
        <v>#N/A</v>
      </c>
      <c r="DN88" s="1" t="e">
        <f t="shared" ca="1" si="201"/>
        <v>#N/A</v>
      </c>
      <c r="DO88" s="1" t="e">
        <f t="shared" ca="1" si="202"/>
        <v>#N/A</v>
      </c>
      <c r="DP88" s="1">
        <f t="shared" ca="1" si="203"/>
        <v>0</v>
      </c>
      <c r="DQ88" s="1">
        <f t="shared" ca="1" si="281"/>
        <v>-10000000000</v>
      </c>
      <c r="DR88" s="1">
        <f ca="1">RANK(DQ88,DQ$68:DQ$93,DQ$65)+COUNTIF(DQ$68:DQ88,DQ88)-1</f>
        <v>21</v>
      </c>
      <c r="DS88" s="1">
        <f t="shared" ca="1" si="282"/>
        <v>21</v>
      </c>
      <c r="DT88" s="1">
        <f t="shared" ca="1" si="283"/>
        <v>0</v>
      </c>
      <c r="DU88" s="1">
        <f t="shared" ca="1" si="284"/>
        <v>1</v>
      </c>
      <c r="DV88" s="1" t="str">
        <f t="shared" ca="1" si="285"/>
        <v/>
      </c>
      <c r="DW88" s="1" t="str">
        <f t="shared" ca="1" si="286"/>
        <v/>
      </c>
      <c r="DX88" s="1" t="str">
        <f t="shared" ca="1" si="287"/>
        <v/>
      </c>
      <c r="DY88" s="1" t="str">
        <f t="shared" ca="1" si="288"/>
        <v/>
      </c>
      <c r="EC88" s="1" t="e">
        <f>MATCH(CONCATENATE($B88,"_",INDEX($C$4:$C83,EC$65)),lu_DataCode,0)</f>
        <v>#N/A</v>
      </c>
      <c r="ED88" s="1" t="e">
        <f t="shared" ca="1" si="204"/>
        <v>#N/A</v>
      </c>
      <c r="EE88" s="1" t="e">
        <f t="shared" ca="1" si="205"/>
        <v>#N/A</v>
      </c>
      <c r="EF88" s="1">
        <f t="shared" ca="1" si="206"/>
        <v>0</v>
      </c>
      <c r="EG88" s="1">
        <f t="shared" ca="1" si="289"/>
        <v>-10000000000</v>
      </c>
      <c r="EH88" s="1">
        <f ca="1">RANK(EG88,EG$68:EG$93,EG$65)+COUNTIF(EG$68:EG88,EG88)-1</f>
        <v>21</v>
      </c>
      <c r="EI88" s="1">
        <f t="shared" ca="1" si="290"/>
        <v>21</v>
      </c>
      <c r="EJ88" s="1">
        <f t="shared" ca="1" si="291"/>
        <v>0</v>
      </c>
      <c r="EK88" s="1">
        <f t="shared" ca="1" si="292"/>
        <v>1</v>
      </c>
      <c r="EL88" s="1" t="str">
        <f t="shared" ca="1" si="293"/>
        <v/>
      </c>
      <c r="EM88" s="1" t="str">
        <f t="shared" ca="1" si="294"/>
        <v/>
      </c>
      <c r="EN88" s="1" t="str">
        <f t="shared" ca="1" si="295"/>
        <v/>
      </c>
      <c r="EO88" s="1" t="str">
        <f t="shared" ca="1" si="296"/>
        <v/>
      </c>
      <c r="ES88" s="1" t="e">
        <f>MATCH(CONCATENATE($B88,"_",INDEX($C$4:$C83,ES$65)),lu_DataCode,0)</f>
        <v>#N/A</v>
      </c>
      <c r="ET88" s="1" t="e">
        <f t="shared" ca="1" si="207"/>
        <v>#N/A</v>
      </c>
      <c r="EU88" s="1" t="e">
        <f t="shared" ca="1" si="208"/>
        <v>#N/A</v>
      </c>
      <c r="EV88" s="1">
        <f t="shared" ca="1" si="209"/>
        <v>0</v>
      </c>
      <c r="EW88" s="1">
        <f t="shared" ca="1" si="297"/>
        <v>-10000000000</v>
      </c>
      <c r="EX88" s="1">
        <f ca="1">RANK(EW88,EW$68:EW$93,EW$65)+COUNTIF(EW$68:EW88,EW88)-1</f>
        <v>21</v>
      </c>
      <c r="EY88" s="1">
        <f t="shared" ca="1" si="298"/>
        <v>21</v>
      </c>
      <c r="EZ88" s="1">
        <f t="shared" ca="1" si="299"/>
        <v>0</v>
      </c>
      <c r="FA88" s="1">
        <f t="shared" ca="1" si="300"/>
        <v>1</v>
      </c>
      <c r="FB88" s="1" t="str">
        <f t="shared" ca="1" si="301"/>
        <v/>
      </c>
      <c r="FC88" s="1" t="str">
        <f t="shared" ca="1" si="302"/>
        <v/>
      </c>
      <c r="FD88" s="1" t="str">
        <f t="shared" ca="1" si="303"/>
        <v/>
      </c>
      <c r="FE88" s="1" t="str">
        <f t="shared" ca="1" si="304"/>
        <v/>
      </c>
      <c r="FI88" s="1" t="e">
        <f>MATCH(CONCATENATE($B88,"_",INDEX($C$4:$C83,FI$65)),lu_DataCode,0)</f>
        <v>#N/A</v>
      </c>
      <c r="FJ88" s="1" t="e">
        <f t="shared" ca="1" si="210"/>
        <v>#N/A</v>
      </c>
      <c r="FK88" s="1" t="e">
        <f t="shared" ca="1" si="211"/>
        <v>#N/A</v>
      </c>
      <c r="FL88" s="1">
        <f t="shared" ca="1" si="212"/>
        <v>0</v>
      </c>
      <c r="FM88" s="1">
        <f t="shared" ca="1" si="305"/>
        <v>-10000000000</v>
      </c>
      <c r="FN88" s="1">
        <f ca="1">RANK(FM88,FM$68:FM$93,FM$65)+COUNTIF(FM$68:FM88,FM88)-1</f>
        <v>21</v>
      </c>
      <c r="FO88" s="1">
        <f t="shared" ca="1" si="306"/>
        <v>21</v>
      </c>
      <c r="FP88" s="1">
        <f t="shared" ca="1" si="307"/>
        <v>0</v>
      </c>
      <c r="FQ88" s="1">
        <f t="shared" ca="1" si="308"/>
        <v>1</v>
      </c>
      <c r="FR88" s="1" t="str">
        <f t="shared" ca="1" si="309"/>
        <v/>
      </c>
      <c r="FS88" s="1" t="str">
        <f t="shared" ca="1" si="310"/>
        <v/>
      </c>
      <c r="FT88" s="1" t="str">
        <f t="shared" ca="1" si="311"/>
        <v/>
      </c>
      <c r="FU88" s="1" t="str">
        <f t="shared" ca="1" si="312"/>
        <v/>
      </c>
      <c r="FY88" s="1" t="e">
        <f>MATCH(CONCATENATE($B88,"_",INDEX($C$4:$C83,FY$65)),lu_DataCode,0)</f>
        <v>#N/A</v>
      </c>
      <c r="FZ88" s="1" t="e">
        <f t="shared" ca="1" si="213"/>
        <v>#N/A</v>
      </c>
      <c r="GA88" s="1" t="e">
        <f t="shared" ca="1" si="214"/>
        <v>#N/A</v>
      </c>
      <c r="GB88" s="1">
        <f t="shared" ca="1" si="215"/>
        <v>0</v>
      </c>
      <c r="GC88" s="1">
        <f t="shared" ca="1" si="313"/>
        <v>-10000000000</v>
      </c>
      <c r="GD88" s="1">
        <f ca="1">RANK(GC88,GC$68:GC$93,GC$65)+COUNTIF(GC$68:GC88,GC88)-1</f>
        <v>21</v>
      </c>
      <c r="GE88" s="1">
        <f t="shared" ca="1" si="314"/>
        <v>21</v>
      </c>
      <c r="GF88" s="1">
        <f t="shared" ca="1" si="315"/>
        <v>0</v>
      </c>
      <c r="GG88" s="1">
        <f t="shared" ca="1" si="316"/>
        <v>1</v>
      </c>
      <c r="GH88" s="1" t="str">
        <f t="shared" ca="1" si="317"/>
        <v/>
      </c>
      <c r="GI88" s="1" t="str">
        <f t="shared" ca="1" si="318"/>
        <v/>
      </c>
      <c r="GJ88" s="1" t="str">
        <f t="shared" ca="1" si="319"/>
        <v/>
      </c>
      <c r="GK88" s="1" t="str">
        <f t="shared" ca="1" si="320"/>
        <v/>
      </c>
      <c r="GO88" s="1" t="e">
        <f>MATCH(CONCATENATE($B88,"_",INDEX($C$4:$C83,GO$65)),lu_DataCode,0)</f>
        <v>#N/A</v>
      </c>
      <c r="GP88" s="1" t="e">
        <f t="shared" ca="1" si="216"/>
        <v>#N/A</v>
      </c>
      <c r="GQ88" s="1" t="e">
        <f t="shared" ca="1" si="217"/>
        <v>#N/A</v>
      </c>
      <c r="GR88" s="1">
        <f t="shared" ca="1" si="218"/>
        <v>0</v>
      </c>
      <c r="GS88" s="1">
        <f t="shared" ca="1" si="321"/>
        <v>-10000000000</v>
      </c>
      <c r="GT88" s="1">
        <f ca="1">RANK(GS88,GS$68:GS$93,GS$65)+COUNTIF(GS$68:GS88,GS88)-1</f>
        <v>21</v>
      </c>
      <c r="GU88" s="1">
        <f t="shared" ca="1" si="322"/>
        <v>21</v>
      </c>
      <c r="GV88" s="1">
        <f t="shared" ca="1" si="323"/>
        <v>0</v>
      </c>
      <c r="GW88" s="1">
        <f t="shared" ca="1" si="324"/>
        <v>1</v>
      </c>
      <c r="GX88" s="1" t="str">
        <f t="shared" ca="1" si="325"/>
        <v/>
      </c>
      <c r="GY88" s="1" t="str">
        <f t="shared" ca="1" si="326"/>
        <v/>
      </c>
      <c r="GZ88" s="1" t="str">
        <f t="shared" ca="1" si="327"/>
        <v/>
      </c>
      <c r="HA88" s="1" t="str">
        <f t="shared" ca="1" si="328"/>
        <v/>
      </c>
      <c r="HE88" s="1" t="e">
        <f>MATCH(CONCATENATE($B88,"_",INDEX($C$4:$C83,HE$65)),lu_DataCode,0)</f>
        <v>#N/A</v>
      </c>
      <c r="HF88" s="1" t="e">
        <f t="shared" ca="1" si="219"/>
        <v>#N/A</v>
      </c>
      <c r="HG88" s="1" t="e">
        <f t="shared" ca="1" si="220"/>
        <v>#N/A</v>
      </c>
      <c r="HH88" s="1">
        <f t="shared" ca="1" si="221"/>
        <v>0</v>
      </c>
      <c r="HI88" s="1">
        <f t="shared" ca="1" si="329"/>
        <v>-10000000000</v>
      </c>
      <c r="HJ88" s="1">
        <f ca="1">RANK(HI88,HI$68:HI$93,HI$65)+COUNTIF(HI$68:HI88,HI88)-1</f>
        <v>21</v>
      </c>
      <c r="HK88" s="1">
        <f t="shared" ca="1" si="330"/>
        <v>21</v>
      </c>
      <c r="HL88" s="1">
        <f t="shared" ca="1" si="331"/>
        <v>0</v>
      </c>
      <c r="HM88" s="1">
        <f t="shared" ca="1" si="332"/>
        <v>1</v>
      </c>
      <c r="HN88" s="1" t="str">
        <f t="shared" ca="1" si="333"/>
        <v/>
      </c>
      <c r="HO88" s="1" t="str">
        <f t="shared" ca="1" si="334"/>
        <v/>
      </c>
      <c r="HP88" s="1" t="str">
        <f t="shared" ca="1" si="335"/>
        <v/>
      </c>
      <c r="HQ88" s="1" t="str">
        <f t="shared" ca="1" si="336"/>
        <v/>
      </c>
      <c r="HU88" s="1" t="e">
        <f>MATCH(CONCATENATE($B88,"_",INDEX($C$4:$C83,HU$65)),lu_DataCode,0)</f>
        <v>#N/A</v>
      </c>
      <c r="HV88" s="1" t="e">
        <f t="shared" ca="1" si="222"/>
        <v>#N/A</v>
      </c>
      <c r="HW88" s="1" t="e">
        <f t="shared" ca="1" si="223"/>
        <v>#N/A</v>
      </c>
      <c r="HX88" s="1">
        <f t="shared" ca="1" si="224"/>
        <v>0</v>
      </c>
      <c r="HY88" s="1">
        <f t="shared" ca="1" si="337"/>
        <v>-10000000000</v>
      </c>
      <c r="HZ88" s="1">
        <f ca="1">RANK(HY88,HY$68:HY$93,HY$65)+COUNTIF(HY$68:HY88,HY88)-1</f>
        <v>21</v>
      </c>
      <c r="IA88" s="1">
        <f t="shared" ca="1" si="338"/>
        <v>21</v>
      </c>
      <c r="IB88" s="1">
        <f t="shared" ca="1" si="339"/>
        <v>0</v>
      </c>
      <c r="IC88" s="1">
        <f t="shared" ca="1" si="340"/>
        <v>1</v>
      </c>
      <c r="ID88" s="1" t="str">
        <f t="shared" ca="1" si="341"/>
        <v/>
      </c>
      <c r="IE88" s="1" t="str">
        <f t="shared" ca="1" si="342"/>
        <v/>
      </c>
      <c r="IF88" s="1" t="str">
        <f t="shared" ca="1" si="343"/>
        <v/>
      </c>
      <c r="IG88" s="1" t="str">
        <f t="shared" ca="1" si="344"/>
        <v/>
      </c>
    </row>
    <row r="89" spans="1:241" x14ac:dyDescent="0.2">
      <c r="A89" s="1">
        <f t="shared" ref="A89:D89" si="367">A58</f>
        <v>22</v>
      </c>
      <c r="B89" s="1" t="str">
        <f t="shared" si="367"/>
        <v>NAC_DO_1</v>
      </c>
      <c r="C89" s="1" t="str">
        <f t="shared" si="367"/>
        <v>Dominican Republic</v>
      </c>
      <c r="D89" s="1">
        <f t="shared" si="367"/>
        <v>1</v>
      </c>
      <c r="E89" s="1" t="e">
        <f>MATCH(CONCATENATE($B89,"_",INDEX($C$4:$C84,E$65)),lu_DataCode,0)</f>
        <v>#N/A</v>
      </c>
      <c r="F89" s="1" t="e">
        <f t="shared" ca="1" si="346"/>
        <v>#N/A</v>
      </c>
      <c r="G89" s="1" t="e">
        <f t="shared" ca="1" si="347"/>
        <v>#N/A</v>
      </c>
      <c r="H89" s="1">
        <f t="shared" ca="1" si="348"/>
        <v>0</v>
      </c>
      <c r="I89" s="1">
        <f t="shared" ca="1" si="225"/>
        <v>-10000000000</v>
      </c>
      <c r="J89" s="1">
        <f ca="1">RANK(I89,I$68:I$93,I$65)+COUNTIF(I$68:I89,I89)-1</f>
        <v>22</v>
      </c>
      <c r="K89" s="1">
        <f t="shared" ca="1" si="349"/>
        <v>22</v>
      </c>
      <c r="L89" s="1">
        <f t="shared" ca="1" si="350"/>
        <v>0</v>
      </c>
      <c r="M89" s="1">
        <f t="shared" ca="1" si="228"/>
        <v>1</v>
      </c>
      <c r="N89" s="1" t="str">
        <f t="shared" ca="1" si="229"/>
        <v/>
      </c>
      <c r="O89" s="1" t="str">
        <f t="shared" ca="1" si="230"/>
        <v/>
      </c>
      <c r="P89" s="1" t="str">
        <f t="shared" ca="1" si="351"/>
        <v/>
      </c>
      <c r="Q89" s="1" t="str">
        <f t="shared" ca="1" si="352"/>
        <v/>
      </c>
      <c r="U89" s="1" t="e">
        <f>MATCH(CONCATENATE($B89,"_",INDEX($C$4:$C84,U$65)),lu_DataCode,0)</f>
        <v>#N/A</v>
      </c>
      <c r="V89" s="1" t="e">
        <f t="shared" ca="1" si="353"/>
        <v>#N/A</v>
      </c>
      <c r="W89" s="1" t="e">
        <f t="shared" ca="1" si="354"/>
        <v>#N/A</v>
      </c>
      <c r="X89" s="1">
        <f t="shared" ca="1" si="355"/>
        <v>0</v>
      </c>
      <c r="Y89" s="1">
        <f t="shared" ca="1" si="233"/>
        <v>-10000000000</v>
      </c>
      <c r="Z89" s="1">
        <f ca="1">RANK(Y89,Y$68:Y$93,Y$65)+COUNTIF(Y$68:Y89,Y89)-1</f>
        <v>22</v>
      </c>
      <c r="AA89" s="1">
        <f t="shared" ca="1" si="234"/>
        <v>22</v>
      </c>
      <c r="AB89" s="1">
        <f t="shared" ca="1" si="235"/>
        <v>0</v>
      </c>
      <c r="AC89" s="1">
        <f t="shared" ca="1" si="236"/>
        <v>1</v>
      </c>
      <c r="AD89" s="1" t="str">
        <f t="shared" ca="1" si="237"/>
        <v/>
      </c>
      <c r="AE89" s="1" t="str">
        <f t="shared" ca="1" si="238"/>
        <v/>
      </c>
      <c r="AF89" s="1" t="str">
        <f t="shared" ca="1" si="239"/>
        <v/>
      </c>
      <c r="AG89" s="1" t="str">
        <f t="shared" ca="1" si="240"/>
        <v/>
      </c>
      <c r="AK89" s="1" t="e">
        <f>MATCH(CONCATENATE($B89,"_",INDEX($C$4:$C84,AK$65)),lu_DataCode,0)</f>
        <v>#N/A</v>
      </c>
      <c r="AL89" s="1" t="e">
        <f t="shared" ca="1" si="186"/>
        <v>#N/A</v>
      </c>
      <c r="AM89" s="1" t="e">
        <f t="shared" ca="1" si="187"/>
        <v>#N/A</v>
      </c>
      <c r="AN89" s="1">
        <f t="shared" ca="1" si="188"/>
        <v>0</v>
      </c>
      <c r="AO89" s="1">
        <f t="shared" ca="1" si="241"/>
        <v>-10000000000</v>
      </c>
      <c r="AP89" s="1">
        <f ca="1">RANK(AO89,AO$68:AO$93,AO$65)+COUNTIF(AO$68:AO89,AO89)-1</f>
        <v>22</v>
      </c>
      <c r="AQ89" s="1">
        <f t="shared" ca="1" si="242"/>
        <v>22</v>
      </c>
      <c r="AR89" s="1">
        <f t="shared" ca="1" si="243"/>
        <v>0</v>
      </c>
      <c r="AS89" s="1">
        <f t="shared" ca="1" si="244"/>
        <v>1</v>
      </c>
      <c r="AT89" s="1" t="str">
        <f t="shared" ca="1" si="245"/>
        <v/>
      </c>
      <c r="AU89" s="1" t="str">
        <f t="shared" ca="1" si="246"/>
        <v/>
      </c>
      <c r="AV89" s="1" t="str">
        <f t="shared" ca="1" si="247"/>
        <v/>
      </c>
      <c r="AW89" s="1" t="str">
        <f t="shared" ca="1" si="248"/>
        <v/>
      </c>
      <c r="BA89" s="1" t="e">
        <f>MATCH(CONCATENATE($B89,"_",INDEX($C$4:$C84,BA$65)),lu_DataCode,0)</f>
        <v>#N/A</v>
      </c>
      <c r="BB89" s="1" t="e">
        <f t="shared" ca="1" si="189"/>
        <v>#N/A</v>
      </c>
      <c r="BC89" s="1" t="e">
        <f t="shared" ca="1" si="190"/>
        <v>#N/A</v>
      </c>
      <c r="BD89" s="1">
        <f t="shared" ca="1" si="191"/>
        <v>0</v>
      </c>
      <c r="BE89" s="1">
        <f t="shared" ca="1" si="249"/>
        <v>-10000000000</v>
      </c>
      <c r="BF89" s="1">
        <f ca="1">RANK(BE89,BE$68:BE$93,BE$65)+COUNTIF(BE$68:BE89,BE89)-1</f>
        <v>22</v>
      </c>
      <c r="BG89" s="1">
        <f t="shared" ca="1" si="250"/>
        <v>22</v>
      </c>
      <c r="BH89" s="1">
        <f t="shared" ca="1" si="251"/>
        <v>0</v>
      </c>
      <c r="BI89" s="1">
        <f t="shared" ca="1" si="252"/>
        <v>1</v>
      </c>
      <c r="BJ89" s="1" t="str">
        <f t="shared" ca="1" si="253"/>
        <v/>
      </c>
      <c r="BK89" s="1" t="str">
        <f t="shared" ca="1" si="254"/>
        <v/>
      </c>
      <c r="BL89" s="1" t="str">
        <f t="shared" ca="1" si="255"/>
        <v/>
      </c>
      <c r="BM89" s="1" t="str">
        <f t="shared" ca="1" si="256"/>
        <v/>
      </c>
      <c r="BQ89" s="1" t="e">
        <f>MATCH(CONCATENATE($B89,"_",INDEX($C$4:$C84,BQ$65)),lu_DataCode,0)</f>
        <v>#N/A</v>
      </c>
      <c r="BR89" s="1" t="e">
        <f t="shared" ca="1" si="192"/>
        <v>#N/A</v>
      </c>
      <c r="BS89" s="1" t="e">
        <f t="shared" ca="1" si="193"/>
        <v>#N/A</v>
      </c>
      <c r="BT89" s="1">
        <f t="shared" ca="1" si="194"/>
        <v>0</v>
      </c>
      <c r="BU89" s="1">
        <f t="shared" ca="1" si="257"/>
        <v>-10000000000</v>
      </c>
      <c r="BV89" s="1">
        <f ca="1">RANK(BU89,BU$68:BU$93,BU$65)+COUNTIF(BU$68:BU89,BU89)-1</f>
        <v>22</v>
      </c>
      <c r="BW89" s="1">
        <f t="shared" ca="1" si="258"/>
        <v>22</v>
      </c>
      <c r="BX89" s="1">
        <f t="shared" ca="1" si="259"/>
        <v>0</v>
      </c>
      <c r="BY89" s="1">
        <f t="shared" ca="1" si="260"/>
        <v>1</v>
      </c>
      <c r="BZ89" s="1" t="str">
        <f t="shared" ca="1" si="261"/>
        <v/>
      </c>
      <c r="CA89" s="1" t="str">
        <f t="shared" ca="1" si="262"/>
        <v/>
      </c>
      <c r="CB89" s="1" t="str">
        <f t="shared" ca="1" si="263"/>
        <v/>
      </c>
      <c r="CC89" s="1" t="str">
        <f t="shared" ca="1" si="264"/>
        <v/>
      </c>
      <c r="CG89" s="1" t="e">
        <f>MATCH(CONCATENATE($B89,"_",INDEX($C$4:$C84,CG$65)),lu_DataCode,0)</f>
        <v>#N/A</v>
      </c>
      <c r="CH89" s="1" t="e">
        <f t="shared" ca="1" si="195"/>
        <v>#N/A</v>
      </c>
      <c r="CI89" s="1" t="e">
        <f t="shared" ca="1" si="196"/>
        <v>#N/A</v>
      </c>
      <c r="CJ89" s="1">
        <f t="shared" ca="1" si="197"/>
        <v>0</v>
      </c>
      <c r="CK89" s="1">
        <f t="shared" ca="1" si="265"/>
        <v>-10000000000</v>
      </c>
      <c r="CL89" s="1">
        <f ca="1">RANK(CK89,CK$68:CK$93,CK$65)+COUNTIF(CK$68:CK89,CK89)-1</f>
        <v>22</v>
      </c>
      <c r="CM89" s="1">
        <f t="shared" ca="1" si="266"/>
        <v>22</v>
      </c>
      <c r="CN89" s="1">
        <f t="shared" ca="1" si="267"/>
        <v>0</v>
      </c>
      <c r="CO89" s="1">
        <f t="shared" ca="1" si="268"/>
        <v>1</v>
      </c>
      <c r="CP89" s="1" t="str">
        <f t="shared" ca="1" si="269"/>
        <v/>
      </c>
      <c r="CQ89" s="1" t="str">
        <f t="shared" ca="1" si="270"/>
        <v/>
      </c>
      <c r="CR89" s="1" t="str">
        <f t="shared" ca="1" si="271"/>
        <v/>
      </c>
      <c r="CS89" s="1" t="str">
        <f t="shared" ca="1" si="272"/>
        <v/>
      </c>
      <c r="CW89" s="1" t="e">
        <f>MATCH(CONCATENATE($B89,"_",INDEX($C$4:$C84,CW$65)),lu_DataCode,0)</f>
        <v>#N/A</v>
      </c>
      <c r="CX89" s="1" t="e">
        <f t="shared" ca="1" si="198"/>
        <v>#N/A</v>
      </c>
      <c r="CY89" s="1" t="e">
        <f t="shared" ca="1" si="199"/>
        <v>#N/A</v>
      </c>
      <c r="CZ89" s="1">
        <f t="shared" ca="1" si="200"/>
        <v>0</v>
      </c>
      <c r="DA89" s="1">
        <f t="shared" ca="1" si="273"/>
        <v>-10000000000</v>
      </c>
      <c r="DB89" s="1">
        <f ca="1">RANK(DA89,DA$68:DA$93,DA$65)+COUNTIF(DA$68:DA89,DA89)-1</f>
        <v>22</v>
      </c>
      <c r="DC89" s="1">
        <f t="shared" ca="1" si="274"/>
        <v>22</v>
      </c>
      <c r="DD89" s="1">
        <f t="shared" ca="1" si="275"/>
        <v>0</v>
      </c>
      <c r="DE89" s="1">
        <f t="shared" ca="1" si="276"/>
        <v>1</v>
      </c>
      <c r="DF89" s="1" t="str">
        <f t="shared" ca="1" si="277"/>
        <v/>
      </c>
      <c r="DG89" s="1" t="str">
        <f t="shared" ca="1" si="278"/>
        <v/>
      </c>
      <c r="DH89" s="1" t="str">
        <f t="shared" ca="1" si="279"/>
        <v/>
      </c>
      <c r="DI89" s="1" t="str">
        <f t="shared" ca="1" si="280"/>
        <v/>
      </c>
      <c r="DM89" s="1" t="e">
        <f>MATCH(CONCATENATE($B89,"_",INDEX($C$4:$C84,DM$65)),lu_DataCode,0)</f>
        <v>#N/A</v>
      </c>
      <c r="DN89" s="1" t="e">
        <f t="shared" ca="1" si="201"/>
        <v>#N/A</v>
      </c>
      <c r="DO89" s="1" t="e">
        <f t="shared" ca="1" si="202"/>
        <v>#N/A</v>
      </c>
      <c r="DP89" s="1">
        <f t="shared" ca="1" si="203"/>
        <v>0</v>
      </c>
      <c r="DQ89" s="1">
        <f t="shared" ca="1" si="281"/>
        <v>-10000000000</v>
      </c>
      <c r="DR89" s="1">
        <f ca="1">RANK(DQ89,DQ$68:DQ$93,DQ$65)+COUNTIF(DQ$68:DQ89,DQ89)-1</f>
        <v>22</v>
      </c>
      <c r="DS89" s="1">
        <f t="shared" ca="1" si="282"/>
        <v>22</v>
      </c>
      <c r="DT89" s="1">
        <f t="shared" ca="1" si="283"/>
        <v>0</v>
      </c>
      <c r="DU89" s="1">
        <f t="shared" ca="1" si="284"/>
        <v>1</v>
      </c>
      <c r="DV89" s="1" t="str">
        <f t="shared" ca="1" si="285"/>
        <v/>
      </c>
      <c r="DW89" s="1" t="str">
        <f t="shared" ca="1" si="286"/>
        <v/>
      </c>
      <c r="DX89" s="1" t="str">
        <f t="shared" ca="1" si="287"/>
        <v/>
      </c>
      <c r="DY89" s="1" t="str">
        <f t="shared" ca="1" si="288"/>
        <v/>
      </c>
      <c r="EC89" s="1" t="e">
        <f>MATCH(CONCATENATE($B89,"_",INDEX($C$4:$C84,EC$65)),lu_DataCode,0)</f>
        <v>#N/A</v>
      </c>
      <c r="ED89" s="1" t="e">
        <f t="shared" ca="1" si="204"/>
        <v>#N/A</v>
      </c>
      <c r="EE89" s="1" t="e">
        <f t="shared" ca="1" si="205"/>
        <v>#N/A</v>
      </c>
      <c r="EF89" s="1">
        <f t="shared" ca="1" si="206"/>
        <v>0</v>
      </c>
      <c r="EG89" s="1">
        <f t="shared" ca="1" si="289"/>
        <v>-10000000000</v>
      </c>
      <c r="EH89" s="1">
        <f ca="1">RANK(EG89,EG$68:EG$93,EG$65)+COUNTIF(EG$68:EG89,EG89)-1</f>
        <v>22</v>
      </c>
      <c r="EI89" s="1">
        <f t="shared" ca="1" si="290"/>
        <v>22</v>
      </c>
      <c r="EJ89" s="1">
        <f t="shared" ca="1" si="291"/>
        <v>0</v>
      </c>
      <c r="EK89" s="1">
        <f t="shared" ca="1" si="292"/>
        <v>1</v>
      </c>
      <c r="EL89" s="1" t="str">
        <f t="shared" ca="1" si="293"/>
        <v/>
      </c>
      <c r="EM89" s="1" t="str">
        <f t="shared" ca="1" si="294"/>
        <v/>
      </c>
      <c r="EN89" s="1" t="str">
        <f t="shared" ca="1" si="295"/>
        <v/>
      </c>
      <c r="EO89" s="1" t="str">
        <f t="shared" ca="1" si="296"/>
        <v/>
      </c>
      <c r="ES89" s="1" t="e">
        <f>MATCH(CONCATENATE($B89,"_",INDEX($C$4:$C84,ES$65)),lu_DataCode,0)</f>
        <v>#N/A</v>
      </c>
      <c r="ET89" s="1" t="e">
        <f t="shared" ca="1" si="207"/>
        <v>#N/A</v>
      </c>
      <c r="EU89" s="1" t="e">
        <f t="shared" ca="1" si="208"/>
        <v>#N/A</v>
      </c>
      <c r="EV89" s="1">
        <f t="shared" ca="1" si="209"/>
        <v>0</v>
      </c>
      <c r="EW89" s="1">
        <f t="shared" ca="1" si="297"/>
        <v>-10000000000</v>
      </c>
      <c r="EX89" s="1">
        <f ca="1">RANK(EW89,EW$68:EW$93,EW$65)+COUNTIF(EW$68:EW89,EW89)-1</f>
        <v>22</v>
      </c>
      <c r="EY89" s="1">
        <f t="shared" ca="1" si="298"/>
        <v>22</v>
      </c>
      <c r="EZ89" s="1">
        <f t="shared" ca="1" si="299"/>
        <v>0</v>
      </c>
      <c r="FA89" s="1">
        <f t="shared" ca="1" si="300"/>
        <v>1</v>
      </c>
      <c r="FB89" s="1" t="str">
        <f t="shared" ca="1" si="301"/>
        <v/>
      </c>
      <c r="FC89" s="1" t="str">
        <f t="shared" ca="1" si="302"/>
        <v/>
      </c>
      <c r="FD89" s="1" t="str">
        <f t="shared" ca="1" si="303"/>
        <v/>
      </c>
      <c r="FE89" s="1" t="str">
        <f t="shared" ca="1" si="304"/>
        <v/>
      </c>
      <c r="FI89" s="1" t="e">
        <f>MATCH(CONCATENATE($B89,"_",INDEX($C$4:$C84,FI$65)),lu_DataCode,0)</f>
        <v>#N/A</v>
      </c>
      <c r="FJ89" s="1" t="e">
        <f t="shared" ca="1" si="210"/>
        <v>#N/A</v>
      </c>
      <c r="FK89" s="1" t="e">
        <f t="shared" ca="1" si="211"/>
        <v>#N/A</v>
      </c>
      <c r="FL89" s="1">
        <f t="shared" ca="1" si="212"/>
        <v>0</v>
      </c>
      <c r="FM89" s="1">
        <f t="shared" ca="1" si="305"/>
        <v>-10000000000</v>
      </c>
      <c r="FN89" s="1">
        <f ca="1">RANK(FM89,FM$68:FM$93,FM$65)+COUNTIF(FM$68:FM89,FM89)-1</f>
        <v>22</v>
      </c>
      <c r="FO89" s="1">
        <f t="shared" ca="1" si="306"/>
        <v>22</v>
      </c>
      <c r="FP89" s="1">
        <f t="shared" ca="1" si="307"/>
        <v>0</v>
      </c>
      <c r="FQ89" s="1">
        <f t="shared" ca="1" si="308"/>
        <v>1</v>
      </c>
      <c r="FR89" s="1" t="str">
        <f t="shared" ca="1" si="309"/>
        <v/>
      </c>
      <c r="FS89" s="1" t="str">
        <f t="shared" ca="1" si="310"/>
        <v/>
      </c>
      <c r="FT89" s="1" t="str">
        <f t="shared" ca="1" si="311"/>
        <v/>
      </c>
      <c r="FU89" s="1" t="str">
        <f t="shared" ca="1" si="312"/>
        <v/>
      </c>
      <c r="FY89" s="1" t="e">
        <f>MATCH(CONCATENATE($B89,"_",INDEX($C$4:$C84,FY$65)),lu_DataCode,0)</f>
        <v>#N/A</v>
      </c>
      <c r="FZ89" s="1" t="e">
        <f t="shared" ca="1" si="213"/>
        <v>#N/A</v>
      </c>
      <c r="GA89" s="1" t="e">
        <f t="shared" ca="1" si="214"/>
        <v>#N/A</v>
      </c>
      <c r="GB89" s="1">
        <f t="shared" ca="1" si="215"/>
        <v>0</v>
      </c>
      <c r="GC89" s="1">
        <f t="shared" ca="1" si="313"/>
        <v>-10000000000</v>
      </c>
      <c r="GD89" s="1">
        <f ca="1">RANK(GC89,GC$68:GC$93,GC$65)+COUNTIF(GC$68:GC89,GC89)-1</f>
        <v>22</v>
      </c>
      <c r="GE89" s="1">
        <f t="shared" ca="1" si="314"/>
        <v>22</v>
      </c>
      <c r="GF89" s="1">
        <f t="shared" ca="1" si="315"/>
        <v>0</v>
      </c>
      <c r="GG89" s="1">
        <f t="shared" ca="1" si="316"/>
        <v>1</v>
      </c>
      <c r="GH89" s="1" t="str">
        <f t="shared" ca="1" si="317"/>
        <v/>
      </c>
      <c r="GI89" s="1" t="str">
        <f t="shared" ca="1" si="318"/>
        <v/>
      </c>
      <c r="GJ89" s="1" t="str">
        <f t="shared" ca="1" si="319"/>
        <v/>
      </c>
      <c r="GK89" s="1" t="str">
        <f t="shared" ca="1" si="320"/>
        <v/>
      </c>
      <c r="GO89" s="1" t="e">
        <f>MATCH(CONCATENATE($B89,"_",INDEX($C$4:$C84,GO$65)),lu_DataCode,0)</f>
        <v>#N/A</v>
      </c>
      <c r="GP89" s="1" t="e">
        <f t="shared" ca="1" si="216"/>
        <v>#N/A</v>
      </c>
      <c r="GQ89" s="1" t="e">
        <f t="shared" ca="1" si="217"/>
        <v>#N/A</v>
      </c>
      <c r="GR89" s="1">
        <f t="shared" ca="1" si="218"/>
        <v>0</v>
      </c>
      <c r="GS89" s="1">
        <f t="shared" ca="1" si="321"/>
        <v>-10000000000</v>
      </c>
      <c r="GT89" s="1">
        <f ca="1">RANK(GS89,GS$68:GS$93,GS$65)+COUNTIF(GS$68:GS89,GS89)-1</f>
        <v>22</v>
      </c>
      <c r="GU89" s="1">
        <f t="shared" ca="1" si="322"/>
        <v>22</v>
      </c>
      <c r="GV89" s="1">
        <f t="shared" ca="1" si="323"/>
        <v>0</v>
      </c>
      <c r="GW89" s="1">
        <f t="shared" ca="1" si="324"/>
        <v>1</v>
      </c>
      <c r="GX89" s="1" t="str">
        <f t="shared" ca="1" si="325"/>
        <v/>
      </c>
      <c r="GY89" s="1" t="str">
        <f t="shared" ca="1" si="326"/>
        <v/>
      </c>
      <c r="GZ89" s="1" t="str">
        <f t="shared" ca="1" si="327"/>
        <v/>
      </c>
      <c r="HA89" s="1" t="str">
        <f t="shared" ca="1" si="328"/>
        <v/>
      </c>
      <c r="HE89" s="1" t="e">
        <f>MATCH(CONCATENATE($B89,"_",INDEX($C$4:$C84,HE$65)),lu_DataCode,0)</f>
        <v>#N/A</v>
      </c>
      <c r="HF89" s="1" t="e">
        <f t="shared" ca="1" si="219"/>
        <v>#N/A</v>
      </c>
      <c r="HG89" s="1" t="e">
        <f t="shared" ca="1" si="220"/>
        <v>#N/A</v>
      </c>
      <c r="HH89" s="1">
        <f t="shared" ca="1" si="221"/>
        <v>0</v>
      </c>
      <c r="HI89" s="1">
        <f t="shared" ca="1" si="329"/>
        <v>-10000000000</v>
      </c>
      <c r="HJ89" s="1">
        <f ca="1">RANK(HI89,HI$68:HI$93,HI$65)+COUNTIF(HI$68:HI89,HI89)-1</f>
        <v>22</v>
      </c>
      <c r="HK89" s="1">
        <f t="shared" ca="1" si="330"/>
        <v>22</v>
      </c>
      <c r="HL89" s="1">
        <f t="shared" ca="1" si="331"/>
        <v>0</v>
      </c>
      <c r="HM89" s="1">
        <f t="shared" ca="1" si="332"/>
        <v>1</v>
      </c>
      <c r="HN89" s="1" t="str">
        <f t="shared" ca="1" si="333"/>
        <v/>
      </c>
      <c r="HO89" s="1" t="str">
        <f t="shared" ca="1" si="334"/>
        <v/>
      </c>
      <c r="HP89" s="1" t="str">
        <f t="shared" ca="1" si="335"/>
        <v/>
      </c>
      <c r="HQ89" s="1" t="str">
        <f t="shared" ca="1" si="336"/>
        <v/>
      </c>
      <c r="HU89" s="1" t="e">
        <f>MATCH(CONCATENATE($B89,"_",INDEX($C$4:$C84,HU$65)),lu_DataCode,0)</f>
        <v>#N/A</v>
      </c>
      <c r="HV89" s="1" t="e">
        <f t="shared" ca="1" si="222"/>
        <v>#N/A</v>
      </c>
      <c r="HW89" s="1" t="e">
        <f t="shared" ca="1" si="223"/>
        <v>#N/A</v>
      </c>
      <c r="HX89" s="1">
        <f t="shared" ca="1" si="224"/>
        <v>0</v>
      </c>
      <c r="HY89" s="1">
        <f t="shared" ca="1" si="337"/>
        <v>-10000000000</v>
      </c>
      <c r="HZ89" s="1">
        <f ca="1">RANK(HY89,HY$68:HY$93,HY$65)+COUNTIF(HY$68:HY89,HY89)-1</f>
        <v>22</v>
      </c>
      <c r="IA89" s="1">
        <f t="shared" ca="1" si="338"/>
        <v>22</v>
      </c>
      <c r="IB89" s="1">
        <f t="shared" ca="1" si="339"/>
        <v>0</v>
      </c>
      <c r="IC89" s="1">
        <f t="shared" ca="1" si="340"/>
        <v>1</v>
      </c>
      <c r="ID89" s="1" t="str">
        <f t="shared" ca="1" si="341"/>
        <v/>
      </c>
      <c r="IE89" s="1" t="str">
        <f t="shared" ca="1" si="342"/>
        <v/>
      </c>
      <c r="IF89" s="1" t="str">
        <f t="shared" ca="1" si="343"/>
        <v/>
      </c>
      <c r="IG89" s="1" t="str">
        <f t="shared" ca="1" si="344"/>
        <v/>
      </c>
    </row>
    <row r="90" spans="1:241" x14ac:dyDescent="0.2">
      <c r="A90" s="1">
        <f t="shared" ref="A90:D90" si="368">A59</f>
        <v>23</v>
      </c>
      <c r="B90" s="1" t="str">
        <f t="shared" si="368"/>
        <v>NAC_SR_1</v>
      </c>
      <c r="C90" s="1" t="str">
        <f t="shared" si="368"/>
        <v>Suriname</v>
      </c>
      <c r="D90" s="1">
        <f t="shared" si="368"/>
        <v>1</v>
      </c>
      <c r="E90" s="1" t="e">
        <f>MATCH(CONCATENATE($B90,"_",INDEX($C$4:$C85,E$65)),lu_DataCode,0)</f>
        <v>#N/A</v>
      </c>
      <c r="F90" s="1" t="e">
        <f t="shared" ca="1" si="346"/>
        <v>#N/A</v>
      </c>
      <c r="G90" s="1" t="e">
        <f t="shared" ca="1" si="347"/>
        <v>#N/A</v>
      </c>
      <c r="H90" s="1">
        <f t="shared" ca="1" si="348"/>
        <v>0</v>
      </c>
      <c r="I90" s="1">
        <f t="shared" ca="1" si="225"/>
        <v>-10000000000</v>
      </c>
      <c r="J90" s="1">
        <f ca="1">RANK(I90,I$68:I$93,I$65)+COUNTIF(I$68:I90,I90)-1</f>
        <v>23</v>
      </c>
      <c r="K90" s="1">
        <f t="shared" ca="1" si="349"/>
        <v>23</v>
      </c>
      <c r="L90" s="1">
        <f t="shared" ca="1" si="350"/>
        <v>0</v>
      </c>
      <c r="M90" s="1">
        <f t="shared" ca="1" si="228"/>
        <v>1</v>
      </c>
      <c r="N90" s="1" t="str">
        <f t="shared" ca="1" si="229"/>
        <v/>
      </c>
      <c r="O90" s="1" t="str">
        <f t="shared" ca="1" si="230"/>
        <v/>
      </c>
      <c r="P90" s="1" t="str">
        <f t="shared" ca="1" si="351"/>
        <v/>
      </c>
      <c r="Q90" s="1" t="str">
        <f t="shared" ca="1" si="352"/>
        <v/>
      </c>
      <c r="U90" s="1" t="e">
        <f>MATCH(CONCATENATE($B90,"_",INDEX($C$4:$C85,U$65)),lu_DataCode,0)</f>
        <v>#N/A</v>
      </c>
      <c r="V90" s="1" t="e">
        <f t="shared" ca="1" si="353"/>
        <v>#N/A</v>
      </c>
      <c r="W90" s="1" t="e">
        <f t="shared" ca="1" si="354"/>
        <v>#N/A</v>
      </c>
      <c r="X90" s="1">
        <f t="shared" ca="1" si="355"/>
        <v>0</v>
      </c>
      <c r="Y90" s="1">
        <f t="shared" ca="1" si="233"/>
        <v>-10000000000</v>
      </c>
      <c r="Z90" s="1">
        <f ca="1">RANK(Y90,Y$68:Y$93,Y$65)+COUNTIF(Y$68:Y90,Y90)-1</f>
        <v>23</v>
      </c>
      <c r="AA90" s="1">
        <f t="shared" ca="1" si="234"/>
        <v>23</v>
      </c>
      <c r="AB90" s="1">
        <f t="shared" ca="1" si="235"/>
        <v>0</v>
      </c>
      <c r="AC90" s="1">
        <f t="shared" ca="1" si="236"/>
        <v>1</v>
      </c>
      <c r="AD90" s="1" t="str">
        <f t="shared" ca="1" si="237"/>
        <v/>
      </c>
      <c r="AE90" s="1" t="str">
        <f t="shared" ca="1" si="238"/>
        <v/>
      </c>
      <c r="AF90" s="1" t="str">
        <f t="shared" ca="1" si="239"/>
        <v/>
      </c>
      <c r="AG90" s="1" t="str">
        <f t="shared" ca="1" si="240"/>
        <v/>
      </c>
      <c r="AK90" s="1" t="e">
        <f>MATCH(CONCATENATE($B90,"_",INDEX($C$4:$C85,AK$65)),lu_DataCode,0)</f>
        <v>#N/A</v>
      </c>
      <c r="AL90" s="1" t="e">
        <f t="shared" ca="1" si="186"/>
        <v>#N/A</v>
      </c>
      <c r="AM90" s="1" t="e">
        <f t="shared" ca="1" si="187"/>
        <v>#N/A</v>
      </c>
      <c r="AN90" s="1">
        <f t="shared" ca="1" si="188"/>
        <v>0</v>
      </c>
      <c r="AO90" s="1">
        <f t="shared" ca="1" si="241"/>
        <v>-10000000000</v>
      </c>
      <c r="AP90" s="1">
        <f ca="1">RANK(AO90,AO$68:AO$93,AO$65)+COUNTIF(AO$68:AO90,AO90)-1</f>
        <v>23</v>
      </c>
      <c r="AQ90" s="1">
        <f t="shared" ca="1" si="242"/>
        <v>23</v>
      </c>
      <c r="AR90" s="1">
        <f t="shared" ca="1" si="243"/>
        <v>0</v>
      </c>
      <c r="AS90" s="1">
        <f t="shared" ca="1" si="244"/>
        <v>1</v>
      </c>
      <c r="AT90" s="1" t="str">
        <f t="shared" ca="1" si="245"/>
        <v/>
      </c>
      <c r="AU90" s="1" t="str">
        <f t="shared" ca="1" si="246"/>
        <v/>
      </c>
      <c r="AV90" s="1" t="str">
        <f t="shared" ca="1" si="247"/>
        <v/>
      </c>
      <c r="AW90" s="1" t="str">
        <f t="shared" ca="1" si="248"/>
        <v/>
      </c>
      <c r="BA90" s="1" t="e">
        <f>MATCH(CONCATENATE($B90,"_",INDEX($C$4:$C85,BA$65)),lu_DataCode,0)</f>
        <v>#N/A</v>
      </c>
      <c r="BB90" s="1" t="e">
        <f t="shared" ca="1" si="189"/>
        <v>#N/A</v>
      </c>
      <c r="BC90" s="1" t="e">
        <f t="shared" ca="1" si="190"/>
        <v>#N/A</v>
      </c>
      <c r="BD90" s="1">
        <f t="shared" ca="1" si="191"/>
        <v>0</v>
      </c>
      <c r="BE90" s="1">
        <f t="shared" ca="1" si="249"/>
        <v>-10000000000</v>
      </c>
      <c r="BF90" s="1">
        <f ca="1">RANK(BE90,BE$68:BE$93,BE$65)+COUNTIF(BE$68:BE90,BE90)-1</f>
        <v>23</v>
      </c>
      <c r="BG90" s="1">
        <f t="shared" ca="1" si="250"/>
        <v>23</v>
      </c>
      <c r="BH90" s="1">
        <f t="shared" ca="1" si="251"/>
        <v>0</v>
      </c>
      <c r="BI90" s="1">
        <f t="shared" ca="1" si="252"/>
        <v>1</v>
      </c>
      <c r="BJ90" s="1" t="str">
        <f t="shared" ca="1" si="253"/>
        <v/>
      </c>
      <c r="BK90" s="1" t="str">
        <f t="shared" ca="1" si="254"/>
        <v/>
      </c>
      <c r="BL90" s="1" t="str">
        <f t="shared" ca="1" si="255"/>
        <v/>
      </c>
      <c r="BM90" s="1" t="str">
        <f t="shared" ca="1" si="256"/>
        <v/>
      </c>
      <c r="BQ90" s="1" t="e">
        <f>MATCH(CONCATENATE($B90,"_",INDEX($C$4:$C85,BQ$65)),lu_DataCode,0)</f>
        <v>#N/A</v>
      </c>
      <c r="BR90" s="1" t="e">
        <f t="shared" ca="1" si="192"/>
        <v>#N/A</v>
      </c>
      <c r="BS90" s="1" t="e">
        <f t="shared" ca="1" si="193"/>
        <v>#N/A</v>
      </c>
      <c r="BT90" s="1">
        <f t="shared" ca="1" si="194"/>
        <v>0</v>
      </c>
      <c r="BU90" s="1">
        <f t="shared" ca="1" si="257"/>
        <v>-10000000000</v>
      </c>
      <c r="BV90" s="1">
        <f ca="1">RANK(BU90,BU$68:BU$93,BU$65)+COUNTIF(BU$68:BU90,BU90)-1</f>
        <v>23</v>
      </c>
      <c r="BW90" s="1">
        <f t="shared" ca="1" si="258"/>
        <v>23</v>
      </c>
      <c r="BX90" s="1">
        <f t="shared" ca="1" si="259"/>
        <v>0</v>
      </c>
      <c r="BY90" s="1">
        <f t="shared" ca="1" si="260"/>
        <v>1</v>
      </c>
      <c r="BZ90" s="1" t="str">
        <f t="shared" ca="1" si="261"/>
        <v/>
      </c>
      <c r="CA90" s="1" t="str">
        <f t="shared" ca="1" si="262"/>
        <v/>
      </c>
      <c r="CB90" s="1" t="str">
        <f t="shared" ca="1" si="263"/>
        <v/>
      </c>
      <c r="CC90" s="1" t="str">
        <f t="shared" ca="1" si="264"/>
        <v/>
      </c>
      <c r="CG90" s="1" t="e">
        <f>MATCH(CONCATENATE($B90,"_",INDEX($C$4:$C85,CG$65)),lu_DataCode,0)</f>
        <v>#N/A</v>
      </c>
      <c r="CH90" s="1" t="e">
        <f t="shared" ca="1" si="195"/>
        <v>#N/A</v>
      </c>
      <c r="CI90" s="1" t="e">
        <f t="shared" ca="1" si="196"/>
        <v>#N/A</v>
      </c>
      <c r="CJ90" s="1">
        <f t="shared" ca="1" si="197"/>
        <v>0</v>
      </c>
      <c r="CK90" s="1">
        <f t="shared" ca="1" si="265"/>
        <v>-10000000000</v>
      </c>
      <c r="CL90" s="1">
        <f ca="1">RANK(CK90,CK$68:CK$93,CK$65)+COUNTIF(CK$68:CK90,CK90)-1</f>
        <v>23</v>
      </c>
      <c r="CM90" s="1">
        <f t="shared" ca="1" si="266"/>
        <v>23</v>
      </c>
      <c r="CN90" s="1">
        <f t="shared" ca="1" si="267"/>
        <v>0</v>
      </c>
      <c r="CO90" s="1">
        <f t="shared" ca="1" si="268"/>
        <v>1</v>
      </c>
      <c r="CP90" s="1" t="str">
        <f t="shared" ca="1" si="269"/>
        <v/>
      </c>
      <c r="CQ90" s="1" t="str">
        <f t="shared" ca="1" si="270"/>
        <v/>
      </c>
      <c r="CR90" s="1" t="str">
        <f t="shared" ca="1" si="271"/>
        <v/>
      </c>
      <c r="CS90" s="1" t="str">
        <f t="shared" ca="1" si="272"/>
        <v/>
      </c>
      <c r="CW90" s="1" t="e">
        <f>MATCH(CONCATENATE($B90,"_",INDEX($C$4:$C85,CW$65)),lu_DataCode,0)</f>
        <v>#N/A</v>
      </c>
      <c r="CX90" s="1" t="e">
        <f t="shared" ca="1" si="198"/>
        <v>#N/A</v>
      </c>
      <c r="CY90" s="1" t="e">
        <f t="shared" ca="1" si="199"/>
        <v>#N/A</v>
      </c>
      <c r="CZ90" s="1">
        <f t="shared" ca="1" si="200"/>
        <v>0</v>
      </c>
      <c r="DA90" s="1">
        <f t="shared" ca="1" si="273"/>
        <v>-10000000000</v>
      </c>
      <c r="DB90" s="1">
        <f ca="1">RANK(DA90,DA$68:DA$93,DA$65)+COUNTIF(DA$68:DA90,DA90)-1</f>
        <v>23</v>
      </c>
      <c r="DC90" s="1">
        <f t="shared" ca="1" si="274"/>
        <v>23</v>
      </c>
      <c r="DD90" s="1">
        <f t="shared" ca="1" si="275"/>
        <v>0</v>
      </c>
      <c r="DE90" s="1">
        <f t="shared" ca="1" si="276"/>
        <v>1</v>
      </c>
      <c r="DF90" s="1" t="str">
        <f t="shared" ca="1" si="277"/>
        <v/>
      </c>
      <c r="DG90" s="1" t="str">
        <f t="shared" ca="1" si="278"/>
        <v/>
      </c>
      <c r="DH90" s="1" t="str">
        <f t="shared" ca="1" si="279"/>
        <v/>
      </c>
      <c r="DI90" s="1" t="str">
        <f t="shared" ca="1" si="280"/>
        <v/>
      </c>
      <c r="DM90" s="1" t="e">
        <f>MATCH(CONCATENATE($B90,"_",INDEX($C$4:$C85,DM$65)),lu_DataCode,0)</f>
        <v>#N/A</v>
      </c>
      <c r="DN90" s="1" t="e">
        <f t="shared" ca="1" si="201"/>
        <v>#N/A</v>
      </c>
      <c r="DO90" s="1" t="e">
        <f t="shared" ca="1" si="202"/>
        <v>#N/A</v>
      </c>
      <c r="DP90" s="1">
        <f t="shared" ca="1" si="203"/>
        <v>0</v>
      </c>
      <c r="DQ90" s="1">
        <f t="shared" ca="1" si="281"/>
        <v>-10000000000</v>
      </c>
      <c r="DR90" s="1">
        <f ca="1">RANK(DQ90,DQ$68:DQ$93,DQ$65)+COUNTIF(DQ$68:DQ90,DQ90)-1</f>
        <v>23</v>
      </c>
      <c r="DS90" s="1">
        <f t="shared" ca="1" si="282"/>
        <v>23</v>
      </c>
      <c r="DT90" s="1">
        <f t="shared" ca="1" si="283"/>
        <v>0</v>
      </c>
      <c r="DU90" s="1">
        <f t="shared" ca="1" si="284"/>
        <v>1</v>
      </c>
      <c r="DV90" s="1" t="str">
        <f t="shared" ca="1" si="285"/>
        <v/>
      </c>
      <c r="DW90" s="1" t="str">
        <f t="shared" ca="1" si="286"/>
        <v/>
      </c>
      <c r="DX90" s="1" t="str">
        <f t="shared" ca="1" si="287"/>
        <v/>
      </c>
      <c r="DY90" s="1" t="str">
        <f t="shared" ca="1" si="288"/>
        <v/>
      </c>
      <c r="EC90" s="1" t="e">
        <f>MATCH(CONCATENATE($B90,"_",INDEX($C$4:$C85,EC$65)),lu_DataCode,0)</f>
        <v>#N/A</v>
      </c>
      <c r="ED90" s="1" t="e">
        <f t="shared" ca="1" si="204"/>
        <v>#N/A</v>
      </c>
      <c r="EE90" s="1" t="e">
        <f t="shared" ca="1" si="205"/>
        <v>#N/A</v>
      </c>
      <c r="EF90" s="1">
        <f t="shared" ca="1" si="206"/>
        <v>0</v>
      </c>
      <c r="EG90" s="1">
        <f t="shared" ca="1" si="289"/>
        <v>-10000000000</v>
      </c>
      <c r="EH90" s="1">
        <f ca="1">RANK(EG90,EG$68:EG$93,EG$65)+COUNTIF(EG$68:EG90,EG90)-1</f>
        <v>23</v>
      </c>
      <c r="EI90" s="1">
        <f t="shared" ca="1" si="290"/>
        <v>23</v>
      </c>
      <c r="EJ90" s="1">
        <f t="shared" ca="1" si="291"/>
        <v>0</v>
      </c>
      <c r="EK90" s="1">
        <f t="shared" ca="1" si="292"/>
        <v>1</v>
      </c>
      <c r="EL90" s="1" t="str">
        <f t="shared" ca="1" si="293"/>
        <v/>
      </c>
      <c r="EM90" s="1" t="str">
        <f t="shared" ca="1" si="294"/>
        <v/>
      </c>
      <c r="EN90" s="1" t="str">
        <f t="shared" ca="1" si="295"/>
        <v/>
      </c>
      <c r="EO90" s="1" t="str">
        <f t="shared" ca="1" si="296"/>
        <v/>
      </c>
      <c r="ES90" s="1" t="e">
        <f>MATCH(CONCATENATE($B90,"_",INDEX($C$4:$C85,ES$65)),lu_DataCode,0)</f>
        <v>#N/A</v>
      </c>
      <c r="ET90" s="1" t="e">
        <f t="shared" ca="1" si="207"/>
        <v>#N/A</v>
      </c>
      <c r="EU90" s="1" t="e">
        <f t="shared" ca="1" si="208"/>
        <v>#N/A</v>
      </c>
      <c r="EV90" s="1">
        <f t="shared" ca="1" si="209"/>
        <v>0</v>
      </c>
      <c r="EW90" s="1">
        <f t="shared" ca="1" si="297"/>
        <v>-10000000000</v>
      </c>
      <c r="EX90" s="1">
        <f ca="1">RANK(EW90,EW$68:EW$93,EW$65)+COUNTIF(EW$68:EW90,EW90)-1</f>
        <v>23</v>
      </c>
      <c r="EY90" s="1">
        <f t="shared" ca="1" si="298"/>
        <v>23</v>
      </c>
      <c r="EZ90" s="1">
        <f t="shared" ca="1" si="299"/>
        <v>0</v>
      </c>
      <c r="FA90" s="1">
        <f t="shared" ca="1" si="300"/>
        <v>1</v>
      </c>
      <c r="FB90" s="1" t="str">
        <f t="shared" ca="1" si="301"/>
        <v/>
      </c>
      <c r="FC90" s="1" t="str">
        <f t="shared" ca="1" si="302"/>
        <v/>
      </c>
      <c r="FD90" s="1" t="str">
        <f t="shared" ca="1" si="303"/>
        <v/>
      </c>
      <c r="FE90" s="1" t="str">
        <f t="shared" ca="1" si="304"/>
        <v/>
      </c>
      <c r="FI90" s="1" t="e">
        <f>MATCH(CONCATENATE($B90,"_",INDEX($C$4:$C85,FI$65)),lu_DataCode,0)</f>
        <v>#N/A</v>
      </c>
      <c r="FJ90" s="1" t="e">
        <f t="shared" ca="1" si="210"/>
        <v>#N/A</v>
      </c>
      <c r="FK90" s="1" t="e">
        <f t="shared" ca="1" si="211"/>
        <v>#N/A</v>
      </c>
      <c r="FL90" s="1">
        <f t="shared" ca="1" si="212"/>
        <v>0</v>
      </c>
      <c r="FM90" s="1">
        <f t="shared" ca="1" si="305"/>
        <v>-10000000000</v>
      </c>
      <c r="FN90" s="1">
        <f ca="1">RANK(FM90,FM$68:FM$93,FM$65)+COUNTIF(FM$68:FM90,FM90)-1</f>
        <v>23</v>
      </c>
      <c r="FO90" s="1">
        <f t="shared" ca="1" si="306"/>
        <v>23</v>
      </c>
      <c r="FP90" s="1">
        <f t="shared" ca="1" si="307"/>
        <v>0</v>
      </c>
      <c r="FQ90" s="1">
        <f t="shared" ca="1" si="308"/>
        <v>1</v>
      </c>
      <c r="FR90" s="1" t="str">
        <f t="shared" ca="1" si="309"/>
        <v/>
      </c>
      <c r="FS90" s="1" t="str">
        <f t="shared" ca="1" si="310"/>
        <v/>
      </c>
      <c r="FT90" s="1" t="str">
        <f t="shared" ca="1" si="311"/>
        <v/>
      </c>
      <c r="FU90" s="1" t="str">
        <f t="shared" ca="1" si="312"/>
        <v/>
      </c>
      <c r="FY90" s="1" t="e">
        <f>MATCH(CONCATENATE($B90,"_",INDEX($C$4:$C85,FY$65)),lu_DataCode,0)</f>
        <v>#N/A</v>
      </c>
      <c r="FZ90" s="1" t="e">
        <f t="shared" ca="1" si="213"/>
        <v>#N/A</v>
      </c>
      <c r="GA90" s="1" t="e">
        <f t="shared" ca="1" si="214"/>
        <v>#N/A</v>
      </c>
      <c r="GB90" s="1">
        <f t="shared" ca="1" si="215"/>
        <v>0</v>
      </c>
      <c r="GC90" s="1">
        <f t="shared" ca="1" si="313"/>
        <v>-10000000000</v>
      </c>
      <c r="GD90" s="1">
        <f ca="1">RANK(GC90,GC$68:GC$93,GC$65)+COUNTIF(GC$68:GC90,GC90)-1</f>
        <v>23</v>
      </c>
      <c r="GE90" s="1">
        <f t="shared" ca="1" si="314"/>
        <v>23</v>
      </c>
      <c r="GF90" s="1">
        <f t="shared" ca="1" si="315"/>
        <v>0</v>
      </c>
      <c r="GG90" s="1">
        <f t="shared" ca="1" si="316"/>
        <v>1</v>
      </c>
      <c r="GH90" s="1" t="str">
        <f t="shared" ca="1" si="317"/>
        <v/>
      </c>
      <c r="GI90" s="1" t="str">
        <f t="shared" ca="1" si="318"/>
        <v/>
      </c>
      <c r="GJ90" s="1" t="str">
        <f t="shared" ca="1" si="319"/>
        <v/>
      </c>
      <c r="GK90" s="1" t="str">
        <f t="shared" ca="1" si="320"/>
        <v/>
      </c>
      <c r="GO90" s="1" t="e">
        <f>MATCH(CONCATENATE($B90,"_",INDEX($C$4:$C85,GO$65)),lu_DataCode,0)</f>
        <v>#N/A</v>
      </c>
      <c r="GP90" s="1" t="e">
        <f t="shared" ca="1" si="216"/>
        <v>#N/A</v>
      </c>
      <c r="GQ90" s="1" t="e">
        <f t="shared" ca="1" si="217"/>
        <v>#N/A</v>
      </c>
      <c r="GR90" s="1">
        <f t="shared" ca="1" si="218"/>
        <v>0</v>
      </c>
      <c r="GS90" s="1">
        <f t="shared" ca="1" si="321"/>
        <v>-10000000000</v>
      </c>
      <c r="GT90" s="1">
        <f ca="1">RANK(GS90,GS$68:GS$93,GS$65)+COUNTIF(GS$68:GS90,GS90)-1</f>
        <v>23</v>
      </c>
      <c r="GU90" s="1">
        <f t="shared" ca="1" si="322"/>
        <v>23</v>
      </c>
      <c r="GV90" s="1">
        <f t="shared" ca="1" si="323"/>
        <v>0</v>
      </c>
      <c r="GW90" s="1">
        <f t="shared" ca="1" si="324"/>
        <v>1</v>
      </c>
      <c r="GX90" s="1" t="str">
        <f t="shared" ca="1" si="325"/>
        <v/>
      </c>
      <c r="GY90" s="1" t="str">
        <f t="shared" ca="1" si="326"/>
        <v/>
      </c>
      <c r="GZ90" s="1" t="str">
        <f t="shared" ca="1" si="327"/>
        <v/>
      </c>
      <c r="HA90" s="1" t="str">
        <f t="shared" ca="1" si="328"/>
        <v/>
      </c>
      <c r="HE90" s="1" t="e">
        <f>MATCH(CONCATENATE($B90,"_",INDEX($C$4:$C85,HE$65)),lu_DataCode,0)</f>
        <v>#N/A</v>
      </c>
      <c r="HF90" s="1" t="e">
        <f t="shared" ca="1" si="219"/>
        <v>#N/A</v>
      </c>
      <c r="HG90" s="1" t="e">
        <f t="shared" ca="1" si="220"/>
        <v>#N/A</v>
      </c>
      <c r="HH90" s="1">
        <f t="shared" ca="1" si="221"/>
        <v>0</v>
      </c>
      <c r="HI90" s="1">
        <f t="shared" ca="1" si="329"/>
        <v>-10000000000</v>
      </c>
      <c r="HJ90" s="1">
        <f ca="1">RANK(HI90,HI$68:HI$93,HI$65)+COUNTIF(HI$68:HI90,HI90)-1</f>
        <v>23</v>
      </c>
      <c r="HK90" s="1">
        <f t="shared" ca="1" si="330"/>
        <v>23</v>
      </c>
      <c r="HL90" s="1">
        <f t="shared" ca="1" si="331"/>
        <v>0</v>
      </c>
      <c r="HM90" s="1">
        <f t="shared" ca="1" si="332"/>
        <v>1</v>
      </c>
      <c r="HN90" s="1" t="str">
        <f t="shared" ca="1" si="333"/>
        <v/>
      </c>
      <c r="HO90" s="1" t="str">
        <f t="shared" ca="1" si="334"/>
        <v/>
      </c>
      <c r="HP90" s="1" t="str">
        <f t="shared" ca="1" si="335"/>
        <v/>
      </c>
      <c r="HQ90" s="1" t="str">
        <f t="shared" ca="1" si="336"/>
        <v/>
      </c>
      <c r="HU90" s="1" t="e">
        <f>MATCH(CONCATENATE($B90,"_",INDEX($C$4:$C85,HU$65)),lu_DataCode,0)</f>
        <v>#N/A</v>
      </c>
      <c r="HV90" s="1" t="e">
        <f t="shared" ca="1" si="222"/>
        <v>#N/A</v>
      </c>
      <c r="HW90" s="1" t="e">
        <f t="shared" ca="1" si="223"/>
        <v>#N/A</v>
      </c>
      <c r="HX90" s="1">
        <f t="shared" ca="1" si="224"/>
        <v>0</v>
      </c>
      <c r="HY90" s="1">
        <f t="shared" ca="1" si="337"/>
        <v>-10000000000</v>
      </c>
      <c r="HZ90" s="1">
        <f ca="1">RANK(HY90,HY$68:HY$93,HY$65)+COUNTIF(HY$68:HY90,HY90)-1</f>
        <v>23</v>
      </c>
      <c r="IA90" s="1">
        <f t="shared" ca="1" si="338"/>
        <v>23</v>
      </c>
      <c r="IB90" s="1">
        <f t="shared" ca="1" si="339"/>
        <v>0</v>
      </c>
      <c r="IC90" s="1">
        <f t="shared" ca="1" si="340"/>
        <v>1</v>
      </c>
      <c r="ID90" s="1" t="str">
        <f t="shared" ca="1" si="341"/>
        <v/>
      </c>
      <c r="IE90" s="1" t="str">
        <f t="shared" ca="1" si="342"/>
        <v/>
      </c>
      <c r="IF90" s="1" t="str">
        <f t="shared" ca="1" si="343"/>
        <v/>
      </c>
      <c r="IG90" s="1" t="str">
        <f t="shared" ca="1" si="344"/>
        <v/>
      </c>
    </row>
    <row r="91" spans="1:241" x14ac:dyDescent="0.2">
      <c r="A91" s="1">
        <f t="shared" ref="A91:D91" si="369">A60</f>
        <v>24</v>
      </c>
      <c r="B91" s="1" t="str">
        <f t="shared" si="369"/>
        <v>NAC_TT_1</v>
      </c>
      <c r="C91" s="1" t="str">
        <f t="shared" si="369"/>
        <v>Trinidad and Tobago</v>
      </c>
      <c r="D91" s="1">
        <f t="shared" si="369"/>
        <v>1</v>
      </c>
      <c r="E91" s="1" t="e">
        <f>MATCH(CONCATENATE($B91,"_",INDEX($C$4:$C86,E$65)),lu_DataCode,0)</f>
        <v>#N/A</v>
      </c>
      <c r="F91" s="1" t="e">
        <f t="shared" ca="1" si="346"/>
        <v>#N/A</v>
      </c>
      <c r="G91" s="1" t="e">
        <f t="shared" ca="1" si="347"/>
        <v>#N/A</v>
      </c>
      <c r="H91" s="1">
        <f t="shared" ca="1" si="348"/>
        <v>0</v>
      </c>
      <c r="I91" s="1">
        <f t="shared" ca="1" si="225"/>
        <v>-10000000000</v>
      </c>
      <c r="J91" s="1">
        <f ca="1">RANK(I91,I$68:I$93,I$65)+COUNTIF(I$68:I91,I91)-1</f>
        <v>24</v>
      </c>
      <c r="K91" s="1">
        <f t="shared" ca="1" si="349"/>
        <v>24</v>
      </c>
      <c r="L91" s="1">
        <f t="shared" ca="1" si="350"/>
        <v>0</v>
      </c>
      <c r="M91" s="1">
        <f t="shared" ca="1" si="228"/>
        <v>1</v>
      </c>
      <c r="N91" s="1" t="str">
        <f t="shared" ca="1" si="229"/>
        <v/>
      </c>
      <c r="O91" s="1" t="str">
        <f t="shared" ca="1" si="230"/>
        <v/>
      </c>
      <c r="P91" s="1" t="str">
        <f t="shared" ca="1" si="351"/>
        <v/>
      </c>
      <c r="Q91" s="1" t="str">
        <f t="shared" ca="1" si="352"/>
        <v/>
      </c>
      <c r="U91" s="1" t="e">
        <f>MATCH(CONCATENATE($B91,"_",INDEX($C$4:$C86,U$65)),lu_DataCode,0)</f>
        <v>#N/A</v>
      </c>
      <c r="V91" s="1" t="e">
        <f t="shared" ca="1" si="353"/>
        <v>#N/A</v>
      </c>
      <c r="W91" s="1" t="e">
        <f t="shared" ca="1" si="354"/>
        <v>#N/A</v>
      </c>
      <c r="X91" s="1">
        <f t="shared" ca="1" si="355"/>
        <v>0</v>
      </c>
      <c r="Y91" s="1">
        <f t="shared" ca="1" si="233"/>
        <v>-10000000000</v>
      </c>
      <c r="Z91" s="1">
        <f ca="1">RANK(Y91,Y$68:Y$93,Y$65)+COUNTIF(Y$68:Y91,Y91)-1</f>
        <v>24</v>
      </c>
      <c r="AA91" s="1">
        <f t="shared" ca="1" si="234"/>
        <v>24</v>
      </c>
      <c r="AB91" s="1">
        <f t="shared" ca="1" si="235"/>
        <v>0</v>
      </c>
      <c r="AC91" s="1">
        <f t="shared" ca="1" si="236"/>
        <v>1</v>
      </c>
      <c r="AD91" s="1" t="str">
        <f t="shared" ca="1" si="237"/>
        <v/>
      </c>
      <c r="AE91" s="1" t="str">
        <f t="shared" ca="1" si="238"/>
        <v/>
      </c>
      <c r="AF91" s="1" t="str">
        <f t="shared" ca="1" si="239"/>
        <v/>
      </c>
      <c r="AG91" s="1" t="str">
        <f t="shared" ca="1" si="240"/>
        <v/>
      </c>
      <c r="AK91" s="1" t="e">
        <f>MATCH(CONCATENATE($B91,"_",INDEX($C$4:$C86,AK$65)),lu_DataCode,0)</f>
        <v>#N/A</v>
      </c>
      <c r="AL91" s="1" t="e">
        <f t="shared" ca="1" si="186"/>
        <v>#N/A</v>
      </c>
      <c r="AM91" s="1" t="e">
        <f t="shared" ca="1" si="187"/>
        <v>#N/A</v>
      </c>
      <c r="AN91" s="1">
        <f t="shared" ca="1" si="188"/>
        <v>0</v>
      </c>
      <c r="AO91" s="1">
        <f t="shared" ca="1" si="241"/>
        <v>-10000000000</v>
      </c>
      <c r="AP91" s="1">
        <f ca="1">RANK(AO91,AO$68:AO$93,AO$65)+COUNTIF(AO$68:AO91,AO91)-1</f>
        <v>24</v>
      </c>
      <c r="AQ91" s="1">
        <f t="shared" ca="1" si="242"/>
        <v>24</v>
      </c>
      <c r="AR91" s="1">
        <f t="shared" ca="1" si="243"/>
        <v>0</v>
      </c>
      <c r="AS91" s="1">
        <f t="shared" ca="1" si="244"/>
        <v>1</v>
      </c>
      <c r="AT91" s="1" t="str">
        <f t="shared" ca="1" si="245"/>
        <v/>
      </c>
      <c r="AU91" s="1" t="str">
        <f t="shared" ca="1" si="246"/>
        <v/>
      </c>
      <c r="AV91" s="1" t="str">
        <f t="shared" ca="1" si="247"/>
        <v/>
      </c>
      <c r="AW91" s="1" t="str">
        <f t="shared" ca="1" si="248"/>
        <v/>
      </c>
      <c r="BA91" s="1" t="e">
        <f>MATCH(CONCATENATE($B91,"_",INDEX($C$4:$C86,BA$65)),lu_DataCode,0)</f>
        <v>#N/A</v>
      </c>
      <c r="BB91" s="1" t="e">
        <f t="shared" ca="1" si="189"/>
        <v>#N/A</v>
      </c>
      <c r="BC91" s="1" t="e">
        <f t="shared" ca="1" si="190"/>
        <v>#N/A</v>
      </c>
      <c r="BD91" s="1">
        <f t="shared" ca="1" si="191"/>
        <v>0</v>
      </c>
      <c r="BE91" s="1">
        <f t="shared" ca="1" si="249"/>
        <v>-10000000000</v>
      </c>
      <c r="BF91" s="1">
        <f ca="1">RANK(BE91,BE$68:BE$93,BE$65)+COUNTIF(BE$68:BE91,BE91)-1</f>
        <v>24</v>
      </c>
      <c r="BG91" s="1">
        <f t="shared" ca="1" si="250"/>
        <v>24</v>
      </c>
      <c r="BH91" s="1">
        <f t="shared" ca="1" si="251"/>
        <v>0</v>
      </c>
      <c r="BI91" s="1">
        <f t="shared" ca="1" si="252"/>
        <v>1</v>
      </c>
      <c r="BJ91" s="1" t="str">
        <f t="shared" ca="1" si="253"/>
        <v/>
      </c>
      <c r="BK91" s="1" t="str">
        <f t="shared" ca="1" si="254"/>
        <v/>
      </c>
      <c r="BL91" s="1" t="str">
        <f t="shared" ca="1" si="255"/>
        <v/>
      </c>
      <c r="BM91" s="1" t="str">
        <f t="shared" ca="1" si="256"/>
        <v/>
      </c>
      <c r="BQ91" s="1" t="e">
        <f>MATCH(CONCATENATE($B91,"_",INDEX($C$4:$C86,BQ$65)),lu_DataCode,0)</f>
        <v>#N/A</v>
      </c>
      <c r="BR91" s="1" t="e">
        <f t="shared" ca="1" si="192"/>
        <v>#N/A</v>
      </c>
      <c r="BS91" s="1" t="e">
        <f t="shared" ca="1" si="193"/>
        <v>#N/A</v>
      </c>
      <c r="BT91" s="1">
        <f t="shared" ca="1" si="194"/>
        <v>0</v>
      </c>
      <c r="BU91" s="1">
        <f t="shared" ca="1" si="257"/>
        <v>-10000000000</v>
      </c>
      <c r="BV91" s="1">
        <f ca="1">RANK(BU91,BU$68:BU$93,BU$65)+COUNTIF(BU$68:BU91,BU91)-1</f>
        <v>24</v>
      </c>
      <c r="BW91" s="1">
        <f t="shared" ca="1" si="258"/>
        <v>24</v>
      </c>
      <c r="BX91" s="1">
        <f t="shared" ca="1" si="259"/>
        <v>0</v>
      </c>
      <c r="BY91" s="1">
        <f t="shared" ca="1" si="260"/>
        <v>1</v>
      </c>
      <c r="BZ91" s="1" t="str">
        <f t="shared" ca="1" si="261"/>
        <v/>
      </c>
      <c r="CA91" s="1" t="str">
        <f t="shared" ca="1" si="262"/>
        <v/>
      </c>
      <c r="CB91" s="1" t="str">
        <f t="shared" ca="1" si="263"/>
        <v/>
      </c>
      <c r="CC91" s="1" t="str">
        <f t="shared" ca="1" si="264"/>
        <v/>
      </c>
      <c r="CG91" s="1" t="e">
        <f>MATCH(CONCATENATE($B91,"_",INDEX($C$4:$C86,CG$65)),lu_DataCode,0)</f>
        <v>#N/A</v>
      </c>
      <c r="CH91" s="1" t="e">
        <f t="shared" ca="1" si="195"/>
        <v>#N/A</v>
      </c>
      <c r="CI91" s="1" t="e">
        <f t="shared" ca="1" si="196"/>
        <v>#N/A</v>
      </c>
      <c r="CJ91" s="1">
        <f t="shared" ca="1" si="197"/>
        <v>0</v>
      </c>
      <c r="CK91" s="1">
        <f t="shared" ca="1" si="265"/>
        <v>-10000000000</v>
      </c>
      <c r="CL91" s="1">
        <f ca="1">RANK(CK91,CK$68:CK$93,CK$65)+COUNTIF(CK$68:CK91,CK91)-1</f>
        <v>24</v>
      </c>
      <c r="CM91" s="1">
        <f t="shared" ca="1" si="266"/>
        <v>24</v>
      </c>
      <c r="CN91" s="1">
        <f t="shared" ca="1" si="267"/>
        <v>0</v>
      </c>
      <c r="CO91" s="1">
        <f t="shared" ca="1" si="268"/>
        <v>1</v>
      </c>
      <c r="CP91" s="1" t="str">
        <f t="shared" ca="1" si="269"/>
        <v/>
      </c>
      <c r="CQ91" s="1" t="str">
        <f t="shared" ca="1" si="270"/>
        <v/>
      </c>
      <c r="CR91" s="1" t="str">
        <f t="shared" ca="1" si="271"/>
        <v/>
      </c>
      <c r="CS91" s="1" t="str">
        <f t="shared" ca="1" si="272"/>
        <v/>
      </c>
      <c r="CW91" s="1" t="e">
        <f>MATCH(CONCATENATE($B91,"_",INDEX($C$4:$C86,CW$65)),lu_DataCode,0)</f>
        <v>#N/A</v>
      </c>
      <c r="CX91" s="1" t="e">
        <f t="shared" ca="1" si="198"/>
        <v>#N/A</v>
      </c>
      <c r="CY91" s="1" t="e">
        <f t="shared" ca="1" si="199"/>
        <v>#N/A</v>
      </c>
      <c r="CZ91" s="1">
        <f t="shared" ca="1" si="200"/>
        <v>0</v>
      </c>
      <c r="DA91" s="1">
        <f t="shared" ca="1" si="273"/>
        <v>-10000000000</v>
      </c>
      <c r="DB91" s="1">
        <f ca="1">RANK(DA91,DA$68:DA$93,DA$65)+COUNTIF(DA$68:DA91,DA91)-1</f>
        <v>24</v>
      </c>
      <c r="DC91" s="1">
        <f t="shared" ca="1" si="274"/>
        <v>24</v>
      </c>
      <c r="DD91" s="1">
        <f t="shared" ca="1" si="275"/>
        <v>0</v>
      </c>
      <c r="DE91" s="1">
        <f t="shared" ca="1" si="276"/>
        <v>1</v>
      </c>
      <c r="DF91" s="1" t="str">
        <f t="shared" ca="1" si="277"/>
        <v/>
      </c>
      <c r="DG91" s="1" t="str">
        <f t="shared" ca="1" si="278"/>
        <v/>
      </c>
      <c r="DH91" s="1" t="str">
        <f t="shared" ca="1" si="279"/>
        <v/>
      </c>
      <c r="DI91" s="1" t="str">
        <f t="shared" ca="1" si="280"/>
        <v/>
      </c>
      <c r="DM91" s="1" t="e">
        <f>MATCH(CONCATENATE($B91,"_",INDEX($C$4:$C86,DM$65)),lu_DataCode,0)</f>
        <v>#N/A</v>
      </c>
      <c r="DN91" s="1" t="e">
        <f t="shared" ca="1" si="201"/>
        <v>#N/A</v>
      </c>
      <c r="DO91" s="1" t="e">
        <f t="shared" ca="1" si="202"/>
        <v>#N/A</v>
      </c>
      <c r="DP91" s="1">
        <f t="shared" ca="1" si="203"/>
        <v>0</v>
      </c>
      <c r="DQ91" s="1">
        <f t="shared" ca="1" si="281"/>
        <v>-10000000000</v>
      </c>
      <c r="DR91" s="1">
        <f ca="1">RANK(DQ91,DQ$68:DQ$93,DQ$65)+COUNTIF(DQ$68:DQ91,DQ91)-1</f>
        <v>24</v>
      </c>
      <c r="DS91" s="1">
        <f t="shared" ca="1" si="282"/>
        <v>24</v>
      </c>
      <c r="DT91" s="1">
        <f t="shared" ca="1" si="283"/>
        <v>0</v>
      </c>
      <c r="DU91" s="1">
        <f t="shared" ca="1" si="284"/>
        <v>1</v>
      </c>
      <c r="DV91" s="1" t="str">
        <f t="shared" ca="1" si="285"/>
        <v/>
      </c>
      <c r="DW91" s="1" t="str">
        <f t="shared" ca="1" si="286"/>
        <v/>
      </c>
      <c r="DX91" s="1" t="str">
        <f t="shared" ca="1" si="287"/>
        <v/>
      </c>
      <c r="DY91" s="1" t="str">
        <f t="shared" ca="1" si="288"/>
        <v/>
      </c>
      <c r="EC91" s="1" t="e">
        <f>MATCH(CONCATENATE($B91,"_",INDEX($C$4:$C86,EC$65)),lu_DataCode,0)</f>
        <v>#N/A</v>
      </c>
      <c r="ED91" s="1" t="e">
        <f t="shared" ca="1" si="204"/>
        <v>#N/A</v>
      </c>
      <c r="EE91" s="1" t="e">
        <f t="shared" ca="1" si="205"/>
        <v>#N/A</v>
      </c>
      <c r="EF91" s="1">
        <f t="shared" ca="1" si="206"/>
        <v>0</v>
      </c>
      <c r="EG91" s="1">
        <f t="shared" ca="1" si="289"/>
        <v>-10000000000</v>
      </c>
      <c r="EH91" s="1">
        <f ca="1">RANK(EG91,EG$68:EG$93,EG$65)+COUNTIF(EG$68:EG91,EG91)-1</f>
        <v>24</v>
      </c>
      <c r="EI91" s="1">
        <f t="shared" ca="1" si="290"/>
        <v>24</v>
      </c>
      <c r="EJ91" s="1">
        <f t="shared" ca="1" si="291"/>
        <v>0</v>
      </c>
      <c r="EK91" s="1">
        <f t="shared" ca="1" si="292"/>
        <v>1</v>
      </c>
      <c r="EL91" s="1" t="str">
        <f t="shared" ca="1" si="293"/>
        <v/>
      </c>
      <c r="EM91" s="1" t="str">
        <f t="shared" ca="1" si="294"/>
        <v/>
      </c>
      <c r="EN91" s="1" t="str">
        <f t="shared" ca="1" si="295"/>
        <v/>
      </c>
      <c r="EO91" s="1" t="str">
        <f t="shared" ca="1" si="296"/>
        <v/>
      </c>
      <c r="ES91" s="1" t="e">
        <f>MATCH(CONCATENATE($B91,"_",INDEX($C$4:$C86,ES$65)),lu_DataCode,0)</f>
        <v>#N/A</v>
      </c>
      <c r="ET91" s="1" t="e">
        <f t="shared" ca="1" si="207"/>
        <v>#N/A</v>
      </c>
      <c r="EU91" s="1" t="e">
        <f t="shared" ca="1" si="208"/>
        <v>#N/A</v>
      </c>
      <c r="EV91" s="1">
        <f t="shared" ca="1" si="209"/>
        <v>0</v>
      </c>
      <c r="EW91" s="1">
        <f t="shared" ca="1" si="297"/>
        <v>-10000000000</v>
      </c>
      <c r="EX91" s="1">
        <f ca="1">RANK(EW91,EW$68:EW$93,EW$65)+COUNTIF(EW$68:EW91,EW91)-1</f>
        <v>24</v>
      </c>
      <c r="EY91" s="1">
        <f t="shared" ca="1" si="298"/>
        <v>24</v>
      </c>
      <c r="EZ91" s="1">
        <f t="shared" ca="1" si="299"/>
        <v>0</v>
      </c>
      <c r="FA91" s="1">
        <f t="shared" ca="1" si="300"/>
        <v>1</v>
      </c>
      <c r="FB91" s="1" t="str">
        <f t="shared" ca="1" si="301"/>
        <v/>
      </c>
      <c r="FC91" s="1" t="str">
        <f t="shared" ca="1" si="302"/>
        <v/>
      </c>
      <c r="FD91" s="1" t="str">
        <f t="shared" ca="1" si="303"/>
        <v/>
      </c>
      <c r="FE91" s="1" t="str">
        <f t="shared" ca="1" si="304"/>
        <v/>
      </c>
      <c r="FI91" s="1" t="e">
        <f>MATCH(CONCATENATE($B91,"_",INDEX($C$4:$C86,FI$65)),lu_DataCode,0)</f>
        <v>#N/A</v>
      </c>
      <c r="FJ91" s="1" t="e">
        <f t="shared" ca="1" si="210"/>
        <v>#N/A</v>
      </c>
      <c r="FK91" s="1" t="e">
        <f t="shared" ca="1" si="211"/>
        <v>#N/A</v>
      </c>
      <c r="FL91" s="1">
        <f t="shared" ca="1" si="212"/>
        <v>0</v>
      </c>
      <c r="FM91" s="1">
        <f t="shared" ca="1" si="305"/>
        <v>-10000000000</v>
      </c>
      <c r="FN91" s="1">
        <f ca="1">RANK(FM91,FM$68:FM$93,FM$65)+COUNTIF(FM$68:FM91,FM91)-1</f>
        <v>24</v>
      </c>
      <c r="FO91" s="1">
        <f t="shared" ca="1" si="306"/>
        <v>24</v>
      </c>
      <c r="FP91" s="1">
        <f t="shared" ca="1" si="307"/>
        <v>0</v>
      </c>
      <c r="FQ91" s="1">
        <f t="shared" ca="1" si="308"/>
        <v>1</v>
      </c>
      <c r="FR91" s="1" t="str">
        <f t="shared" ca="1" si="309"/>
        <v/>
      </c>
      <c r="FS91" s="1" t="str">
        <f t="shared" ca="1" si="310"/>
        <v/>
      </c>
      <c r="FT91" s="1" t="str">
        <f t="shared" ca="1" si="311"/>
        <v/>
      </c>
      <c r="FU91" s="1" t="str">
        <f t="shared" ca="1" si="312"/>
        <v/>
      </c>
      <c r="FY91" s="1" t="e">
        <f>MATCH(CONCATENATE($B91,"_",INDEX($C$4:$C86,FY$65)),lu_DataCode,0)</f>
        <v>#N/A</v>
      </c>
      <c r="FZ91" s="1" t="e">
        <f t="shared" ca="1" si="213"/>
        <v>#N/A</v>
      </c>
      <c r="GA91" s="1" t="e">
        <f t="shared" ca="1" si="214"/>
        <v>#N/A</v>
      </c>
      <c r="GB91" s="1">
        <f t="shared" ca="1" si="215"/>
        <v>0</v>
      </c>
      <c r="GC91" s="1">
        <f t="shared" ca="1" si="313"/>
        <v>-10000000000</v>
      </c>
      <c r="GD91" s="1">
        <f ca="1">RANK(GC91,GC$68:GC$93,GC$65)+COUNTIF(GC$68:GC91,GC91)-1</f>
        <v>24</v>
      </c>
      <c r="GE91" s="1">
        <f t="shared" ca="1" si="314"/>
        <v>24</v>
      </c>
      <c r="GF91" s="1">
        <f t="shared" ca="1" si="315"/>
        <v>0</v>
      </c>
      <c r="GG91" s="1">
        <f t="shared" ca="1" si="316"/>
        <v>1</v>
      </c>
      <c r="GH91" s="1" t="str">
        <f t="shared" ca="1" si="317"/>
        <v/>
      </c>
      <c r="GI91" s="1" t="str">
        <f t="shared" ca="1" si="318"/>
        <v/>
      </c>
      <c r="GJ91" s="1" t="str">
        <f t="shared" ca="1" si="319"/>
        <v/>
      </c>
      <c r="GK91" s="1" t="str">
        <f t="shared" ca="1" si="320"/>
        <v/>
      </c>
      <c r="GO91" s="1" t="e">
        <f>MATCH(CONCATENATE($B91,"_",INDEX($C$4:$C86,GO$65)),lu_DataCode,0)</f>
        <v>#N/A</v>
      </c>
      <c r="GP91" s="1" t="e">
        <f t="shared" ca="1" si="216"/>
        <v>#N/A</v>
      </c>
      <c r="GQ91" s="1" t="e">
        <f t="shared" ca="1" si="217"/>
        <v>#N/A</v>
      </c>
      <c r="GR91" s="1">
        <f t="shared" ca="1" si="218"/>
        <v>0</v>
      </c>
      <c r="GS91" s="1">
        <f t="shared" ca="1" si="321"/>
        <v>-10000000000</v>
      </c>
      <c r="GT91" s="1">
        <f ca="1">RANK(GS91,GS$68:GS$93,GS$65)+COUNTIF(GS$68:GS91,GS91)-1</f>
        <v>24</v>
      </c>
      <c r="GU91" s="1">
        <f t="shared" ca="1" si="322"/>
        <v>24</v>
      </c>
      <c r="GV91" s="1">
        <f t="shared" ca="1" si="323"/>
        <v>0</v>
      </c>
      <c r="GW91" s="1">
        <f t="shared" ca="1" si="324"/>
        <v>1</v>
      </c>
      <c r="GX91" s="1" t="str">
        <f t="shared" ca="1" si="325"/>
        <v/>
      </c>
      <c r="GY91" s="1" t="str">
        <f t="shared" ca="1" si="326"/>
        <v/>
      </c>
      <c r="GZ91" s="1" t="str">
        <f t="shared" ca="1" si="327"/>
        <v/>
      </c>
      <c r="HA91" s="1" t="str">
        <f t="shared" ca="1" si="328"/>
        <v/>
      </c>
      <c r="HE91" s="1" t="e">
        <f>MATCH(CONCATENATE($B91,"_",INDEX($C$4:$C86,HE$65)),lu_DataCode,0)</f>
        <v>#N/A</v>
      </c>
      <c r="HF91" s="1" t="e">
        <f t="shared" ca="1" si="219"/>
        <v>#N/A</v>
      </c>
      <c r="HG91" s="1" t="e">
        <f t="shared" ca="1" si="220"/>
        <v>#N/A</v>
      </c>
      <c r="HH91" s="1">
        <f t="shared" ca="1" si="221"/>
        <v>0</v>
      </c>
      <c r="HI91" s="1">
        <f t="shared" ca="1" si="329"/>
        <v>-10000000000</v>
      </c>
      <c r="HJ91" s="1">
        <f ca="1">RANK(HI91,HI$68:HI$93,HI$65)+COUNTIF(HI$68:HI91,HI91)-1</f>
        <v>24</v>
      </c>
      <c r="HK91" s="1">
        <f t="shared" ca="1" si="330"/>
        <v>24</v>
      </c>
      <c r="HL91" s="1">
        <f t="shared" ca="1" si="331"/>
        <v>0</v>
      </c>
      <c r="HM91" s="1">
        <f t="shared" ca="1" si="332"/>
        <v>1</v>
      </c>
      <c r="HN91" s="1" t="str">
        <f t="shared" ca="1" si="333"/>
        <v/>
      </c>
      <c r="HO91" s="1" t="str">
        <f t="shared" ca="1" si="334"/>
        <v/>
      </c>
      <c r="HP91" s="1" t="str">
        <f t="shared" ca="1" si="335"/>
        <v/>
      </c>
      <c r="HQ91" s="1" t="str">
        <f t="shared" ca="1" si="336"/>
        <v/>
      </c>
      <c r="HU91" s="1" t="e">
        <f>MATCH(CONCATENATE($B91,"_",INDEX($C$4:$C86,HU$65)),lu_DataCode,0)</f>
        <v>#N/A</v>
      </c>
      <c r="HV91" s="1" t="e">
        <f t="shared" ca="1" si="222"/>
        <v>#N/A</v>
      </c>
      <c r="HW91" s="1" t="e">
        <f t="shared" ca="1" si="223"/>
        <v>#N/A</v>
      </c>
      <c r="HX91" s="1">
        <f t="shared" ca="1" si="224"/>
        <v>0</v>
      </c>
      <c r="HY91" s="1">
        <f t="shared" ca="1" si="337"/>
        <v>-10000000000</v>
      </c>
      <c r="HZ91" s="1">
        <f ca="1">RANK(HY91,HY$68:HY$93,HY$65)+COUNTIF(HY$68:HY91,HY91)-1</f>
        <v>24</v>
      </c>
      <c r="IA91" s="1">
        <f t="shared" ca="1" si="338"/>
        <v>24</v>
      </c>
      <c r="IB91" s="1">
        <f t="shared" ca="1" si="339"/>
        <v>0</v>
      </c>
      <c r="IC91" s="1">
        <f t="shared" ca="1" si="340"/>
        <v>1</v>
      </c>
      <c r="ID91" s="1" t="str">
        <f t="shared" ca="1" si="341"/>
        <v/>
      </c>
      <c r="IE91" s="1" t="str">
        <f t="shared" ca="1" si="342"/>
        <v/>
      </c>
      <c r="IF91" s="1" t="str">
        <f t="shared" ca="1" si="343"/>
        <v/>
      </c>
      <c r="IG91" s="1" t="str">
        <f t="shared" ca="1" si="344"/>
        <v/>
      </c>
    </row>
    <row r="92" spans="1:241" x14ac:dyDescent="0.2">
      <c r="A92" s="1">
        <f t="shared" ref="A92:D92" si="370">A61</f>
        <v>25</v>
      </c>
      <c r="B92" s="1" t="str">
        <f t="shared" si="370"/>
        <v>NAC_UY_1</v>
      </c>
      <c r="C92" s="1" t="str">
        <f t="shared" si="370"/>
        <v>Uruguay</v>
      </c>
      <c r="D92" s="1">
        <f t="shared" si="370"/>
        <v>1</v>
      </c>
      <c r="E92" s="1" t="e">
        <f>MATCH(CONCATENATE($B92,"_",INDEX($C$4:$C87,E$65)),lu_DataCode,0)</f>
        <v>#N/A</v>
      </c>
      <c r="F92" s="1" t="e">
        <f t="shared" ca="1" si="346"/>
        <v>#N/A</v>
      </c>
      <c r="G92" s="1" t="e">
        <f t="shared" ca="1" si="347"/>
        <v>#N/A</v>
      </c>
      <c r="H92" s="1">
        <f t="shared" ca="1" si="348"/>
        <v>0</v>
      </c>
      <c r="I92" s="1">
        <f t="shared" ca="1" si="225"/>
        <v>-10000000000</v>
      </c>
      <c r="J92" s="1">
        <f ca="1">RANK(I92,I$68:I$93,I$65)+COUNTIF(I$68:I92,I92)-1</f>
        <v>25</v>
      </c>
      <c r="K92" s="1">
        <f t="shared" ca="1" si="349"/>
        <v>25</v>
      </c>
      <c r="L92" s="1">
        <f t="shared" ca="1" si="350"/>
        <v>0</v>
      </c>
      <c r="M92" s="1">
        <f t="shared" ca="1" si="228"/>
        <v>1</v>
      </c>
      <c r="N92" s="1" t="str">
        <f t="shared" ca="1" si="229"/>
        <v/>
      </c>
      <c r="O92" s="1" t="str">
        <f t="shared" ca="1" si="230"/>
        <v/>
      </c>
      <c r="P92" s="1" t="str">
        <f t="shared" ca="1" si="351"/>
        <v/>
      </c>
      <c r="Q92" s="1" t="str">
        <f t="shared" ca="1" si="352"/>
        <v/>
      </c>
      <c r="U92" s="1" t="e">
        <f>MATCH(CONCATENATE($B92,"_",INDEX($C$4:$C87,U$65)),lu_DataCode,0)</f>
        <v>#N/A</v>
      </c>
      <c r="V92" s="1" t="e">
        <f t="shared" ca="1" si="353"/>
        <v>#N/A</v>
      </c>
      <c r="W92" s="1" t="e">
        <f t="shared" ca="1" si="354"/>
        <v>#N/A</v>
      </c>
      <c r="X92" s="1">
        <f t="shared" ca="1" si="355"/>
        <v>0</v>
      </c>
      <c r="Y92" s="1">
        <f t="shared" ca="1" si="233"/>
        <v>-10000000000</v>
      </c>
      <c r="Z92" s="1">
        <f ca="1">RANK(Y92,Y$68:Y$93,Y$65)+COUNTIF(Y$68:Y92,Y92)-1</f>
        <v>25</v>
      </c>
      <c r="AA92" s="1">
        <f t="shared" ca="1" si="234"/>
        <v>25</v>
      </c>
      <c r="AB92" s="1">
        <f t="shared" ca="1" si="235"/>
        <v>0</v>
      </c>
      <c r="AC92" s="1">
        <f t="shared" ca="1" si="236"/>
        <v>1</v>
      </c>
      <c r="AD92" s="1" t="str">
        <f t="shared" ca="1" si="237"/>
        <v/>
      </c>
      <c r="AE92" s="1" t="str">
        <f t="shared" ca="1" si="238"/>
        <v/>
      </c>
      <c r="AF92" s="1" t="str">
        <f t="shared" ca="1" si="239"/>
        <v/>
      </c>
      <c r="AG92" s="1" t="str">
        <f t="shared" ca="1" si="240"/>
        <v/>
      </c>
      <c r="AK92" s="1" t="e">
        <f>MATCH(CONCATENATE($B92,"_",INDEX($C$4:$C87,AK$65)),lu_DataCode,0)</f>
        <v>#N/A</v>
      </c>
      <c r="AL92" s="1" t="e">
        <f t="shared" ca="1" si="186"/>
        <v>#N/A</v>
      </c>
      <c r="AM92" s="1" t="e">
        <f t="shared" ca="1" si="187"/>
        <v>#N/A</v>
      </c>
      <c r="AN92" s="1">
        <f t="shared" ca="1" si="188"/>
        <v>0</v>
      </c>
      <c r="AO92" s="1">
        <f t="shared" ca="1" si="241"/>
        <v>-10000000000</v>
      </c>
      <c r="AP92" s="1">
        <f ca="1">RANK(AO92,AO$68:AO$93,AO$65)+COUNTIF(AO$68:AO92,AO92)-1</f>
        <v>25</v>
      </c>
      <c r="AQ92" s="1">
        <f t="shared" ca="1" si="242"/>
        <v>25</v>
      </c>
      <c r="AR92" s="1">
        <f t="shared" ca="1" si="243"/>
        <v>0</v>
      </c>
      <c r="AS92" s="1">
        <f t="shared" ca="1" si="244"/>
        <v>1</v>
      </c>
      <c r="AT92" s="1" t="str">
        <f t="shared" ca="1" si="245"/>
        <v/>
      </c>
      <c r="AU92" s="1" t="str">
        <f t="shared" ca="1" si="246"/>
        <v/>
      </c>
      <c r="AV92" s="1" t="str">
        <f t="shared" ca="1" si="247"/>
        <v/>
      </c>
      <c r="AW92" s="1" t="str">
        <f t="shared" ca="1" si="248"/>
        <v/>
      </c>
      <c r="BA92" s="1" t="e">
        <f>MATCH(CONCATENATE($B92,"_",INDEX($C$4:$C87,BA$65)),lu_DataCode,0)</f>
        <v>#N/A</v>
      </c>
      <c r="BB92" s="1" t="e">
        <f t="shared" ca="1" si="189"/>
        <v>#N/A</v>
      </c>
      <c r="BC92" s="1" t="e">
        <f t="shared" ca="1" si="190"/>
        <v>#N/A</v>
      </c>
      <c r="BD92" s="1">
        <f t="shared" ca="1" si="191"/>
        <v>0</v>
      </c>
      <c r="BE92" s="1">
        <f t="shared" ca="1" si="249"/>
        <v>-10000000000</v>
      </c>
      <c r="BF92" s="1">
        <f ca="1">RANK(BE92,BE$68:BE$93,BE$65)+COUNTIF(BE$68:BE92,BE92)-1</f>
        <v>25</v>
      </c>
      <c r="BG92" s="1">
        <f t="shared" ca="1" si="250"/>
        <v>25</v>
      </c>
      <c r="BH92" s="1">
        <f t="shared" ca="1" si="251"/>
        <v>0</v>
      </c>
      <c r="BI92" s="1">
        <f t="shared" ca="1" si="252"/>
        <v>1</v>
      </c>
      <c r="BJ92" s="1" t="str">
        <f t="shared" ca="1" si="253"/>
        <v/>
      </c>
      <c r="BK92" s="1" t="str">
        <f t="shared" ca="1" si="254"/>
        <v/>
      </c>
      <c r="BL92" s="1" t="str">
        <f t="shared" ca="1" si="255"/>
        <v/>
      </c>
      <c r="BM92" s="1" t="str">
        <f t="shared" ca="1" si="256"/>
        <v/>
      </c>
      <c r="BQ92" s="1" t="e">
        <f>MATCH(CONCATENATE($B92,"_",INDEX($C$4:$C87,BQ$65)),lu_DataCode,0)</f>
        <v>#N/A</v>
      </c>
      <c r="BR92" s="1" t="e">
        <f t="shared" ca="1" si="192"/>
        <v>#N/A</v>
      </c>
      <c r="BS92" s="1" t="e">
        <f t="shared" ca="1" si="193"/>
        <v>#N/A</v>
      </c>
      <c r="BT92" s="1">
        <f t="shared" ca="1" si="194"/>
        <v>0</v>
      </c>
      <c r="BU92" s="1">
        <f t="shared" ca="1" si="257"/>
        <v>-10000000000</v>
      </c>
      <c r="BV92" s="1">
        <f ca="1">RANK(BU92,BU$68:BU$93,BU$65)+COUNTIF(BU$68:BU92,BU92)-1</f>
        <v>25</v>
      </c>
      <c r="BW92" s="1">
        <f t="shared" ca="1" si="258"/>
        <v>25</v>
      </c>
      <c r="BX92" s="1">
        <f t="shared" ca="1" si="259"/>
        <v>0</v>
      </c>
      <c r="BY92" s="1">
        <f t="shared" ca="1" si="260"/>
        <v>1</v>
      </c>
      <c r="BZ92" s="1" t="str">
        <f t="shared" ca="1" si="261"/>
        <v/>
      </c>
      <c r="CA92" s="1" t="str">
        <f t="shared" ca="1" si="262"/>
        <v/>
      </c>
      <c r="CB92" s="1" t="str">
        <f t="shared" ca="1" si="263"/>
        <v/>
      </c>
      <c r="CC92" s="1" t="str">
        <f t="shared" ca="1" si="264"/>
        <v/>
      </c>
      <c r="CG92" s="1" t="e">
        <f>MATCH(CONCATENATE($B92,"_",INDEX($C$4:$C87,CG$65)),lu_DataCode,0)</f>
        <v>#N/A</v>
      </c>
      <c r="CH92" s="1" t="e">
        <f t="shared" ca="1" si="195"/>
        <v>#N/A</v>
      </c>
      <c r="CI92" s="1" t="e">
        <f t="shared" ca="1" si="196"/>
        <v>#N/A</v>
      </c>
      <c r="CJ92" s="1">
        <f t="shared" ca="1" si="197"/>
        <v>0</v>
      </c>
      <c r="CK92" s="1">
        <f t="shared" ca="1" si="265"/>
        <v>-10000000000</v>
      </c>
      <c r="CL92" s="1">
        <f ca="1">RANK(CK92,CK$68:CK$93,CK$65)+COUNTIF(CK$68:CK92,CK92)-1</f>
        <v>25</v>
      </c>
      <c r="CM92" s="1">
        <f t="shared" ca="1" si="266"/>
        <v>25</v>
      </c>
      <c r="CN92" s="1">
        <f t="shared" ca="1" si="267"/>
        <v>0</v>
      </c>
      <c r="CO92" s="1">
        <f t="shared" ca="1" si="268"/>
        <v>1</v>
      </c>
      <c r="CP92" s="1" t="str">
        <f t="shared" ca="1" si="269"/>
        <v/>
      </c>
      <c r="CQ92" s="1" t="str">
        <f t="shared" ca="1" si="270"/>
        <v/>
      </c>
      <c r="CR92" s="1" t="str">
        <f t="shared" ca="1" si="271"/>
        <v/>
      </c>
      <c r="CS92" s="1" t="str">
        <f t="shared" ca="1" si="272"/>
        <v/>
      </c>
      <c r="CW92" s="1" t="e">
        <f>MATCH(CONCATENATE($B92,"_",INDEX($C$4:$C87,CW$65)),lu_DataCode,0)</f>
        <v>#N/A</v>
      </c>
      <c r="CX92" s="1" t="e">
        <f t="shared" ca="1" si="198"/>
        <v>#N/A</v>
      </c>
      <c r="CY92" s="1" t="e">
        <f t="shared" ca="1" si="199"/>
        <v>#N/A</v>
      </c>
      <c r="CZ92" s="1">
        <f t="shared" ca="1" si="200"/>
        <v>0</v>
      </c>
      <c r="DA92" s="1">
        <f t="shared" ca="1" si="273"/>
        <v>-10000000000</v>
      </c>
      <c r="DB92" s="1">
        <f ca="1">RANK(DA92,DA$68:DA$93,DA$65)+COUNTIF(DA$68:DA92,DA92)-1</f>
        <v>25</v>
      </c>
      <c r="DC92" s="1">
        <f t="shared" ca="1" si="274"/>
        <v>25</v>
      </c>
      <c r="DD92" s="1">
        <f t="shared" ca="1" si="275"/>
        <v>0</v>
      </c>
      <c r="DE92" s="1">
        <f t="shared" ca="1" si="276"/>
        <v>1</v>
      </c>
      <c r="DF92" s="1" t="str">
        <f t="shared" ca="1" si="277"/>
        <v/>
      </c>
      <c r="DG92" s="1" t="str">
        <f t="shared" ca="1" si="278"/>
        <v/>
      </c>
      <c r="DH92" s="1" t="str">
        <f t="shared" ca="1" si="279"/>
        <v/>
      </c>
      <c r="DI92" s="1" t="str">
        <f t="shared" ca="1" si="280"/>
        <v/>
      </c>
      <c r="DM92" s="1" t="e">
        <f>MATCH(CONCATENATE($B92,"_",INDEX($C$4:$C87,DM$65)),lu_DataCode,0)</f>
        <v>#N/A</v>
      </c>
      <c r="DN92" s="1" t="e">
        <f t="shared" ca="1" si="201"/>
        <v>#N/A</v>
      </c>
      <c r="DO92" s="1" t="e">
        <f t="shared" ca="1" si="202"/>
        <v>#N/A</v>
      </c>
      <c r="DP92" s="1">
        <f t="shared" ca="1" si="203"/>
        <v>0</v>
      </c>
      <c r="DQ92" s="1">
        <f t="shared" ca="1" si="281"/>
        <v>-10000000000</v>
      </c>
      <c r="DR92" s="1">
        <f ca="1">RANK(DQ92,DQ$68:DQ$93,DQ$65)+COUNTIF(DQ$68:DQ92,DQ92)-1</f>
        <v>25</v>
      </c>
      <c r="DS92" s="1">
        <f t="shared" ca="1" si="282"/>
        <v>25</v>
      </c>
      <c r="DT92" s="1">
        <f t="shared" ca="1" si="283"/>
        <v>0</v>
      </c>
      <c r="DU92" s="1">
        <f t="shared" ca="1" si="284"/>
        <v>1</v>
      </c>
      <c r="DV92" s="1" t="str">
        <f t="shared" ca="1" si="285"/>
        <v/>
      </c>
      <c r="DW92" s="1" t="str">
        <f t="shared" ca="1" si="286"/>
        <v/>
      </c>
      <c r="DX92" s="1" t="str">
        <f t="shared" ca="1" si="287"/>
        <v/>
      </c>
      <c r="DY92" s="1" t="str">
        <f t="shared" ca="1" si="288"/>
        <v/>
      </c>
      <c r="EC92" s="1" t="e">
        <f>MATCH(CONCATENATE($B92,"_",INDEX($C$4:$C87,EC$65)),lu_DataCode,0)</f>
        <v>#N/A</v>
      </c>
      <c r="ED92" s="1" t="e">
        <f t="shared" ca="1" si="204"/>
        <v>#N/A</v>
      </c>
      <c r="EE92" s="1" t="e">
        <f t="shared" ca="1" si="205"/>
        <v>#N/A</v>
      </c>
      <c r="EF92" s="1">
        <f t="shared" ca="1" si="206"/>
        <v>0</v>
      </c>
      <c r="EG92" s="1">
        <f t="shared" ca="1" si="289"/>
        <v>-10000000000</v>
      </c>
      <c r="EH92" s="1">
        <f ca="1">RANK(EG92,EG$68:EG$93,EG$65)+COUNTIF(EG$68:EG92,EG92)-1</f>
        <v>25</v>
      </c>
      <c r="EI92" s="1">
        <f t="shared" ca="1" si="290"/>
        <v>25</v>
      </c>
      <c r="EJ92" s="1">
        <f t="shared" ca="1" si="291"/>
        <v>0</v>
      </c>
      <c r="EK92" s="1">
        <f t="shared" ca="1" si="292"/>
        <v>1</v>
      </c>
      <c r="EL92" s="1" t="str">
        <f t="shared" ca="1" si="293"/>
        <v/>
      </c>
      <c r="EM92" s="1" t="str">
        <f t="shared" ca="1" si="294"/>
        <v/>
      </c>
      <c r="EN92" s="1" t="str">
        <f t="shared" ca="1" si="295"/>
        <v/>
      </c>
      <c r="EO92" s="1" t="str">
        <f t="shared" ca="1" si="296"/>
        <v/>
      </c>
      <c r="ES92" s="1" t="e">
        <f>MATCH(CONCATENATE($B92,"_",INDEX($C$4:$C87,ES$65)),lu_DataCode,0)</f>
        <v>#N/A</v>
      </c>
      <c r="ET92" s="1" t="e">
        <f t="shared" ca="1" si="207"/>
        <v>#N/A</v>
      </c>
      <c r="EU92" s="1" t="e">
        <f t="shared" ca="1" si="208"/>
        <v>#N/A</v>
      </c>
      <c r="EV92" s="1">
        <f t="shared" ca="1" si="209"/>
        <v>0</v>
      </c>
      <c r="EW92" s="1">
        <f t="shared" ca="1" si="297"/>
        <v>-10000000000</v>
      </c>
      <c r="EX92" s="1">
        <f ca="1">RANK(EW92,EW$68:EW$93,EW$65)+COUNTIF(EW$68:EW92,EW92)-1</f>
        <v>25</v>
      </c>
      <c r="EY92" s="1">
        <f t="shared" ca="1" si="298"/>
        <v>25</v>
      </c>
      <c r="EZ92" s="1">
        <f t="shared" ca="1" si="299"/>
        <v>0</v>
      </c>
      <c r="FA92" s="1">
        <f t="shared" ca="1" si="300"/>
        <v>1</v>
      </c>
      <c r="FB92" s="1" t="str">
        <f t="shared" ca="1" si="301"/>
        <v/>
      </c>
      <c r="FC92" s="1" t="str">
        <f t="shared" ca="1" si="302"/>
        <v/>
      </c>
      <c r="FD92" s="1" t="str">
        <f t="shared" ca="1" si="303"/>
        <v/>
      </c>
      <c r="FE92" s="1" t="str">
        <f t="shared" ca="1" si="304"/>
        <v/>
      </c>
      <c r="FI92" s="1" t="e">
        <f>MATCH(CONCATENATE($B92,"_",INDEX($C$4:$C87,FI$65)),lu_DataCode,0)</f>
        <v>#N/A</v>
      </c>
      <c r="FJ92" s="1" t="e">
        <f t="shared" ca="1" si="210"/>
        <v>#N/A</v>
      </c>
      <c r="FK92" s="1" t="e">
        <f t="shared" ca="1" si="211"/>
        <v>#N/A</v>
      </c>
      <c r="FL92" s="1">
        <f t="shared" ca="1" si="212"/>
        <v>0</v>
      </c>
      <c r="FM92" s="1">
        <f t="shared" ca="1" si="305"/>
        <v>-10000000000</v>
      </c>
      <c r="FN92" s="1">
        <f ca="1">RANK(FM92,FM$68:FM$93,FM$65)+COUNTIF(FM$68:FM92,FM92)-1</f>
        <v>25</v>
      </c>
      <c r="FO92" s="1">
        <f t="shared" ca="1" si="306"/>
        <v>25</v>
      </c>
      <c r="FP92" s="1">
        <f t="shared" ca="1" si="307"/>
        <v>0</v>
      </c>
      <c r="FQ92" s="1">
        <f t="shared" ca="1" si="308"/>
        <v>1</v>
      </c>
      <c r="FR92" s="1" t="str">
        <f t="shared" ca="1" si="309"/>
        <v/>
      </c>
      <c r="FS92" s="1" t="str">
        <f t="shared" ca="1" si="310"/>
        <v/>
      </c>
      <c r="FT92" s="1" t="str">
        <f t="shared" ca="1" si="311"/>
        <v/>
      </c>
      <c r="FU92" s="1" t="str">
        <f t="shared" ca="1" si="312"/>
        <v/>
      </c>
      <c r="FY92" s="1" t="e">
        <f>MATCH(CONCATENATE($B92,"_",INDEX($C$4:$C87,FY$65)),lu_DataCode,0)</f>
        <v>#N/A</v>
      </c>
      <c r="FZ92" s="1" t="e">
        <f t="shared" ca="1" si="213"/>
        <v>#N/A</v>
      </c>
      <c r="GA92" s="1" t="e">
        <f t="shared" ca="1" si="214"/>
        <v>#N/A</v>
      </c>
      <c r="GB92" s="1">
        <f t="shared" ca="1" si="215"/>
        <v>0</v>
      </c>
      <c r="GC92" s="1">
        <f t="shared" ca="1" si="313"/>
        <v>-10000000000</v>
      </c>
      <c r="GD92" s="1">
        <f ca="1">RANK(GC92,GC$68:GC$93,GC$65)+COUNTIF(GC$68:GC92,GC92)-1</f>
        <v>25</v>
      </c>
      <c r="GE92" s="1">
        <f t="shared" ca="1" si="314"/>
        <v>25</v>
      </c>
      <c r="GF92" s="1">
        <f t="shared" ca="1" si="315"/>
        <v>0</v>
      </c>
      <c r="GG92" s="1">
        <f t="shared" ca="1" si="316"/>
        <v>1</v>
      </c>
      <c r="GH92" s="1" t="str">
        <f t="shared" ca="1" si="317"/>
        <v/>
      </c>
      <c r="GI92" s="1" t="str">
        <f t="shared" ca="1" si="318"/>
        <v/>
      </c>
      <c r="GJ92" s="1" t="str">
        <f t="shared" ca="1" si="319"/>
        <v/>
      </c>
      <c r="GK92" s="1" t="str">
        <f t="shared" ca="1" si="320"/>
        <v/>
      </c>
      <c r="GO92" s="1" t="e">
        <f>MATCH(CONCATENATE($B92,"_",INDEX($C$4:$C87,GO$65)),lu_DataCode,0)</f>
        <v>#N/A</v>
      </c>
      <c r="GP92" s="1" t="e">
        <f t="shared" ca="1" si="216"/>
        <v>#N/A</v>
      </c>
      <c r="GQ92" s="1" t="e">
        <f t="shared" ca="1" si="217"/>
        <v>#N/A</v>
      </c>
      <c r="GR92" s="1">
        <f t="shared" ca="1" si="218"/>
        <v>0</v>
      </c>
      <c r="GS92" s="1">
        <f t="shared" ca="1" si="321"/>
        <v>-10000000000</v>
      </c>
      <c r="GT92" s="1">
        <f ca="1">RANK(GS92,GS$68:GS$93,GS$65)+COUNTIF(GS$68:GS92,GS92)-1</f>
        <v>25</v>
      </c>
      <c r="GU92" s="1">
        <f t="shared" ca="1" si="322"/>
        <v>25</v>
      </c>
      <c r="GV92" s="1">
        <f t="shared" ca="1" si="323"/>
        <v>0</v>
      </c>
      <c r="GW92" s="1">
        <f t="shared" ca="1" si="324"/>
        <v>1</v>
      </c>
      <c r="GX92" s="1" t="str">
        <f t="shared" ca="1" si="325"/>
        <v/>
      </c>
      <c r="GY92" s="1" t="str">
        <f t="shared" ca="1" si="326"/>
        <v/>
      </c>
      <c r="GZ92" s="1" t="str">
        <f t="shared" ca="1" si="327"/>
        <v/>
      </c>
      <c r="HA92" s="1" t="str">
        <f t="shared" ca="1" si="328"/>
        <v/>
      </c>
      <c r="HE92" s="1" t="e">
        <f>MATCH(CONCATENATE($B92,"_",INDEX($C$4:$C87,HE$65)),lu_DataCode,0)</f>
        <v>#N/A</v>
      </c>
      <c r="HF92" s="1" t="e">
        <f t="shared" ca="1" si="219"/>
        <v>#N/A</v>
      </c>
      <c r="HG92" s="1" t="e">
        <f t="shared" ca="1" si="220"/>
        <v>#N/A</v>
      </c>
      <c r="HH92" s="1">
        <f t="shared" ca="1" si="221"/>
        <v>0</v>
      </c>
      <c r="HI92" s="1">
        <f t="shared" ca="1" si="329"/>
        <v>-10000000000</v>
      </c>
      <c r="HJ92" s="1">
        <f ca="1">RANK(HI92,HI$68:HI$93,HI$65)+COUNTIF(HI$68:HI92,HI92)-1</f>
        <v>25</v>
      </c>
      <c r="HK92" s="1">
        <f t="shared" ca="1" si="330"/>
        <v>25</v>
      </c>
      <c r="HL92" s="1">
        <f t="shared" ca="1" si="331"/>
        <v>0</v>
      </c>
      <c r="HM92" s="1">
        <f t="shared" ca="1" si="332"/>
        <v>1</v>
      </c>
      <c r="HN92" s="1" t="str">
        <f t="shared" ca="1" si="333"/>
        <v/>
      </c>
      <c r="HO92" s="1" t="str">
        <f t="shared" ca="1" si="334"/>
        <v/>
      </c>
      <c r="HP92" s="1" t="str">
        <f t="shared" ca="1" si="335"/>
        <v/>
      </c>
      <c r="HQ92" s="1" t="str">
        <f t="shared" ca="1" si="336"/>
        <v/>
      </c>
      <c r="HU92" s="1" t="e">
        <f>MATCH(CONCATENATE($B92,"_",INDEX($C$4:$C87,HU$65)),lu_DataCode,0)</f>
        <v>#N/A</v>
      </c>
      <c r="HV92" s="1" t="e">
        <f t="shared" ca="1" si="222"/>
        <v>#N/A</v>
      </c>
      <c r="HW92" s="1" t="e">
        <f t="shared" ca="1" si="223"/>
        <v>#N/A</v>
      </c>
      <c r="HX92" s="1">
        <f t="shared" ca="1" si="224"/>
        <v>0</v>
      </c>
      <c r="HY92" s="1">
        <f t="shared" ca="1" si="337"/>
        <v>-10000000000</v>
      </c>
      <c r="HZ92" s="1">
        <f ca="1">RANK(HY92,HY$68:HY$93,HY$65)+COUNTIF(HY$68:HY92,HY92)-1</f>
        <v>25</v>
      </c>
      <c r="IA92" s="1">
        <f t="shared" ca="1" si="338"/>
        <v>25</v>
      </c>
      <c r="IB92" s="1">
        <f t="shared" ca="1" si="339"/>
        <v>0</v>
      </c>
      <c r="IC92" s="1">
        <f t="shared" ca="1" si="340"/>
        <v>1</v>
      </c>
      <c r="ID92" s="1" t="str">
        <f t="shared" ca="1" si="341"/>
        <v/>
      </c>
      <c r="IE92" s="1" t="str">
        <f t="shared" ca="1" si="342"/>
        <v/>
      </c>
      <c r="IF92" s="1" t="str">
        <f t="shared" ca="1" si="343"/>
        <v/>
      </c>
      <c r="IG92" s="1" t="str">
        <f t="shared" ca="1" si="344"/>
        <v/>
      </c>
    </row>
    <row r="93" spans="1:241" x14ac:dyDescent="0.2">
      <c r="A93" s="1">
        <f t="shared" ref="A93:D93" si="371">A62</f>
        <v>26</v>
      </c>
      <c r="B93" s="1" t="str">
        <f t="shared" si="371"/>
        <v>NAC_VE_1</v>
      </c>
      <c r="C93" s="1" t="str">
        <f t="shared" si="371"/>
        <v>Venezuela</v>
      </c>
      <c r="D93" s="1">
        <f t="shared" si="371"/>
        <v>1</v>
      </c>
      <c r="E93" s="1" t="e">
        <f>MATCH(CONCATENATE($B93,"_",INDEX($C$4:$C88,E$65)),lu_DataCode,0)</f>
        <v>#N/A</v>
      </c>
      <c r="F93" s="1" t="e">
        <f t="shared" ca="1" si="346"/>
        <v>#N/A</v>
      </c>
      <c r="G93" s="1" t="e">
        <f t="shared" ca="1" si="347"/>
        <v>#N/A</v>
      </c>
      <c r="H93" s="1">
        <f t="shared" ca="1" si="348"/>
        <v>0</v>
      </c>
      <c r="I93" s="1">
        <f t="shared" ca="1" si="225"/>
        <v>-10000000000</v>
      </c>
      <c r="J93" s="1">
        <f ca="1">RANK(I93,I$68:I$93,I$65)+COUNTIF(I$68:I93,I93)-1</f>
        <v>26</v>
      </c>
      <c r="K93" s="1">
        <f t="shared" ca="1" si="349"/>
        <v>26</v>
      </c>
      <c r="L93" s="1">
        <f t="shared" ca="1" si="350"/>
        <v>0</v>
      </c>
      <c r="M93" s="1">
        <f t="shared" ca="1" si="228"/>
        <v>1</v>
      </c>
      <c r="N93" s="1" t="str">
        <f t="shared" ca="1" si="229"/>
        <v/>
      </c>
      <c r="O93" s="1" t="str">
        <f t="shared" ca="1" si="230"/>
        <v/>
      </c>
      <c r="P93" s="1" t="str">
        <f t="shared" ca="1" si="351"/>
        <v/>
      </c>
      <c r="Q93" s="1" t="str">
        <f t="shared" ca="1" si="352"/>
        <v/>
      </c>
      <c r="U93" s="1" t="e">
        <f>MATCH(CONCATENATE($B93,"_",INDEX($C$4:$C88,U$65)),lu_DataCode,0)</f>
        <v>#N/A</v>
      </c>
      <c r="V93" s="1" t="e">
        <f t="shared" ca="1" si="353"/>
        <v>#N/A</v>
      </c>
      <c r="W93" s="1" t="e">
        <f t="shared" ca="1" si="354"/>
        <v>#N/A</v>
      </c>
      <c r="X93" s="1">
        <f t="shared" ca="1" si="355"/>
        <v>0</v>
      </c>
      <c r="Y93" s="1">
        <f t="shared" ca="1" si="233"/>
        <v>-10000000000</v>
      </c>
      <c r="Z93" s="1">
        <f ca="1">RANK(Y93,Y$68:Y$93,Y$65)+COUNTIF(Y$68:Y93,Y93)-1</f>
        <v>26</v>
      </c>
      <c r="AA93" s="1">
        <f t="shared" ca="1" si="234"/>
        <v>26</v>
      </c>
      <c r="AB93" s="1">
        <f t="shared" ca="1" si="235"/>
        <v>0</v>
      </c>
      <c r="AC93" s="1">
        <f t="shared" ca="1" si="236"/>
        <v>1</v>
      </c>
      <c r="AD93" s="1" t="str">
        <f t="shared" ca="1" si="237"/>
        <v/>
      </c>
      <c r="AE93" s="1" t="str">
        <f t="shared" ca="1" si="238"/>
        <v/>
      </c>
      <c r="AF93" s="1" t="str">
        <f t="shared" ca="1" si="239"/>
        <v/>
      </c>
      <c r="AG93" s="1" t="str">
        <f t="shared" ca="1" si="240"/>
        <v/>
      </c>
      <c r="AK93" s="1" t="e">
        <f>MATCH(CONCATENATE($B93,"_",INDEX($C$4:$C88,AK$65)),lu_DataCode,0)</f>
        <v>#N/A</v>
      </c>
      <c r="AL93" s="1" t="e">
        <f t="shared" ca="1" si="186"/>
        <v>#N/A</v>
      </c>
      <c r="AM93" s="1" t="e">
        <f t="shared" ca="1" si="187"/>
        <v>#N/A</v>
      </c>
      <c r="AN93" s="1">
        <f t="shared" ca="1" si="188"/>
        <v>0</v>
      </c>
      <c r="AO93" s="1">
        <f t="shared" ca="1" si="241"/>
        <v>-10000000000</v>
      </c>
      <c r="AP93" s="1">
        <f ca="1">RANK(AO93,AO$68:AO$93,AO$65)+COUNTIF(AO$68:AO93,AO93)-1</f>
        <v>26</v>
      </c>
      <c r="AQ93" s="1">
        <f t="shared" ca="1" si="242"/>
        <v>26</v>
      </c>
      <c r="AR93" s="1">
        <f t="shared" ca="1" si="243"/>
        <v>0</v>
      </c>
      <c r="AS93" s="1">
        <f t="shared" ca="1" si="244"/>
        <v>1</v>
      </c>
      <c r="AT93" s="1" t="str">
        <f t="shared" ca="1" si="245"/>
        <v/>
      </c>
      <c r="AU93" s="1" t="str">
        <f t="shared" ca="1" si="246"/>
        <v/>
      </c>
      <c r="AV93" s="1" t="str">
        <f t="shared" ca="1" si="247"/>
        <v/>
      </c>
      <c r="AW93" s="1" t="str">
        <f t="shared" ca="1" si="248"/>
        <v/>
      </c>
      <c r="BA93" s="1" t="e">
        <f>MATCH(CONCATENATE($B93,"_",INDEX($C$4:$C88,BA$65)),lu_DataCode,0)</f>
        <v>#N/A</v>
      </c>
      <c r="BB93" s="1" t="e">
        <f t="shared" ca="1" si="189"/>
        <v>#N/A</v>
      </c>
      <c r="BC93" s="1" t="e">
        <f t="shared" ca="1" si="190"/>
        <v>#N/A</v>
      </c>
      <c r="BD93" s="1">
        <f t="shared" ca="1" si="191"/>
        <v>0</v>
      </c>
      <c r="BE93" s="1">
        <f t="shared" ca="1" si="249"/>
        <v>-10000000000</v>
      </c>
      <c r="BF93" s="1">
        <f ca="1">RANK(BE93,BE$68:BE$93,BE$65)+COUNTIF(BE$68:BE93,BE93)-1</f>
        <v>26</v>
      </c>
      <c r="BG93" s="1">
        <f t="shared" ca="1" si="250"/>
        <v>26</v>
      </c>
      <c r="BH93" s="1">
        <f t="shared" ca="1" si="251"/>
        <v>0</v>
      </c>
      <c r="BI93" s="1">
        <f t="shared" ca="1" si="252"/>
        <v>1</v>
      </c>
      <c r="BJ93" s="1" t="str">
        <f t="shared" ca="1" si="253"/>
        <v/>
      </c>
      <c r="BK93" s="1" t="str">
        <f t="shared" ca="1" si="254"/>
        <v/>
      </c>
      <c r="BL93" s="1" t="str">
        <f t="shared" ca="1" si="255"/>
        <v/>
      </c>
      <c r="BM93" s="1" t="str">
        <f t="shared" ca="1" si="256"/>
        <v/>
      </c>
      <c r="BQ93" s="1" t="e">
        <f>MATCH(CONCATENATE($B93,"_",INDEX($C$4:$C88,BQ$65)),lu_DataCode,0)</f>
        <v>#N/A</v>
      </c>
      <c r="BR93" s="1" t="e">
        <f t="shared" ca="1" si="192"/>
        <v>#N/A</v>
      </c>
      <c r="BS93" s="1" t="e">
        <f t="shared" ca="1" si="193"/>
        <v>#N/A</v>
      </c>
      <c r="BT93" s="1">
        <f t="shared" ca="1" si="194"/>
        <v>0</v>
      </c>
      <c r="BU93" s="1">
        <f t="shared" ca="1" si="257"/>
        <v>-10000000000</v>
      </c>
      <c r="BV93" s="1">
        <f ca="1">RANK(BU93,BU$68:BU$93,BU$65)+COUNTIF(BU$68:BU93,BU93)-1</f>
        <v>26</v>
      </c>
      <c r="BW93" s="1">
        <f t="shared" ca="1" si="258"/>
        <v>26</v>
      </c>
      <c r="BX93" s="1">
        <f t="shared" ca="1" si="259"/>
        <v>0</v>
      </c>
      <c r="BY93" s="1">
        <f t="shared" ca="1" si="260"/>
        <v>1</v>
      </c>
      <c r="BZ93" s="1" t="str">
        <f t="shared" ca="1" si="261"/>
        <v/>
      </c>
      <c r="CA93" s="1" t="str">
        <f t="shared" ca="1" si="262"/>
        <v/>
      </c>
      <c r="CB93" s="1" t="str">
        <f t="shared" ca="1" si="263"/>
        <v/>
      </c>
      <c r="CC93" s="1" t="str">
        <f t="shared" ca="1" si="264"/>
        <v/>
      </c>
      <c r="CG93" s="1" t="e">
        <f>MATCH(CONCATENATE($B93,"_",INDEX($C$4:$C88,CG$65)),lu_DataCode,0)</f>
        <v>#N/A</v>
      </c>
      <c r="CH93" s="1" t="e">
        <f t="shared" ca="1" si="195"/>
        <v>#N/A</v>
      </c>
      <c r="CI93" s="1" t="e">
        <f t="shared" ca="1" si="196"/>
        <v>#N/A</v>
      </c>
      <c r="CJ93" s="1">
        <f t="shared" ca="1" si="197"/>
        <v>0</v>
      </c>
      <c r="CK93" s="1">
        <f t="shared" ca="1" si="265"/>
        <v>-10000000000</v>
      </c>
      <c r="CL93" s="1">
        <f ca="1">RANK(CK93,CK$68:CK$93,CK$65)+COUNTIF(CK$68:CK93,CK93)-1</f>
        <v>26</v>
      </c>
      <c r="CM93" s="1">
        <f t="shared" ca="1" si="266"/>
        <v>26</v>
      </c>
      <c r="CN93" s="1">
        <f t="shared" ca="1" si="267"/>
        <v>0</v>
      </c>
      <c r="CO93" s="1">
        <f t="shared" ca="1" si="268"/>
        <v>1</v>
      </c>
      <c r="CP93" s="1" t="str">
        <f t="shared" ca="1" si="269"/>
        <v/>
      </c>
      <c r="CQ93" s="1" t="str">
        <f t="shared" ca="1" si="270"/>
        <v/>
      </c>
      <c r="CR93" s="1" t="str">
        <f t="shared" ca="1" si="271"/>
        <v/>
      </c>
      <c r="CS93" s="1" t="str">
        <f t="shared" ca="1" si="272"/>
        <v/>
      </c>
      <c r="CW93" s="1" t="e">
        <f>MATCH(CONCATENATE($B93,"_",INDEX($C$4:$C88,CW$65)),lu_DataCode,0)</f>
        <v>#N/A</v>
      </c>
      <c r="CX93" s="1" t="e">
        <f t="shared" ca="1" si="198"/>
        <v>#N/A</v>
      </c>
      <c r="CY93" s="1" t="e">
        <f t="shared" ca="1" si="199"/>
        <v>#N/A</v>
      </c>
      <c r="CZ93" s="1">
        <f t="shared" ca="1" si="200"/>
        <v>0</v>
      </c>
      <c r="DA93" s="1">
        <f t="shared" ca="1" si="273"/>
        <v>-10000000000</v>
      </c>
      <c r="DB93" s="1">
        <f ca="1">RANK(DA93,DA$68:DA$93,DA$65)+COUNTIF(DA$68:DA93,DA93)-1</f>
        <v>26</v>
      </c>
      <c r="DC93" s="1">
        <f t="shared" ca="1" si="274"/>
        <v>26</v>
      </c>
      <c r="DD93" s="1">
        <f t="shared" ca="1" si="275"/>
        <v>0</v>
      </c>
      <c r="DE93" s="1">
        <f t="shared" ca="1" si="276"/>
        <v>1</v>
      </c>
      <c r="DF93" s="1" t="str">
        <f t="shared" ca="1" si="277"/>
        <v/>
      </c>
      <c r="DG93" s="1" t="str">
        <f t="shared" ca="1" si="278"/>
        <v/>
      </c>
      <c r="DH93" s="1" t="str">
        <f t="shared" ca="1" si="279"/>
        <v/>
      </c>
      <c r="DI93" s="1" t="str">
        <f t="shared" ca="1" si="280"/>
        <v/>
      </c>
      <c r="DM93" s="1" t="e">
        <f>MATCH(CONCATENATE($B93,"_",INDEX($C$4:$C88,DM$65)),lu_DataCode,0)</f>
        <v>#N/A</v>
      </c>
      <c r="DN93" s="1" t="e">
        <f t="shared" ca="1" si="201"/>
        <v>#N/A</v>
      </c>
      <c r="DO93" s="1" t="e">
        <f t="shared" ca="1" si="202"/>
        <v>#N/A</v>
      </c>
      <c r="DP93" s="1">
        <f t="shared" ca="1" si="203"/>
        <v>0</v>
      </c>
      <c r="DQ93" s="1">
        <f t="shared" ca="1" si="281"/>
        <v>-10000000000</v>
      </c>
      <c r="DR93" s="1">
        <f ca="1">RANK(DQ93,DQ$68:DQ$93,DQ$65)+COUNTIF(DQ$68:DQ93,DQ93)-1</f>
        <v>26</v>
      </c>
      <c r="DS93" s="1">
        <f t="shared" ca="1" si="282"/>
        <v>26</v>
      </c>
      <c r="DT93" s="1">
        <f t="shared" ca="1" si="283"/>
        <v>0</v>
      </c>
      <c r="DU93" s="1">
        <f t="shared" ca="1" si="284"/>
        <v>1</v>
      </c>
      <c r="DV93" s="1" t="str">
        <f t="shared" ca="1" si="285"/>
        <v/>
      </c>
      <c r="DW93" s="1" t="str">
        <f t="shared" ca="1" si="286"/>
        <v/>
      </c>
      <c r="DX93" s="1" t="str">
        <f t="shared" ca="1" si="287"/>
        <v/>
      </c>
      <c r="DY93" s="1" t="str">
        <f t="shared" ca="1" si="288"/>
        <v/>
      </c>
      <c r="EC93" s="1" t="e">
        <f>MATCH(CONCATENATE($B93,"_",INDEX($C$4:$C88,EC$65)),lu_DataCode,0)</f>
        <v>#N/A</v>
      </c>
      <c r="ED93" s="1" t="e">
        <f t="shared" ca="1" si="204"/>
        <v>#N/A</v>
      </c>
      <c r="EE93" s="1" t="e">
        <f t="shared" ca="1" si="205"/>
        <v>#N/A</v>
      </c>
      <c r="EF93" s="1">
        <f t="shared" ca="1" si="206"/>
        <v>0</v>
      </c>
      <c r="EG93" s="1">
        <f t="shared" ca="1" si="289"/>
        <v>-10000000000</v>
      </c>
      <c r="EH93" s="1">
        <f ca="1">RANK(EG93,EG$68:EG$93,EG$65)+COUNTIF(EG$68:EG93,EG93)-1</f>
        <v>26</v>
      </c>
      <c r="EI93" s="1">
        <f t="shared" ca="1" si="290"/>
        <v>26</v>
      </c>
      <c r="EJ93" s="1">
        <f t="shared" ca="1" si="291"/>
        <v>0</v>
      </c>
      <c r="EK93" s="1">
        <f t="shared" ca="1" si="292"/>
        <v>1</v>
      </c>
      <c r="EL93" s="1" t="str">
        <f t="shared" ca="1" si="293"/>
        <v/>
      </c>
      <c r="EM93" s="1" t="str">
        <f t="shared" ca="1" si="294"/>
        <v/>
      </c>
      <c r="EN93" s="1" t="str">
        <f t="shared" ca="1" si="295"/>
        <v/>
      </c>
      <c r="EO93" s="1" t="str">
        <f t="shared" ca="1" si="296"/>
        <v/>
      </c>
      <c r="ES93" s="1" t="e">
        <f>MATCH(CONCATENATE($B93,"_",INDEX($C$4:$C88,ES$65)),lu_DataCode,0)</f>
        <v>#N/A</v>
      </c>
      <c r="ET93" s="1" t="e">
        <f t="shared" ca="1" si="207"/>
        <v>#N/A</v>
      </c>
      <c r="EU93" s="1" t="e">
        <f t="shared" ca="1" si="208"/>
        <v>#N/A</v>
      </c>
      <c r="EV93" s="1">
        <f t="shared" ca="1" si="209"/>
        <v>0</v>
      </c>
      <c r="EW93" s="1">
        <f t="shared" ca="1" si="297"/>
        <v>-10000000000</v>
      </c>
      <c r="EX93" s="1">
        <f ca="1">RANK(EW93,EW$68:EW$93,EW$65)+COUNTIF(EW$68:EW93,EW93)-1</f>
        <v>26</v>
      </c>
      <c r="EY93" s="1">
        <f t="shared" ca="1" si="298"/>
        <v>26</v>
      </c>
      <c r="EZ93" s="1">
        <f t="shared" ca="1" si="299"/>
        <v>0</v>
      </c>
      <c r="FA93" s="1">
        <f t="shared" ca="1" si="300"/>
        <v>1</v>
      </c>
      <c r="FB93" s="1" t="str">
        <f t="shared" ca="1" si="301"/>
        <v/>
      </c>
      <c r="FC93" s="1" t="str">
        <f t="shared" ca="1" si="302"/>
        <v/>
      </c>
      <c r="FD93" s="1" t="str">
        <f t="shared" ca="1" si="303"/>
        <v/>
      </c>
      <c r="FE93" s="1" t="str">
        <f t="shared" ca="1" si="304"/>
        <v/>
      </c>
      <c r="FI93" s="1" t="e">
        <f>MATCH(CONCATENATE($B93,"_",INDEX($C$4:$C88,FI$65)),lu_DataCode,0)</f>
        <v>#N/A</v>
      </c>
      <c r="FJ93" s="1" t="e">
        <f t="shared" ca="1" si="210"/>
        <v>#N/A</v>
      </c>
      <c r="FK93" s="1" t="e">
        <f t="shared" ca="1" si="211"/>
        <v>#N/A</v>
      </c>
      <c r="FL93" s="1">
        <f t="shared" ca="1" si="212"/>
        <v>0</v>
      </c>
      <c r="FM93" s="1">
        <f t="shared" ca="1" si="305"/>
        <v>-10000000000</v>
      </c>
      <c r="FN93" s="1">
        <f ca="1">RANK(FM93,FM$68:FM$93,FM$65)+COUNTIF(FM$68:FM93,FM93)-1</f>
        <v>26</v>
      </c>
      <c r="FO93" s="1">
        <f t="shared" ca="1" si="306"/>
        <v>26</v>
      </c>
      <c r="FP93" s="1">
        <f t="shared" ca="1" si="307"/>
        <v>0</v>
      </c>
      <c r="FQ93" s="1">
        <f t="shared" ca="1" si="308"/>
        <v>1</v>
      </c>
      <c r="FR93" s="1" t="str">
        <f t="shared" ca="1" si="309"/>
        <v/>
      </c>
      <c r="FS93" s="1" t="str">
        <f t="shared" ca="1" si="310"/>
        <v/>
      </c>
      <c r="FT93" s="1" t="str">
        <f t="shared" ca="1" si="311"/>
        <v/>
      </c>
      <c r="FU93" s="1" t="str">
        <f t="shared" ca="1" si="312"/>
        <v/>
      </c>
      <c r="FY93" s="1" t="e">
        <f>MATCH(CONCATENATE($B93,"_",INDEX($C$4:$C88,FY$65)),lu_DataCode,0)</f>
        <v>#N/A</v>
      </c>
      <c r="FZ93" s="1" t="e">
        <f t="shared" ca="1" si="213"/>
        <v>#N/A</v>
      </c>
      <c r="GA93" s="1" t="e">
        <f t="shared" ca="1" si="214"/>
        <v>#N/A</v>
      </c>
      <c r="GB93" s="1">
        <f t="shared" ca="1" si="215"/>
        <v>0</v>
      </c>
      <c r="GC93" s="1">
        <f t="shared" ca="1" si="313"/>
        <v>-10000000000</v>
      </c>
      <c r="GD93" s="1">
        <f ca="1">RANK(GC93,GC$68:GC$93,GC$65)+COUNTIF(GC$68:GC93,GC93)-1</f>
        <v>26</v>
      </c>
      <c r="GE93" s="1">
        <f t="shared" ca="1" si="314"/>
        <v>26</v>
      </c>
      <c r="GF93" s="1">
        <f t="shared" ca="1" si="315"/>
        <v>0</v>
      </c>
      <c r="GG93" s="1">
        <f t="shared" ca="1" si="316"/>
        <v>1</v>
      </c>
      <c r="GH93" s="1" t="str">
        <f t="shared" ca="1" si="317"/>
        <v/>
      </c>
      <c r="GI93" s="1" t="str">
        <f t="shared" ca="1" si="318"/>
        <v/>
      </c>
      <c r="GJ93" s="1" t="str">
        <f t="shared" ca="1" si="319"/>
        <v/>
      </c>
      <c r="GK93" s="1" t="str">
        <f t="shared" ca="1" si="320"/>
        <v/>
      </c>
      <c r="GO93" s="1" t="e">
        <f>MATCH(CONCATENATE($B93,"_",INDEX($C$4:$C88,GO$65)),lu_DataCode,0)</f>
        <v>#N/A</v>
      </c>
      <c r="GP93" s="1" t="e">
        <f t="shared" ca="1" si="216"/>
        <v>#N/A</v>
      </c>
      <c r="GQ93" s="1" t="e">
        <f t="shared" ca="1" si="217"/>
        <v>#N/A</v>
      </c>
      <c r="GR93" s="1">
        <f t="shared" ca="1" si="218"/>
        <v>0</v>
      </c>
      <c r="GS93" s="1">
        <f t="shared" ca="1" si="321"/>
        <v>-10000000000</v>
      </c>
      <c r="GT93" s="1">
        <f ca="1">RANK(GS93,GS$68:GS$93,GS$65)+COUNTIF(GS$68:GS93,GS93)-1</f>
        <v>26</v>
      </c>
      <c r="GU93" s="1">
        <f t="shared" ca="1" si="322"/>
        <v>26</v>
      </c>
      <c r="GV93" s="1">
        <f t="shared" ca="1" si="323"/>
        <v>0</v>
      </c>
      <c r="GW93" s="1">
        <f t="shared" ca="1" si="324"/>
        <v>1</v>
      </c>
      <c r="GX93" s="1" t="str">
        <f t="shared" ca="1" si="325"/>
        <v/>
      </c>
      <c r="GY93" s="1" t="str">
        <f t="shared" ca="1" si="326"/>
        <v/>
      </c>
      <c r="GZ93" s="1" t="str">
        <f t="shared" ca="1" si="327"/>
        <v/>
      </c>
      <c r="HA93" s="1" t="str">
        <f t="shared" ca="1" si="328"/>
        <v/>
      </c>
      <c r="HE93" s="1" t="e">
        <f>MATCH(CONCATENATE($B93,"_",INDEX($C$4:$C88,HE$65)),lu_DataCode,0)</f>
        <v>#N/A</v>
      </c>
      <c r="HF93" s="1" t="e">
        <f t="shared" ca="1" si="219"/>
        <v>#N/A</v>
      </c>
      <c r="HG93" s="1" t="e">
        <f t="shared" ca="1" si="220"/>
        <v>#N/A</v>
      </c>
      <c r="HH93" s="1">
        <f t="shared" ca="1" si="221"/>
        <v>0</v>
      </c>
      <c r="HI93" s="1">
        <f t="shared" ca="1" si="329"/>
        <v>-10000000000</v>
      </c>
      <c r="HJ93" s="1">
        <f ca="1">RANK(HI93,HI$68:HI$93,HI$65)+COUNTIF(HI$68:HI93,HI93)-1</f>
        <v>26</v>
      </c>
      <c r="HK93" s="1">
        <f t="shared" ca="1" si="330"/>
        <v>26</v>
      </c>
      <c r="HL93" s="1">
        <f t="shared" ca="1" si="331"/>
        <v>0</v>
      </c>
      <c r="HM93" s="1">
        <f t="shared" ca="1" si="332"/>
        <v>1</v>
      </c>
      <c r="HN93" s="1" t="str">
        <f t="shared" ca="1" si="333"/>
        <v/>
      </c>
      <c r="HO93" s="1" t="str">
        <f t="shared" ca="1" si="334"/>
        <v/>
      </c>
      <c r="HP93" s="1" t="str">
        <f t="shared" ca="1" si="335"/>
        <v/>
      </c>
      <c r="HQ93" s="1" t="str">
        <f t="shared" ca="1" si="336"/>
        <v/>
      </c>
      <c r="HU93" s="1" t="e">
        <f>MATCH(CONCATENATE($B93,"_",INDEX($C$4:$C88,HU$65)),lu_DataCode,0)</f>
        <v>#N/A</v>
      </c>
      <c r="HV93" s="1" t="e">
        <f t="shared" ca="1" si="222"/>
        <v>#N/A</v>
      </c>
      <c r="HW93" s="1" t="e">
        <f t="shared" ca="1" si="223"/>
        <v>#N/A</v>
      </c>
      <c r="HX93" s="1">
        <f t="shared" ca="1" si="224"/>
        <v>0</v>
      </c>
      <c r="HY93" s="1">
        <f t="shared" ca="1" si="337"/>
        <v>-10000000000</v>
      </c>
      <c r="HZ93" s="1">
        <f ca="1">RANK(HY93,HY$68:HY$93,HY$65)+COUNTIF(HY$68:HY93,HY93)-1</f>
        <v>26</v>
      </c>
      <c r="IA93" s="1">
        <f t="shared" ca="1" si="338"/>
        <v>26</v>
      </c>
      <c r="IB93" s="1">
        <f t="shared" ca="1" si="339"/>
        <v>0</v>
      </c>
      <c r="IC93" s="1">
        <f t="shared" ca="1" si="340"/>
        <v>1</v>
      </c>
      <c r="ID93" s="1" t="str">
        <f t="shared" ca="1" si="341"/>
        <v/>
      </c>
      <c r="IE93" s="1" t="str">
        <f t="shared" ca="1" si="342"/>
        <v/>
      </c>
      <c r="IF93" s="1" t="str">
        <f t="shared" ca="1" si="343"/>
        <v/>
      </c>
      <c r="IG93" s="1" t="str">
        <f t="shared" ca="1" si="344"/>
        <v/>
      </c>
    </row>
    <row r="98" spans="1:171" x14ac:dyDescent="0.2">
      <c r="A98" s="1" t="s">
        <v>190</v>
      </c>
      <c r="B98" s="1">
        <v>16</v>
      </c>
      <c r="CP98" s="73"/>
    </row>
    <row r="99" spans="1:171" x14ac:dyDescent="0.2">
      <c r="E99" s="1">
        <v>1</v>
      </c>
      <c r="K99" s="6">
        <f>E99+1</f>
        <v>2</v>
      </c>
      <c r="Q99" s="6">
        <f>K99+1</f>
        <v>3</v>
      </c>
      <c r="W99" s="6">
        <f>Q99+1</f>
        <v>4</v>
      </c>
      <c r="AC99" s="6">
        <f>W99+1</f>
        <v>5</v>
      </c>
      <c r="AI99" s="6">
        <f>AC99+1</f>
        <v>6</v>
      </c>
      <c r="AO99" s="6">
        <f>AI99+1</f>
        <v>7</v>
      </c>
      <c r="AU99" s="6">
        <f>AO99+1</f>
        <v>8</v>
      </c>
      <c r="BA99" s="6">
        <f>AU99+1</f>
        <v>9</v>
      </c>
      <c r="BG99" s="6">
        <f>BA99+1</f>
        <v>10</v>
      </c>
      <c r="BM99" s="6">
        <f>BG99+1</f>
        <v>11</v>
      </c>
      <c r="BS99" s="6">
        <f>BM99+1</f>
        <v>12</v>
      </c>
      <c r="BY99" s="6">
        <f>BS99+1</f>
        <v>13</v>
      </c>
      <c r="CE99" s="6">
        <f>BY99+1</f>
        <v>14</v>
      </c>
      <c r="CK99" s="6">
        <f>CE99+1</f>
        <v>15</v>
      </c>
      <c r="CP99" s="73"/>
      <c r="CQ99" s="6">
        <f>CK99+1</f>
        <v>16</v>
      </c>
      <c r="CW99" s="6">
        <f>CQ99+1</f>
        <v>17</v>
      </c>
      <c r="DC99" s="6">
        <f>CW99+1</f>
        <v>18</v>
      </c>
      <c r="DI99" s="6">
        <f>DC99+1</f>
        <v>19</v>
      </c>
      <c r="DO99" s="6">
        <f>DI99+1</f>
        <v>20</v>
      </c>
      <c r="DU99" s="6">
        <f>DO99+1</f>
        <v>21</v>
      </c>
      <c r="EA99" s="6">
        <f>DU99+1</f>
        <v>22</v>
      </c>
      <c r="EG99" s="6">
        <f>EA99+1</f>
        <v>23</v>
      </c>
      <c r="EM99" s="6">
        <f>EG99+1</f>
        <v>24</v>
      </c>
      <c r="ES99" s="6">
        <f>EM99+1</f>
        <v>25</v>
      </c>
      <c r="EY99" s="6">
        <f>ES99+1</f>
        <v>26</v>
      </c>
      <c r="FE99" s="6">
        <f>EY99+1</f>
        <v>27</v>
      </c>
      <c r="FK99" s="6">
        <f>FE99+1</f>
        <v>28</v>
      </c>
    </row>
    <row r="100" spans="1:171" x14ac:dyDescent="0.2">
      <c r="E100" s="1">
        <f>INDEX($B$4:$B$31,E99)</f>
        <v>2</v>
      </c>
      <c r="K100" s="1">
        <f>INDEX($B$4:$B$31,K99)</f>
        <v>3</v>
      </c>
      <c r="Q100" s="1">
        <f>INDEX($B$4:$B$31,Q99)</f>
        <v>4</v>
      </c>
      <c r="W100" s="1">
        <f>INDEX($B$4:$B$31,W99)</f>
        <v>5</v>
      </c>
      <c r="AC100" s="1">
        <f>INDEX($B$4:$B$31,AC99)</f>
        <v>6</v>
      </c>
      <c r="AI100" s="1">
        <f>INDEX($B$4:$B$31,AI99)</f>
        <v>7</v>
      </c>
      <c r="AO100" s="1">
        <f>INDEX($B$4:$B$31,AO99)</f>
        <v>8</v>
      </c>
      <c r="AU100" s="1">
        <f>INDEX($B$4:$B$31,AU99)</f>
        <v>9</v>
      </c>
      <c r="BA100" s="1">
        <f>INDEX($B$4:$B$31,BA99)</f>
        <v>10</v>
      </c>
      <c r="BG100" s="1">
        <f>INDEX($B$4:$B$31,BG99)</f>
        <v>11</v>
      </c>
      <c r="BM100" s="1">
        <f>INDEX($B$4:$B$31,BM99)</f>
        <v>12</v>
      </c>
      <c r="BS100" s="1">
        <f>INDEX($B$4:$B$31,BS99)</f>
        <v>0</v>
      </c>
      <c r="BY100" s="1">
        <f>INDEX($B$4:$B$31,BY99)</f>
        <v>0</v>
      </c>
      <c r="CE100" s="1">
        <f>INDEX($B$4:$B$31,CE99)</f>
        <v>0</v>
      </c>
      <c r="CK100" s="1">
        <f>INDEX($B$4:$B$31,CK99)</f>
        <v>0</v>
      </c>
      <c r="CP100" s="73"/>
      <c r="CQ100" s="1">
        <f>INDEX($B$4:$B$31,CQ99)</f>
        <v>0</v>
      </c>
      <c r="CW100" s="1">
        <f>INDEX($B$4:$B$31,CW99)</f>
        <v>0</v>
      </c>
      <c r="DC100" s="1">
        <f>INDEX($B$4:$B$31,DC99)</f>
        <v>0</v>
      </c>
      <c r="DI100" s="1">
        <f>INDEX($B$4:$B$31,DI99)</f>
        <v>0</v>
      </c>
      <c r="DO100" s="1">
        <f>INDEX($B$4:$B$31,DO99)</f>
        <v>0</v>
      </c>
      <c r="DU100" s="1">
        <f>INDEX($B$4:$B$31,DU99)</f>
        <v>0</v>
      </c>
      <c r="EA100" s="1">
        <f>INDEX($B$4:$B$31,EA99)</f>
        <v>0</v>
      </c>
      <c r="EG100" s="1">
        <f>INDEX($B$4:$B$31,EG99)</f>
        <v>0</v>
      </c>
      <c r="EM100" s="1">
        <f>INDEX($B$4:$B$31,EM99)</f>
        <v>0</v>
      </c>
      <c r="ES100" s="1">
        <f>INDEX($B$4:$B$31,ES99)</f>
        <v>0</v>
      </c>
      <c r="EY100" s="1">
        <f>INDEX($B$4:$B$31,EY99)</f>
        <v>0</v>
      </c>
      <c r="FE100" s="1">
        <f>INDEX($B$4:$B$31,FE99)</f>
        <v>0</v>
      </c>
      <c r="FK100" s="1">
        <f>INDEX($B$4:$B$31,FK99)</f>
        <v>0</v>
      </c>
    </row>
    <row r="101" spans="1:171" x14ac:dyDescent="0.2">
      <c r="E101" s="39">
        <v>0</v>
      </c>
      <c r="F101" s="39">
        <v>1</v>
      </c>
      <c r="G101" s="39">
        <v>2</v>
      </c>
      <c r="H101" s="39">
        <v>3</v>
      </c>
      <c r="I101" s="39">
        <v>4</v>
      </c>
      <c r="K101" s="39">
        <v>0</v>
      </c>
      <c r="L101" s="39">
        <v>1</v>
      </c>
      <c r="M101" s="39">
        <v>2</v>
      </c>
      <c r="N101" s="39">
        <v>3</v>
      </c>
      <c r="O101" s="39">
        <v>4</v>
      </c>
      <c r="Q101" s="39">
        <v>0</v>
      </c>
      <c r="R101" s="39">
        <v>1</v>
      </c>
      <c r="S101" s="39">
        <v>2</v>
      </c>
      <c r="T101" s="39">
        <v>3</v>
      </c>
      <c r="U101" s="39">
        <v>4</v>
      </c>
      <c r="W101" s="39">
        <v>0</v>
      </c>
      <c r="X101" s="39">
        <v>1</v>
      </c>
      <c r="Y101" s="39">
        <v>2</v>
      </c>
      <c r="Z101" s="39">
        <v>3</v>
      </c>
      <c r="AA101" s="39">
        <v>4</v>
      </c>
      <c r="AC101" s="39">
        <v>0</v>
      </c>
      <c r="AD101" s="39">
        <v>1</v>
      </c>
      <c r="AE101" s="39">
        <v>2</v>
      </c>
      <c r="AF101" s="39">
        <v>3</v>
      </c>
      <c r="AG101" s="39">
        <v>4</v>
      </c>
      <c r="AI101" s="39">
        <v>0</v>
      </c>
      <c r="AJ101" s="39">
        <v>1</v>
      </c>
      <c r="AK101" s="39">
        <v>2</v>
      </c>
      <c r="AL101" s="39">
        <v>3</v>
      </c>
      <c r="AM101" s="39">
        <v>4</v>
      </c>
      <c r="AO101" s="39">
        <v>0</v>
      </c>
      <c r="AP101" s="39">
        <v>1</v>
      </c>
      <c r="AQ101" s="39">
        <v>2</v>
      </c>
      <c r="AR101" s="39">
        <v>3</v>
      </c>
      <c r="AS101" s="39">
        <v>4</v>
      </c>
      <c r="AU101" s="39">
        <v>0</v>
      </c>
      <c r="AV101" s="39">
        <v>1</v>
      </c>
      <c r="AW101" s="39">
        <v>2</v>
      </c>
      <c r="AX101" s="39">
        <v>3</v>
      </c>
      <c r="AY101" s="39">
        <v>4</v>
      </c>
      <c r="BA101" s="39">
        <v>0</v>
      </c>
      <c r="BB101" s="39">
        <v>1</v>
      </c>
      <c r="BC101" s="39">
        <v>2</v>
      </c>
      <c r="BD101" s="39">
        <v>3</v>
      </c>
      <c r="BE101" s="39">
        <v>4</v>
      </c>
      <c r="BG101" s="39">
        <v>0</v>
      </c>
      <c r="BH101" s="39">
        <v>1</v>
      </c>
      <c r="BI101" s="39">
        <v>2</v>
      </c>
      <c r="BJ101" s="39">
        <v>3</v>
      </c>
      <c r="BK101" s="39">
        <v>4</v>
      </c>
      <c r="BM101" s="39">
        <v>0</v>
      </c>
      <c r="BN101" s="39">
        <v>1</v>
      </c>
      <c r="BO101" s="39">
        <v>2</v>
      </c>
      <c r="BP101" s="39">
        <v>3</v>
      </c>
      <c r="BQ101" s="39">
        <v>4</v>
      </c>
      <c r="BS101" s="39">
        <v>0</v>
      </c>
      <c r="BT101" s="39">
        <v>1</v>
      </c>
      <c r="BU101" s="39">
        <v>2</v>
      </c>
      <c r="BV101" s="39">
        <v>3</v>
      </c>
      <c r="BW101" s="39">
        <v>4</v>
      </c>
      <c r="BY101" s="39">
        <v>0</v>
      </c>
      <c r="BZ101" s="39">
        <v>1</v>
      </c>
      <c r="CA101" s="39">
        <v>2</v>
      </c>
      <c r="CB101" s="39">
        <v>3</v>
      </c>
      <c r="CC101" s="39">
        <v>4</v>
      </c>
      <c r="CE101" s="39">
        <v>0</v>
      </c>
      <c r="CF101" s="39">
        <v>1</v>
      </c>
      <c r="CG101" s="39">
        <v>2</v>
      </c>
      <c r="CH101" s="39">
        <v>3</v>
      </c>
      <c r="CI101" s="39">
        <v>4</v>
      </c>
      <c r="CK101" s="39">
        <v>0</v>
      </c>
      <c r="CL101" s="39">
        <v>1</v>
      </c>
      <c r="CM101" s="39">
        <v>2</v>
      </c>
      <c r="CN101" s="39">
        <v>3</v>
      </c>
      <c r="CO101" s="39">
        <v>4</v>
      </c>
      <c r="CP101" s="73"/>
      <c r="CQ101" s="39">
        <v>0</v>
      </c>
      <c r="CR101" s="39">
        <v>1</v>
      </c>
      <c r="CS101" s="39">
        <v>2</v>
      </c>
      <c r="CT101" s="39">
        <v>3</v>
      </c>
      <c r="CU101" s="39">
        <v>4</v>
      </c>
      <c r="CW101" s="39">
        <v>0</v>
      </c>
      <c r="CX101" s="39">
        <v>1</v>
      </c>
      <c r="CY101" s="39">
        <v>2</v>
      </c>
      <c r="CZ101" s="39">
        <v>3</v>
      </c>
      <c r="DA101" s="39">
        <v>4</v>
      </c>
      <c r="DC101" s="39">
        <v>0</v>
      </c>
      <c r="DD101" s="39">
        <v>1</v>
      </c>
      <c r="DE101" s="39">
        <v>2</v>
      </c>
      <c r="DF101" s="39">
        <v>3</v>
      </c>
      <c r="DG101" s="39">
        <v>4</v>
      </c>
      <c r="DI101" s="39">
        <v>0</v>
      </c>
      <c r="DJ101" s="39">
        <v>1</v>
      </c>
      <c r="DK101" s="39">
        <v>2</v>
      </c>
      <c r="DL101" s="39">
        <v>3</v>
      </c>
      <c r="DM101" s="39">
        <v>4</v>
      </c>
      <c r="DO101" s="39">
        <v>0</v>
      </c>
      <c r="DP101" s="39">
        <v>1</v>
      </c>
      <c r="DQ101" s="39">
        <v>2</v>
      </c>
      <c r="DR101" s="39">
        <v>3</v>
      </c>
      <c r="DS101" s="39">
        <v>4</v>
      </c>
      <c r="DU101" s="39">
        <v>0</v>
      </c>
      <c r="DV101" s="39">
        <v>1</v>
      </c>
      <c r="DW101" s="39">
        <v>2</v>
      </c>
      <c r="DX101" s="39">
        <v>3</v>
      </c>
      <c r="DY101" s="39">
        <v>4</v>
      </c>
      <c r="EA101" s="39">
        <v>0</v>
      </c>
      <c r="EB101" s="39">
        <v>1</v>
      </c>
      <c r="EC101" s="39">
        <v>2</v>
      </c>
      <c r="ED101" s="39">
        <v>3</v>
      </c>
      <c r="EE101" s="39">
        <v>4</v>
      </c>
      <c r="EG101" s="39">
        <v>0</v>
      </c>
      <c r="EH101" s="39">
        <v>1</v>
      </c>
      <c r="EI101" s="39">
        <v>2</v>
      </c>
      <c r="EJ101" s="39">
        <v>3</v>
      </c>
      <c r="EK101" s="39">
        <v>4</v>
      </c>
      <c r="EM101" s="39">
        <v>0</v>
      </c>
      <c r="EN101" s="39">
        <v>1</v>
      </c>
      <c r="EO101" s="39">
        <v>2</v>
      </c>
      <c r="EP101" s="39">
        <v>3</v>
      </c>
      <c r="EQ101" s="39">
        <v>4</v>
      </c>
      <c r="ES101" s="39">
        <v>0</v>
      </c>
      <c r="ET101" s="39">
        <v>1</v>
      </c>
      <c r="EU101" s="39">
        <v>2</v>
      </c>
      <c r="EV101" s="39">
        <v>3</v>
      </c>
      <c r="EW101" s="39">
        <v>4</v>
      </c>
      <c r="EY101" s="39">
        <v>0</v>
      </c>
      <c r="EZ101" s="39">
        <v>1</v>
      </c>
      <c r="FA101" s="39">
        <v>2</v>
      </c>
      <c r="FB101" s="39">
        <v>3</v>
      </c>
      <c r="FC101" s="39">
        <v>4</v>
      </c>
      <c r="FE101" s="39">
        <v>0</v>
      </c>
      <c r="FF101" s="39">
        <v>1</v>
      </c>
      <c r="FG101" s="39">
        <v>2</v>
      </c>
      <c r="FH101" s="39">
        <v>3</v>
      </c>
      <c r="FI101" s="39">
        <v>4</v>
      </c>
      <c r="FK101" s="39">
        <v>0</v>
      </c>
      <c r="FL101" s="39">
        <v>1</v>
      </c>
      <c r="FM101" s="39">
        <v>2</v>
      </c>
      <c r="FN101" s="39">
        <v>3</v>
      </c>
      <c r="FO101" s="39">
        <v>4</v>
      </c>
    </row>
    <row r="102" spans="1:171" x14ac:dyDescent="0.2">
      <c r="E102" s="49"/>
      <c r="F102" s="49" t="str">
        <f>IF(E100=0,"",INDEX($V$4:$V$31,E$99))</f>
        <v>GENERAL INDICATORS »</v>
      </c>
      <c r="G102" s="49"/>
      <c r="H102" s="49"/>
      <c r="I102" s="49"/>
      <c r="K102" s="49"/>
      <c r="L102" s="49" t="str">
        <f>IF(K100=0,"",INDEX($V$4:$V$31,K$99))</f>
        <v>GENERAL INDICATORS »</v>
      </c>
      <c r="M102" s="49"/>
      <c r="N102" s="49"/>
      <c r="O102" s="49"/>
      <c r="Q102" s="49"/>
      <c r="R102" s="49" t="str">
        <f>IF(Q100=0,"",INDEX($V$4:$V$31,Q$99))</f>
        <v>GENERAL INDICATORS »</v>
      </c>
      <c r="S102" s="49"/>
      <c r="T102" s="49"/>
      <c r="U102" s="49"/>
      <c r="W102" s="49"/>
      <c r="X102" s="49" t="str">
        <f>IF(W100=0,"",INDEX($V$4:$V$31,W$99))</f>
        <v>GENERAL INDICATORS »</v>
      </c>
      <c r="Y102" s="49"/>
      <c r="Z102" s="49"/>
      <c r="AA102" s="49"/>
      <c r="AC102" s="49"/>
      <c r="AD102" s="49" t="str">
        <f>IF(AC100=0,"",INDEX($V$4:$V$31,AC$99))</f>
        <v>GENERAL INDICATORS »</v>
      </c>
      <c r="AE102" s="49"/>
      <c r="AF102" s="49"/>
      <c r="AG102" s="49"/>
      <c r="AI102" s="49"/>
      <c r="AJ102" s="49" t="str">
        <f>IF(AI100=0,"",INDEX($V$4:$V$31,AI$99))</f>
        <v>GENERAL INDICATORS »</v>
      </c>
      <c r="AK102" s="49"/>
      <c r="AL102" s="49"/>
      <c r="AM102" s="49"/>
      <c r="AO102" s="49"/>
      <c r="AP102" s="49" t="str">
        <f>IF(AO100=0,"",INDEX($V$4:$V$31,AO$99))</f>
        <v>GENERAL INDICATORS »</v>
      </c>
      <c r="AQ102" s="49"/>
      <c r="AR102" s="49"/>
      <c r="AS102" s="49"/>
      <c r="AU102" s="49"/>
      <c r="AV102" s="49" t="str">
        <f>IF(AU100=0,"",INDEX($V$4:$V$31,AU$99))</f>
        <v>GENERAL INDICATORS »</v>
      </c>
      <c r="AW102" s="49"/>
      <c r="AX102" s="49"/>
      <c r="AY102" s="49"/>
      <c r="BA102" s="49"/>
      <c r="BB102" s="49" t="str">
        <f>IF(BA100=0,"",INDEX($V$4:$V$31,BA$99))</f>
        <v>GENERAL INDICATORS »</v>
      </c>
      <c r="BC102" s="49"/>
      <c r="BD102" s="49"/>
      <c r="BE102" s="49"/>
      <c r="BG102" s="49"/>
      <c r="BH102" s="49" t="str">
        <f>IF(BG100=0,"",INDEX($V$4:$V$31,BG$99))</f>
        <v>GENERAL INDICATORS »</v>
      </c>
      <c r="BI102" s="49"/>
      <c r="BJ102" s="49"/>
      <c r="BK102" s="49"/>
      <c r="BM102" s="49"/>
      <c r="BN102" s="49" t="str">
        <f>IF(BM100=0,"",INDEX($V$4:$V$31,BM$99))</f>
        <v>GENERAL INDICATORS »</v>
      </c>
      <c r="BO102" s="49"/>
      <c r="BP102" s="49"/>
      <c r="BQ102" s="49"/>
      <c r="BS102" s="49"/>
      <c r="BT102" s="49" t="str">
        <f>IF(BS100=0,"",INDEX($V$4:$V$31,BS$99))</f>
        <v/>
      </c>
      <c r="BU102" s="49"/>
      <c r="BV102" s="49"/>
      <c r="BW102" s="49"/>
      <c r="BY102" s="49"/>
      <c r="BZ102" s="49" t="str">
        <f>IF(BY100=0,"",INDEX($V$4:$V$31,BY$99))</f>
        <v/>
      </c>
      <c r="CA102" s="49"/>
      <c r="CB102" s="49"/>
      <c r="CC102" s="49"/>
      <c r="CE102" s="49"/>
      <c r="CF102" s="49" t="str">
        <f>IF(CE100=0,"",INDEX($V$4:$V$31,CE$99))</f>
        <v/>
      </c>
      <c r="CG102" s="49"/>
      <c r="CH102" s="49"/>
      <c r="CI102" s="49"/>
      <c r="CK102" s="49"/>
      <c r="CL102" s="49" t="str">
        <f>IF(CK100=0,"",INDEX($V$4:$V$31,CK$99))</f>
        <v/>
      </c>
      <c r="CM102" s="49"/>
      <c r="CN102" s="49"/>
      <c r="CO102" s="49"/>
      <c r="CP102" s="73"/>
      <c r="CQ102" s="49"/>
      <c r="CR102" s="49" t="str">
        <f>IF(CQ100=0,"",INDEX($V$4:$V$31,CQ$99))</f>
        <v/>
      </c>
      <c r="CS102" s="49"/>
      <c r="CT102" s="49"/>
      <c r="CU102" s="49"/>
      <c r="CW102" s="49"/>
      <c r="CX102" s="49" t="str">
        <f>IF(CW100=0,"",INDEX($V$4:$V$31,CW$99))</f>
        <v/>
      </c>
      <c r="CY102" s="49"/>
      <c r="CZ102" s="49"/>
      <c r="DA102" s="49"/>
      <c r="DC102" s="49"/>
      <c r="DD102" s="49" t="str">
        <f>IF(DC100=0,"",INDEX($V$4:$V$31,DC$99))</f>
        <v/>
      </c>
      <c r="DE102" s="49"/>
      <c r="DF102" s="49"/>
      <c r="DG102" s="49"/>
      <c r="DI102" s="49"/>
      <c r="DJ102" s="49" t="str">
        <f>IF(DI100=0,"",INDEX($V$4:$V$31,DI$99))</f>
        <v/>
      </c>
      <c r="DK102" s="49"/>
      <c r="DL102" s="49"/>
      <c r="DM102" s="49"/>
      <c r="DO102" s="49"/>
      <c r="DP102" s="49" t="str">
        <f>IF(DO100=0,"",INDEX($V$4:$V$31,DO$99))</f>
        <v/>
      </c>
      <c r="DQ102" s="49"/>
      <c r="DR102" s="49"/>
      <c r="DS102" s="49"/>
      <c r="DU102" s="49"/>
      <c r="DV102" s="49" t="str">
        <f>IF(DU100=0,"",INDEX($V$4:$V$31,DU$99))</f>
        <v/>
      </c>
      <c r="DW102" s="49"/>
      <c r="DX102" s="49"/>
      <c r="DY102" s="49"/>
      <c r="EA102" s="49"/>
      <c r="EB102" s="49" t="str">
        <f>IF(EA100=0,"",INDEX($V$4:$V$31,EA$99))</f>
        <v/>
      </c>
      <c r="EC102" s="49"/>
      <c r="ED102" s="49"/>
      <c r="EE102" s="49"/>
      <c r="EG102" s="49"/>
      <c r="EH102" s="49" t="str">
        <f>IF(EG100=0,"",INDEX($V$4:$V$31,EG$99))</f>
        <v/>
      </c>
      <c r="EI102" s="49"/>
      <c r="EJ102" s="49"/>
      <c r="EK102" s="49"/>
      <c r="EM102" s="49"/>
      <c r="EN102" s="49" t="str">
        <f>IF(EM100=0,"",INDEX($V$4:$V$31,EM$99))</f>
        <v/>
      </c>
      <c r="EO102" s="49"/>
      <c r="EP102" s="49"/>
      <c r="EQ102" s="49"/>
      <c r="ES102" s="49"/>
      <c r="ET102" s="49" t="str">
        <f>IF(ES100=0,"",INDEX($V$4:$V$31,ES$99))</f>
        <v/>
      </c>
      <c r="EU102" s="49"/>
      <c r="EV102" s="49"/>
      <c r="EW102" s="49"/>
      <c r="EY102" s="49"/>
      <c r="EZ102" s="49" t="str">
        <f>IF(EY100=0,"",INDEX($V$4:$V$31,EY$99))</f>
        <v/>
      </c>
      <c r="FA102" s="49"/>
      <c r="FB102" s="49"/>
      <c r="FC102" s="49"/>
      <c r="FE102" s="49"/>
      <c r="FF102" s="49" t="str">
        <f>IF(FE100=0,"",INDEX($V$4:$V$31,FE$99))</f>
        <v/>
      </c>
      <c r="FG102" s="49"/>
      <c r="FH102" s="49"/>
      <c r="FI102" s="49"/>
      <c r="FK102" s="49"/>
      <c r="FL102" s="49" t="str">
        <f>IF(FK100=0,"",INDEX($V$4:$V$31,FK$99))</f>
        <v/>
      </c>
      <c r="FM102" s="49"/>
      <c r="FN102" s="49"/>
      <c r="FO102" s="49"/>
    </row>
    <row r="103" spans="1:171" x14ac:dyDescent="0.2">
      <c r="F103" s="1" t="str">
        <f>IF(E100=0,"",INDEX($L$4:$L$31,E$99))</f>
        <v>Transport sector  % GDP</v>
      </c>
      <c r="L103" s="1" t="str">
        <f>IF(K100=0,"",INDEX($L$4:$L$31,K$99))</f>
        <v>Population</v>
      </c>
      <c r="R103" s="1" t="str">
        <f>IF(Q100=0,"",INDEX($L$4:$L$31,Q$99))</f>
        <v>Land area</v>
      </c>
      <c r="X103" s="1" t="str">
        <f>IF(W100=0,"",INDEX($L$4:$L$31,W$99))</f>
        <v>Gross Domestic Product (GDP)</v>
      </c>
      <c r="AD103" s="1" t="str">
        <f>IF(AC100=0,"",INDEX($L$4:$L$31,AC$99))</f>
        <v>GDP-PPP</v>
      </c>
      <c r="AJ103" s="1" t="str">
        <f>IF(AI100=0,"",INDEX($L$4:$L$31,AI$99))</f>
        <v>Transport service imports</v>
      </c>
      <c r="AP103" s="1" t="str">
        <f>IF(AO100=0,"",INDEX($L$4:$L$31,AO$99))</f>
        <v>Transport service exports</v>
      </c>
      <c r="AV103" s="1" t="str">
        <f>IF(AU100=0,"",INDEX($L$4:$L$31,AU$99))</f>
        <v>Value of exports</v>
      </c>
      <c r="BB103" s="1" t="str">
        <f>IF(BA100=0,"",INDEX($L$4:$L$31,BA$99))</f>
        <v>Volume of exports</v>
      </c>
      <c r="BH103" s="1" t="str">
        <f>IF(BG100=0,"",INDEX($L$4:$L$31,BG$99))</f>
        <v>Value of imports</v>
      </c>
      <c r="BN103" s="1" t="str">
        <f>IF(BM100=0,"",INDEX($L$4:$L$31,BM$99))</f>
        <v>Volume of imports</v>
      </c>
      <c r="BT103" s="1" t="str">
        <f>IF(BS100=0,"",INDEX($L$4:$L$31,BS$99))</f>
        <v/>
      </c>
      <c r="BZ103" s="1" t="str">
        <f>IF(BY100=0,"",INDEX($L$4:$L$31,BY$99))</f>
        <v/>
      </c>
      <c r="CF103" s="1" t="str">
        <f>IF(CE100=0,"",INDEX($L$4:$L$31,CE$99))</f>
        <v/>
      </c>
      <c r="CL103" s="1" t="str">
        <f>IF(CK100=0,"",INDEX($L$4:$L$31,CK$99))</f>
        <v/>
      </c>
      <c r="CP103" s="73"/>
      <c r="CR103" s="1" t="str">
        <f>IF(CQ100=0,"",INDEX($L$4:$L$31,CQ$99))</f>
        <v/>
      </c>
      <c r="CX103" s="1" t="str">
        <f>IF(CW100=0,"",INDEX($L$4:$L$31,CW$99))</f>
        <v/>
      </c>
      <c r="DD103" s="1" t="str">
        <f>IF(DC100=0,"",INDEX($L$4:$L$31,DC$99))</f>
        <v/>
      </c>
      <c r="DJ103" s="1" t="str">
        <f>IF(DI100=0,"",INDEX($L$4:$L$31,DI$99))</f>
        <v/>
      </c>
      <c r="DP103" s="1" t="str">
        <f>IF(DO100=0,"",INDEX($L$4:$L$31,DO$99))</f>
        <v/>
      </c>
      <c r="DV103" s="1" t="str">
        <f>IF(DU100=0,"",INDEX($L$4:$L$31,DU$99))</f>
        <v/>
      </c>
      <c r="EB103" s="1" t="str">
        <f>IF(EA100=0,"",INDEX($L$4:$L$31,EA$99))</f>
        <v/>
      </c>
      <c r="EH103" s="1" t="str">
        <f>IF(EG100=0,"",INDEX($L$4:$L$31,EG$99))</f>
        <v/>
      </c>
      <c r="EN103" s="1" t="str">
        <f>IF(EM100=0,"",INDEX($L$4:$L$31,EM$99))</f>
        <v/>
      </c>
      <c r="ET103" s="1" t="str">
        <f>IF(ES100=0,"",INDEX($L$4:$L$31,ES$99))</f>
        <v/>
      </c>
      <c r="EZ103" s="1" t="str">
        <f>IF(EY100=0,"",INDEX($L$4:$L$31,EY$99))</f>
        <v/>
      </c>
      <c r="FF103" s="1" t="str">
        <f>IF(FE100=0,"",INDEX($L$4:$L$31,FE$99))</f>
        <v/>
      </c>
      <c r="FL103" s="1" t="str">
        <f>IF(FK100=0,"",INDEX($L$4:$L$31,FK$99))</f>
        <v/>
      </c>
    </row>
    <row r="104" spans="1:171" x14ac:dyDescent="0.2">
      <c r="F104" s="1" t="str">
        <f>IF(E100=0,"",INDEX($M$4:$M$31,E$99))</f>
        <v>%</v>
      </c>
      <c r="L104" s="1" t="str">
        <f>IF(K100=0,"",INDEX($M$4:$M$31,K$99))</f>
        <v>millions</v>
      </c>
      <c r="R104" s="1" t="str">
        <f>IF(Q100=0,"",INDEX($M$4:$M$31,Q$99))</f>
        <v>sq km</v>
      </c>
      <c r="X104" s="1" t="str">
        <f>IF(W100=0,"",INDEX($M$4:$M$31,W$99))</f>
        <v>US$ (billions)</v>
      </c>
      <c r="AD104" s="1" t="str">
        <f>IF(AC100=0,"",INDEX($M$4:$M$31,AC$99))</f>
        <v>US$ (billions)</v>
      </c>
      <c r="AJ104" s="1" t="str">
        <f>IF(AI100=0,"",INDEX($M$4:$M$31,AI$99))</f>
        <v>US$ (billions)</v>
      </c>
      <c r="AP104" s="1" t="str">
        <f>IF(AO100=0,"",INDEX($M$4:$M$31,AO$99))</f>
        <v>US$ (billions)</v>
      </c>
      <c r="AV104" s="1" t="str">
        <f>IF(AU100=0,"",INDEX($M$4:$M$31,AU$99))</f>
        <v>US$ (billions)</v>
      </c>
      <c r="BB104" s="1" t="str">
        <f>IF(BA100=0,"",INDEX($M$4:$M$31,BA$99))</f>
        <v>ton</v>
      </c>
      <c r="BH104" s="1" t="str">
        <f>IF(BG100=0,"",INDEX($M$4:$M$31,BG$99))</f>
        <v>US$ (billions)</v>
      </c>
      <c r="BN104" s="1" t="str">
        <f>IF(BM100=0,"",INDEX($M$4:$M$31,BM$99))</f>
        <v>tons</v>
      </c>
      <c r="BT104" s="1" t="str">
        <f>IF(BS100=0,"",INDEX($M$4:$M$31,BS$99))</f>
        <v/>
      </c>
      <c r="BZ104" s="1" t="str">
        <f>IF(BY100=0,"",INDEX($M$4:$M$31,BY$99))</f>
        <v/>
      </c>
      <c r="CF104" s="1" t="str">
        <f>IF(CE100=0,"",INDEX($M$4:$M$31,CE$99))</f>
        <v/>
      </c>
      <c r="CL104" s="1" t="str">
        <f>IF(CK100=0,"",INDEX($M$4:$M$31,CK$99))</f>
        <v/>
      </c>
      <c r="CP104" s="73"/>
      <c r="CR104" s="1" t="str">
        <f>IF(CQ100=0,"",INDEX($M$4:$M$31,CQ$99))</f>
        <v/>
      </c>
      <c r="CX104" s="1" t="str">
        <f>IF(CW100=0,"",INDEX($M$4:$M$31,CW$99))</f>
        <v/>
      </c>
      <c r="DD104" s="1" t="str">
        <f>IF(DC100=0,"",INDEX($M$4:$M$31,DC$99))</f>
        <v/>
      </c>
      <c r="DJ104" s="1" t="str">
        <f>IF(DI100=0,"",INDEX($M$4:$M$31,DI$99))</f>
        <v/>
      </c>
      <c r="DP104" s="1" t="str">
        <f>IF(DO100=0,"",INDEX($M$4:$M$31,DO$99))</f>
        <v/>
      </c>
      <c r="DV104" s="1" t="str">
        <f>IF(DU100=0,"",INDEX($M$4:$M$31,DU$99))</f>
        <v/>
      </c>
      <c r="EB104" s="1" t="str">
        <f>IF(EA100=0,"",INDEX($M$4:$M$31,EA$99))</f>
        <v/>
      </c>
      <c r="EH104" s="1" t="str">
        <f>IF(EG100=0,"",INDEX($M$4:$M$31,EG$99))</f>
        <v/>
      </c>
      <c r="EN104" s="1" t="str">
        <f>IF(EM100=0,"",INDEX($M$4:$M$31,EM$99))</f>
        <v/>
      </c>
      <c r="ET104" s="1" t="str">
        <f>IF(ES100=0,"",INDEX($M$4:$M$31,ES$99))</f>
        <v/>
      </c>
      <c r="EZ104" s="1" t="str">
        <f>IF(EY100=0,"",INDEX($M$4:$M$31,EY$99))</f>
        <v/>
      </c>
      <c r="FF104" s="1" t="str">
        <f>IF(FE100=0,"",INDEX($M$4:$M$31,FE$99))</f>
        <v/>
      </c>
      <c r="FL104" s="1" t="str">
        <f>IF(FK100=0,"",INDEX($M$4:$M$31,FK$99))</f>
        <v/>
      </c>
    </row>
    <row r="105" spans="1:171" x14ac:dyDescent="0.2">
      <c r="CP105" s="73"/>
    </row>
    <row r="106" spans="1:171" x14ac:dyDescent="0.2">
      <c r="E106" s="1">
        <f t="shared" ref="E106:E114" ca="1" si="372">IF(E$100=0,0,OFFSET($M37,0,(E$99-1)*$B$98))</f>
        <v>1</v>
      </c>
      <c r="F106" s="22">
        <f t="shared" ref="F106:F114" ca="1" si="373">IF(E$100=0,"",OFFSET($M37,0,F$101+(E$99-1)*$B$98))</f>
        <v>1</v>
      </c>
      <c r="G106" s="11" t="str">
        <f t="shared" ref="G106:G114" ca="1" si="374">IF(E$100=0,"",OFFSET($M37,0,G$101+(E$99-1)*$B$98))</f>
        <v>Panamá</v>
      </c>
      <c r="H106" s="22">
        <f t="shared" ref="H106:H114" ca="1" si="375">IF(E$100=0,"",OFFSET($M37,0,H$101+(E$99-1)*$B$98))</f>
        <v>17.599999999999998</v>
      </c>
      <c r="I106" s="22">
        <f t="shared" ref="I106:I114" ca="1" si="376">IF(E$100=0,"",OFFSET($M37,0,I$101+(E$99-1)*$B$98))</f>
        <v>2012</v>
      </c>
      <c r="K106" s="1">
        <f t="shared" ref="K106:K114" ca="1" si="377">IF(K$100=0,0,OFFSET($M37,0,(K$99-1)*$B$98))</f>
        <v>1</v>
      </c>
      <c r="L106" s="22">
        <f t="shared" ref="L106:L114" ca="1" si="378">IF(K$100=0,"",OFFSET($M37,0,L$101+(K$99-1)*$B$98))</f>
        <v>1</v>
      </c>
      <c r="M106" s="11" t="str">
        <f t="shared" ref="M106:M114" ca="1" si="379">IF(K$100=0,"",OFFSET($M37,0,M$101+(K$99-1)*$B$98))</f>
        <v>Brasil</v>
      </c>
      <c r="N106" s="22">
        <f t="shared" ref="N106:N114" ca="1" si="380">IF(K$100=0,"",OFFSET($M37,0,N$101+(K$99-1)*$B$98))</f>
        <v>198.36355800000001</v>
      </c>
      <c r="O106" s="22">
        <f t="shared" ref="O106:O114" ca="1" si="381">IF(K$100=0,"",OFFSET($M37,0,O$101+(K$99-1)*$B$98))</f>
        <v>2012</v>
      </c>
      <c r="Q106" s="1">
        <f t="shared" ref="Q106:Q114" ca="1" si="382">IF(Q$100=0,0,OFFSET($M37,0,(Q$99-1)*$B$98))</f>
        <v>1</v>
      </c>
      <c r="R106" s="22">
        <f t="shared" ref="R106:R114" ca="1" si="383">IF(Q$100=0,"",OFFSET($M37,0,R$101+(Q$99-1)*$B$98))</f>
        <v>1</v>
      </c>
      <c r="S106" s="11" t="str">
        <f t="shared" ref="S106:S114" ca="1" si="384">IF(Q$100=0,"",OFFSET($M37,0,S$101+(Q$99-1)*$B$98))</f>
        <v>Brasil</v>
      </c>
      <c r="T106" s="22">
        <f t="shared" ref="T106:T114" ca="1" si="385">IF(Q$100=0,"",OFFSET($M37,0,T$101+(Q$99-1)*$B$98))</f>
        <v>8514880</v>
      </c>
      <c r="U106" s="22">
        <f t="shared" ref="U106:U114" ca="1" si="386">IF(Q$100=0,"",OFFSET($M37,0,U$101+(Q$99-1)*$B$98))</f>
        <v>2012</v>
      </c>
      <c r="W106" s="1">
        <f t="shared" ref="W106:W114" ca="1" si="387">IF(W$100=0,0,OFFSET($M37,0,(W$99-1)*$B$98))</f>
        <v>1</v>
      </c>
      <c r="X106" s="22">
        <f t="shared" ref="X106:X114" ca="1" si="388">IF(W$100=0,"",OFFSET($M37,0,X$101+(W$99-1)*$B$98))</f>
        <v>1</v>
      </c>
      <c r="Y106" s="11" t="str">
        <f t="shared" ref="Y106:Y114" ca="1" si="389">IF(W$100=0,"",OFFSET($M37,0,Y$101+(W$99-1)*$B$98))</f>
        <v>Brasil</v>
      </c>
      <c r="Z106" s="22">
        <f t="shared" ref="Z106:Z114" ca="1" si="390">IF(W$100=0,"",OFFSET($M37,0,Z$101+(W$99-1)*$B$98))</f>
        <v>2395.9679999999998</v>
      </c>
      <c r="AA106" s="22">
        <f t="shared" ref="AA106:AA114" ca="1" si="391">IF(W$100=0,"",OFFSET($M37,0,AA$101+(W$99-1)*$B$98))</f>
        <v>2012</v>
      </c>
      <c r="AC106" s="1">
        <f t="shared" ref="AC106:AC114" ca="1" si="392">IF(AC$100=0,0,OFFSET($M37,0,(AC$99-1)*$B$98))</f>
        <v>1</v>
      </c>
      <c r="AD106" s="22">
        <f t="shared" ref="AD106:AD114" ca="1" si="393">IF(AC$100=0,"",OFFSET($M37,0,AD$101+(AC$99-1)*$B$98))</f>
        <v>1</v>
      </c>
      <c r="AE106" s="11" t="str">
        <f t="shared" ref="AE106:AE114" ca="1" si="394">IF(AC$100=0,"",OFFSET($M37,0,AE$101+(AC$99-1)*$B$98))</f>
        <v>Brasil</v>
      </c>
      <c r="AF106" s="22">
        <f t="shared" ref="AF106:AF114" ca="1" si="395">IF(AC$100=0,"",OFFSET($M37,0,AF$101+(AC$99-1)*$B$98))</f>
        <v>2355.5859999999998</v>
      </c>
      <c r="AG106" s="22">
        <f t="shared" ref="AG106:AG114" ca="1" si="396">IF(AC$100=0,"",OFFSET($M37,0,AG$101+(AC$99-1)*$B$98))</f>
        <v>2012</v>
      </c>
      <c r="AI106" s="1">
        <f t="shared" ref="AI106:AI114" ca="1" si="397">IF(AI$100=0,0,OFFSET($M37,0,(AI$99-1)*$B$98))</f>
        <v>1</v>
      </c>
      <c r="AJ106" s="22">
        <f t="shared" ref="AJ106:AJ114" ca="1" si="398">IF(AI$100=0,"",OFFSET($M37,0,AJ$101+(AI$99-1)*$B$98))</f>
        <v>1</v>
      </c>
      <c r="AK106" s="11" t="str">
        <f t="shared" ref="AK106:AK114" ca="1" si="399">IF(AI$100=0,"",OFFSET($M37,0,AK$101+(AI$99-1)*$B$98))</f>
        <v>Brasil</v>
      </c>
      <c r="AL106" s="22">
        <f t="shared" ref="AL106:AL114" ca="1" si="400">IF(AI$100=0,"",OFFSET($M37,0,AL$101+(AI$99-1)*$B$98))</f>
        <v>16.966999999999999</v>
      </c>
      <c r="AM106" s="22">
        <f t="shared" ref="AM106:AM114" ca="1" si="401">IF(AI$100=0,"",OFFSET($M37,0,AM$101+(AI$99-1)*$B$98))</f>
        <v>2012</v>
      </c>
      <c r="AO106" s="1">
        <f t="shared" ref="AO106:AO114" ca="1" si="402">IF(AO$100=0,0,OFFSET($M37,0,(AO$99-1)*$B$98))</f>
        <v>1</v>
      </c>
      <c r="AP106" s="22">
        <f t="shared" ref="AP106:AP114" ca="1" si="403">IF(AO$100=0,"",OFFSET($M37,0,AP$101+(AO$99-1)*$B$98))</f>
        <v>1</v>
      </c>
      <c r="AQ106" s="11" t="str">
        <f t="shared" ref="AQ106:AQ114" ca="1" si="404">IF(AO$100=0,"",OFFSET($M37,0,AQ$101+(AO$99-1)*$B$98))</f>
        <v>Chile</v>
      </c>
      <c r="AR106" s="22">
        <f t="shared" ref="AR106:AR114" ca="1" si="405">IF(AO$100=0,"",OFFSET($M37,0,AR$101+(AO$99-1)*$B$98))</f>
        <v>6.7264964210000002</v>
      </c>
      <c r="AS106" s="22">
        <f t="shared" ref="AS106:AS114" ca="1" si="406">IF(AO$100=0,"",OFFSET($M37,0,AS$101+(AO$99-1)*$B$98))</f>
        <v>2012</v>
      </c>
      <c r="AU106" s="1">
        <f t="shared" ref="AU106:AU114" ca="1" si="407">IF(AU$100=0,0,OFFSET($M37,0,(AU$99-1)*$B$98))</f>
        <v>1</v>
      </c>
      <c r="AV106" s="22">
        <f t="shared" ref="AV106:AV114" ca="1" si="408">IF(AU$100=0,"",OFFSET($M37,0,AV$101+(AU$99-1)*$B$98))</f>
        <v>1</v>
      </c>
      <c r="AW106" s="11" t="str">
        <f t="shared" ref="AW106:AW114" ca="1" si="409">IF(AU$100=0,"",OFFSET($M37,0,AW$101+(AU$99-1)*$B$98))</f>
        <v>México</v>
      </c>
      <c r="AX106" s="22">
        <f t="shared" ref="AX106:AX114" ca="1" si="410">IF(AU$100=0,"",OFFSET($M37,0,AX$101+(AU$99-1)*$B$98))</f>
        <v>370.00369590000003</v>
      </c>
      <c r="AY106" s="22">
        <f t="shared" ref="AY106:AY114" ca="1" si="411">IF(AU$100=0,"",OFFSET($M37,0,AY$101+(AU$99-1)*$B$98))</f>
        <v>2012</v>
      </c>
      <c r="BA106" s="1">
        <f t="shared" ref="BA106:BA114" ca="1" si="412">IF(BA$100=0,0,OFFSET($M37,0,(BA$99-1)*$B$98))</f>
        <v>1</v>
      </c>
      <c r="BB106" s="22">
        <f t="shared" ref="BB106:BB114" ca="1" si="413">IF(BA$100=0,"",OFFSET($M37,0,BB$101+(BA$99-1)*$B$98))</f>
        <v>1</v>
      </c>
      <c r="BC106" s="11" t="str">
        <f t="shared" ref="BC106:BC114" ca="1" si="414">IF(BA$100=0,"",OFFSET($M37,0,BC$101+(BA$99-1)*$B$98))</f>
        <v>Brasil</v>
      </c>
      <c r="BD106" s="22">
        <f t="shared" ref="BD106:BD114" ca="1" si="415">IF(BA$100=0,"",OFFSET($M37,0,BD$101+(BA$99-1)*$B$98))</f>
        <v>537536631.38199997</v>
      </c>
      <c r="BE106" s="22">
        <f t="shared" ref="BE106:BE114" ca="1" si="416">IF(BA$100=0,"",OFFSET($M37,0,BE$101+(BA$99-1)*$B$98))</f>
        <v>2012</v>
      </c>
      <c r="BG106" s="1">
        <f t="shared" ref="BG106:BG114" ca="1" si="417">IF(BG$100=0,0,OFFSET($M37,0,(BG$99-1)*$B$98))</f>
        <v>1</v>
      </c>
      <c r="BH106" s="22">
        <f t="shared" ref="BH106:BH114" ca="1" si="418">IF(BG$100=0,"",OFFSET($M37,0,BH$101+(BG$99-1)*$B$98))</f>
        <v>1</v>
      </c>
      <c r="BI106" s="11" t="str">
        <f t="shared" ref="BI106:BI114" ca="1" si="419">IF(BG$100=0,"",OFFSET($M37,0,BI$101+(BG$99-1)*$B$98))</f>
        <v>México</v>
      </c>
      <c r="BJ106" s="22">
        <f t="shared" ref="BJ106:BJ114" ca="1" si="420">IF(BG$100=0,"",OFFSET($M37,0,BJ$101+(BG$99-1)*$B$98))</f>
        <v>370.32722419999999</v>
      </c>
      <c r="BK106" s="22">
        <f t="shared" ref="BK106:BK114" ca="1" si="421">IF(BG$100=0,"",OFFSET($M37,0,BK$101+(BG$99-1)*$B$98))</f>
        <v>2012</v>
      </c>
      <c r="BM106" s="1">
        <f t="shared" ref="BM106:BM114" ca="1" si="422">IF(BM$100=0,0,OFFSET($M37,0,(BM$99-1)*$B$98))</f>
        <v>1</v>
      </c>
      <c r="BN106" s="22">
        <f t="shared" ref="BN106:BN114" ca="1" si="423">IF(BM$100=0,"",OFFSET($M37,0,BN$101+(BM$99-1)*$B$98))</f>
        <v>1</v>
      </c>
      <c r="BO106" s="11" t="str">
        <f t="shared" ref="BO106:BO114" ca="1" si="424">IF(BM$100=0,"",OFFSET($M37,0,BO$101+(BM$99-1)*$B$98))</f>
        <v>México</v>
      </c>
      <c r="BP106" s="22">
        <f t="shared" ref="BP106:BP114" ca="1" si="425">IF(BM$100=0,"",OFFSET($M37,0,BP$101+(BM$99-1)*$B$98))</f>
        <v>2265438676.3790002</v>
      </c>
      <c r="BQ106" s="22">
        <f t="shared" ref="BQ106:BQ114" ca="1" si="426">IF(BM$100=0,"",OFFSET($M37,0,BQ$101+(BM$99-1)*$B$98))</f>
        <v>2012</v>
      </c>
      <c r="BS106" s="1">
        <f t="shared" ref="BS106:BS114" ca="1" si="427">IF(BS$100=0,0,OFFSET($M37,0,(BS$99-1)*$B$98))</f>
        <v>0</v>
      </c>
      <c r="BT106" s="22" t="str">
        <f t="shared" ref="BT106:BT114" ca="1" si="428">IF(BS$100=0,"",OFFSET($M37,0,BT$101+(BS$99-1)*$B$98))</f>
        <v/>
      </c>
      <c r="BU106" s="11" t="str">
        <f t="shared" ref="BU106:BU114" ca="1" si="429">IF(BS$100=0,"",OFFSET($M37,0,BU$101+(BS$99-1)*$B$98))</f>
        <v/>
      </c>
      <c r="BV106" s="22" t="str">
        <f t="shared" ref="BV106:BV114" ca="1" si="430">IF(BS$100=0,"",OFFSET($M37,0,BV$101+(BS$99-1)*$B$98))</f>
        <v/>
      </c>
      <c r="BW106" s="22" t="str">
        <f t="shared" ref="BW106:BW114" ca="1" si="431">IF(BS$100=0,"",OFFSET($M37,0,BW$101+(BS$99-1)*$B$98))</f>
        <v/>
      </c>
      <c r="BY106" s="1">
        <f t="shared" ref="BY106:BY114" ca="1" si="432">IF(BY$100=0,0,OFFSET($M37,0,(BY$99-1)*$B$98))</f>
        <v>0</v>
      </c>
      <c r="BZ106" s="22" t="str">
        <f t="shared" ref="BZ106:BZ114" ca="1" si="433">IF(BY$100=0,"",OFFSET($M37,0,BZ$101+(BY$99-1)*$B$98))</f>
        <v/>
      </c>
      <c r="CA106" s="11" t="str">
        <f t="shared" ref="CA106:CA114" ca="1" si="434">IF(BY$100=0,"",OFFSET($M37,0,CA$101+(BY$99-1)*$B$98))</f>
        <v/>
      </c>
      <c r="CB106" s="22" t="str">
        <f t="shared" ref="CB106:CB114" ca="1" si="435">IF(BY$100=0,"",OFFSET($M37,0,CB$101+(BY$99-1)*$B$98))</f>
        <v/>
      </c>
      <c r="CC106" s="22" t="str">
        <f t="shared" ref="CC106:CC114" ca="1" si="436">IF(BY$100=0,"",OFFSET($M37,0,CC$101+(BY$99-1)*$B$98))</f>
        <v/>
      </c>
      <c r="CE106" s="1">
        <f t="shared" ref="CE106:CE114" ca="1" si="437">IF(CE$100=0,0,OFFSET($M37,0,(CE$99-1)*$B$98))</f>
        <v>0</v>
      </c>
      <c r="CF106" s="22" t="str">
        <f t="shared" ref="CF106:CF114" ca="1" si="438">IF(CE$100=0,"",OFFSET($M37,0,CF$101+(CE$99-1)*$B$98))</f>
        <v/>
      </c>
      <c r="CG106" s="11" t="str">
        <f t="shared" ref="CG106:CG114" ca="1" si="439">IF(CE$100=0,"",OFFSET($M37,0,CG$101+(CE$99-1)*$B$98))</f>
        <v/>
      </c>
      <c r="CH106" s="22" t="str">
        <f t="shared" ref="CH106:CH114" ca="1" si="440">IF(CE$100=0,"",OFFSET($M37,0,CH$101+(CE$99-1)*$B$98))</f>
        <v/>
      </c>
      <c r="CI106" s="22" t="str">
        <f t="shared" ref="CI106:CI114" ca="1" si="441">IF(CE$100=0,"",OFFSET($M37,0,CI$101+(CE$99-1)*$B$98))</f>
        <v/>
      </c>
      <c r="CK106" s="1">
        <f t="shared" ref="CK106:CK114" ca="1" si="442">IF(CK$100=0,0,OFFSET($M37,0,(CK$99-1)*$B$98))</f>
        <v>0</v>
      </c>
      <c r="CL106" s="22" t="str">
        <f t="shared" ref="CL106:CL114" ca="1" si="443">IF(CK$100=0,"",OFFSET($M37,0,CL$101+(CK$99-1)*$B$98))</f>
        <v/>
      </c>
      <c r="CM106" s="11" t="str">
        <f t="shared" ref="CM106:CM114" ca="1" si="444">IF(CK$100=0,"",OFFSET($M37,0,CM$101+(CK$99-1)*$B$98))</f>
        <v/>
      </c>
      <c r="CN106" s="22" t="str">
        <f t="shared" ref="CN106:CN114" ca="1" si="445">IF(CK$100=0,"",OFFSET($M37,0,CN$101+(CK$99-1)*$B$98))</f>
        <v/>
      </c>
      <c r="CO106" s="22" t="str">
        <f t="shared" ref="CO106:CO114" ca="1" si="446">IF(CK$100=0,"",OFFSET($M37,0,CO$101+(CK$99-1)*$B$98))</f>
        <v/>
      </c>
      <c r="CP106" s="73"/>
      <c r="CQ106" s="1">
        <f t="shared" ref="CQ106:CQ114" ca="1" si="447">IF(CQ$100=0,0,OFFSET($M68,0,(CQ$99-16)*$B$98))</f>
        <v>0</v>
      </c>
      <c r="CR106" s="22" t="str">
        <f t="shared" ref="CR106:CR114" ca="1" si="448">IF(CQ$100=0,"",OFFSET($M68,0,CR$101+(CQ$99-16)*$B$98))</f>
        <v/>
      </c>
      <c r="CS106" s="11" t="str">
        <f t="shared" ref="CS106:CS114" ca="1" si="449">IF(CQ$100=0,"",OFFSET($M68,0,CS$101+(CQ$99-16)*$B$98))</f>
        <v/>
      </c>
      <c r="CT106" s="22" t="str">
        <f t="shared" ref="CT106:CT114" ca="1" si="450">IF(CQ$100=0,"",OFFSET($M68,0,CT$101+(CQ$99-16)*$B$98))</f>
        <v/>
      </c>
      <c r="CU106" s="22" t="str">
        <f t="shared" ref="CU106:CU114" ca="1" si="451">IF(CQ$100=0,"",OFFSET($M68,0,CU$101+(CQ$99-16)*$B$98))</f>
        <v/>
      </c>
      <c r="CW106" s="1">
        <f t="shared" ref="CW106:CW114" ca="1" si="452">IF(CW$100=0,0,OFFSET($M68,0,(CW$99-16)*$B$98))</f>
        <v>0</v>
      </c>
      <c r="CX106" s="22" t="str">
        <f t="shared" ref="CX106:CX114" ca="1" si="453">IF(CW$100=0,"",OFFSET($M68,0,CX$101+(CW$99-16)*$B$98))</f>
        <v/>
      </c>
      <c r="CY106" s="11" t="str">
        <f t="shared" ref="CY106:CY114" ca="1" si="454">IF(CW$100=0,"",OFFSET($M68,0,CY$101+(CW$99-16)*$B$98))</f>
        <v/>
      </c>
      <c r="CZ106" s="22" t="str">
        <f t="shared" ref="CZ106:CZ114" ca="1" si="455">IF(CW$100=0,"",OFFSET($M68,0,CZ$101+(CW$99-16)*$B$98))</f>
        <v/>
      </c>
      <c r="DA106" s="22" t="str">
        <f t="shared" ref="DA106:DA114" ca="1" si="456">IF(CW$100=0,"",OFFSET($M37,0,DA$101+(CW$99-1)*$B$98))</f>
        <v/>
      </c>
      <c r="DC106" s="1">
        <f t="shared" ref="DC106:DC114" ca="1" si="457">IF(DC$100=0,0,OFFSET($M68,0,(DC$99-16)*$B$98))</f>
        <v>0</v>
      </c>
      <c r="DD106" s="22" t="str">
        <f t="shared" ref="DD106:DD114" ca="1" si="458">IF(DC$100=0,"",OFFSET($M68,0,DD$101+(DC$99-16)*$B$98))</f>
        <v/>
      </c>
      <c r="DE106" s="11" t="str">
        <f t="shared" ref="DE106:DE114" ca="1" si="459">IF(DC$100=0,"",OFFSET($M68,0,DE$101+(DC$99-16)*$B$98))</f>
        <v/>
      </c>
      <c r="DF106" s="22" t="str">
        <f t="shared" ref="DF106:DF114" ca="1" si="460">IF(DC$100=0,"",OFFSET($M68,0,DF$101+(DC$99-16)*$B$98))</f>
        <v/>
      </c>
      <c r="DG106" s="22" t="str">
        <f t="shared" ref="DG106:DG114" ca="1" si="461">IF(DC$100=0,"",OFFSET($M37,0,DG$101+(DC$99-1)*$B$98))</f>
        <v/>
      </c>
      <c r="DI106" s="1">
        <f t="shared" ref="DI106:DI114" ca="1" si="462">IF(DI$100=0,0,OFFSET($M68,0,(DI$99-16)*$B$98))</f>
        <v>0</v>
      </c>
      <c r="DJ106" s="22" t="str">
        <f t="shared" ref="DJ106:DJ114" ca="1" si="463">IF(DI$100=0,"",OFFSET($M68,0,DJ$101+(DI$99-16)*$B$98))</f>
        <v/>
      </c>
      <c r="DK106" s="11" t="str">
        <f t="shared" ref="DK106:DK114" ca="1" si="464">IF(DI$100=0,"",OFFSET($M68,0,DK$101+(DI$99-16)*$B$98))</f>
        <v/>
      </c>
      <c r="DL106" s="22" t="str">
        <f t="shared" ref="DL106:DL114" ca="1" si="465">IF(DI$100=0,"",OFFSET($M68,0,DL$101+(DI$99-16)*$B$98))</f>
        <v/>
      </c>
      <c r="DM106" s="22" t="str">
        <f t="shared" ref="DM106:DM114" ca="1" si="466">IF(DI$100=0,"",OFFSET($M37,0,DM$101+(DI$99-1)*$B$98))</f>
        <v/>
      </c>
      <c r="DO106" s="1">
        <f t="shared" ref="DO106:DO114" ca="1" si="467">IF(DO$100=0,0,OFFSET($M68,0,(DO$99-16)*$B$98))</f>
        <v>0</v>
      </c>
      <c r="DP106" s="22" t="str">
        <f t="shared" ref="DP106:DP114" ca="1" si="468">IF(DO$100=0,"",OFFSET($M68,0,DP$101+(DO$99-16)*$B$98))</f>
        <v/>
      </c>
      <c r="DQ106" s="11" t="str">
        <f t="shared" ref="DQ106:DQ114" ca="1" si="469">IF(DO$100=0,"",OFFSET($M68,0,DQ$101+(DO$99-16)*$B$98))</f>
        <v/>
      </c>
      <c r="DR106" s="22" t="str">
        <f t="shared" ref="DR106:DR114" ca="1" si="470">IF(DO$100=0,"",OFFSET($M68,0,DR$101+(DO$99-16)*$B$98))</f>
        <v/>
      </c>
      <c r="DS106" s="22" t="str">
        <f t="shared" ref="DS106:DS114" ca="1" si="471">IF(DO$100=0,"",OFFSET($M37,0,DS$101+(DO$99-1)*$B$98))</f>
        <v/>
      </c>
      <c r="DU106" s="1">
        <f t="shared" ref="DU106:DU131" ca="1" si="472">IF(DU$100=0,0,OFFSET($M68,0,(DU$99-16)*$B$98))</f>
        <v>0</v>
      </c>
      <c r="DV106" s="22" t="str">
        <f t="shared" ref="DV106:DV131" ca="1" si="473">IF(DU$100=0,"",OFFSET($M68,0,DV$101+(DU$99-16)*$B$98))</f>
        <v/>
      </c>
      <c r="DW106" s="11" t="str">
        <f t="shared" ref="DW106:DW131" ca="1" si="474">IF(DU$100=0,"",OFFSET($M68,0,DW$101+(DU$99-16)*$B$98))</f>
        <v/>
      </c>
      <c r="DX106" s="22" t="str">
        <f t="shared" ref="DX106:DX131" ca="1" si="475">IF(DU$100=0,"",OFFSET($M68,0,DX$101+(DU$99-16)*$B$98))</f>
        <v/>
      </c>
      <c r="DY106" s="22" t="str">
        <f t="shared" ref="DY106:DY131" ca="1" si="476">IF(DU$100=0,"",OFFSET($M37,0,DY$101+(DU$99-1)*$B$98))</f>
        <v/>
      </c>
      <c r="EA106" s="1">
        <f t="shared" ref="EA106:EA131" ca="1" si="477">IF(EA$100=0,0,OFFSET($M68,0,(EA$99-16)*$B$98))</f>
        <v>0</v>
      </c>
      <c r="EB106" s="22" t="str">
        <f t="shared" ref="EB106:EB131" ca="1" si="478">IF(EA$100=0,"",OFFSET($M68,0,EB$101+(EA$99-16)*$B$98))</f>
        <v/>
      </c>
      <c r="EC106" s="11" t="str">
        <f t="shared" ref="EC106:EC131" ca="1" si="479">IF(EA$100=0,"",OFFSET($M68,0,EC$101+(EA$99-16)*$B$98))</f>
        <v/>
      </c>
      <c r="ED106" s="22" t="str">
        <f t="shared" ref="ED106:ED131" ca="1" si="480">IF(EA$100=0,"",OFFSET($M68,0,ED$101+(EA$99-16)*$B$98))</f>
        <v/>
      </c>
      <c r="EE106" s="22" t="str">
        <f t="shared" ref="EE106:EE131" ca="1" si="481">IF(EA$100=0,"",OFFSET($M37,0,EE$101+(EA$99-1)*$B$98))</f>
        <v/>
      </c>
      <c r="EG106" s="1">
        <f t="shared" ref="EG106:EG131" ca="1" si="482">IF(EG$100=0,0,OFFSET($M68,0,(EG$99-16)*$B$98))</f>
        <v>0</v>
      </c>
      <c r="EH106" s="22" t="str">
        <f t="shared" ref="EH106:EH131" ca="1" si="483">IF(EG$100=0,"",OFFSET($M68,0,EH$101+(EG$99-16)*$B$98))</f>
        <v/>
      </c>
      <c r="EI106" s="11" t="str">
        <f t="shared" ref="EI106:EI131" ca="1" si="484">IF(EG$100=0,"",OFFSET($M68,0,EI$101+(EG$99-16)*$B$98))</f>
        <v/>
      </c>
      <c r="EJ106" s="22" t="str">
        <f t="shared" ref="EJ106:EJ131" ca="1" si="485">IF(EG$100=0,"",OFFSET($M68,0,EJ$101+(EG$99-16)*$B$98))</f>
        <v/>
      </c>
      <c r="EK106" s="22" t="str">
        <f t="shared" ref="EK106:EK131" ca="1" si="486">IF(EG$100=0,"",OFFSET($M37,0,EK$101+(EG$99-1)*$B$98))</f>
        <v/>
      </c>
      <c r="EM106" s="1">
        <f t="shared" ref="EM106:EM131" ca="1" si="487">IF(EM$100=0,0,OFFSET($M68,0,(EM$99-16)*$B$98))</f>
        <v>0</v>
      </c>
      <c r="EN106" s="22" t="str">
        <f t="shared" ref="EN106:EN131" ca="1" si="488">IF(EM$100=0,"",OFFSET($M68,0,EN$101+(EM$99-16)*$B$98))</f>
        <v/>
      </c>
      <c r="EO106" s="11" t="str">
        <f t="shared" ref="EO106:EO131" ca="1" si="489">IF(EM$100=0,"",OFFSET($M68,0,EO$101+(EM$99-16)*$B$98))</f>
        <v/>
      </c>
      <c r="EP106" s="22" t="str">
        <f t="shared" ref="EP106:EP131" ca="1" si="490">IF(EM$100=0,"",OFFSET($M68,0,EP$101+(EM$99-16)*$B$98))</f>
        <v/>
      </c>
      <c r="EQ106" s="22" t="str">
        <f t="shared" ref="EQ106:EQ131" ca="1" si="491">IF(EM$100=0,"",OFFSET($M37,0,EQ$101+(EM$99-1)*$B$98))</f>
        <v/>
      </c>
      <c r="ES106" s="1">
        <f t="shared" ref="ES106:ES131" ca="1" si="492">IF(ES$100=0,0,OFFSET($M68,0,(ES$99-16)*$B$98))</f>
        <v>0</v>
      </c>
      <c r="ET106" s="22" t="str">
        <f t="shared" ref="ET106:ET131" ca="1" si="493">IF(ES$100=0,"",OFFSET($M68,0,ET$101+(ES$99-16)*$B$98))</f>
        <v/>
      </c>
      <c r="EU106" s="11" t="str">
        <f t="shared" ref="EU106:EU131" ca="1" si="494">IF(ES$100=0,"",OFFSET($M68,0,EU$101+(ES$99-16)*$B$98))</f>
        <v/>
      </c>
      <c r="EV106" s="22" t="str">
        <f t="shared" ref="EV106:EV131" ca="1" si="495">IF(ES$100=0,"",OFFSET($M68,0,EV$101+(ES$99-16)*$B$98))</f>
        <v/>
      </c>
      <c r="EW106" s="22" t="str">
        <f t="shared" ref="EW106:EW131" ca="1" si="496">IF(ES$100=0,"",OFFSET($M37,0,EW$101+(ES$99-1)*$B$98))</f>
        <v/>
      </c>
      <c r="EY106" s="1">
        <f t="shared" ref="EY106:EY131" ca="1" si="497">IF(EY$100=0,0,OFFSET($M68,0,(EY$99-16)*$B$98))</f>
        <v>0</v>
      </c>
      <c r="EZ106" s="22" t="str">
        <f t="shared" ref="EZ106:EZ131" ca="1" si="498">IF(EY$100=0,"",OFFSET($M68,0,EZ$101+(EY$99-16)*$B$98))</f>
        <v/>
      </c>
      <c r="FA106" s="11" t="str">
        <f t="shared" ref="FA106:FA131" ca="1" si="499">IF(EY$100=0,"",OFFSET($M68,0,FA$101+(EY$99-16)*$B$98))</f>
        <v/>
      </c>
      <c r="FB106" s="22" t="str">
        <f t="shared" ref="FB106:FB131" ca="1" si="500">IF(EY$100=0,"",OFFSET($M68,0,FB$101+(EY$99-16)*$B$98))</f>
        <v/>
      </c>
      <c r="FC106" s="22" t="str">
        <f t="shared" ref="FC106:FC131" ca="1" si="501">IF(EY$100=0,"",OFFSET($M37,0,FC$101+(EY$99-1)*$B$98))</f>
        <v/>
      </c>
      <c r="FE106" s="1">
        <f t="shared" ref="FE106:FE131" ca="1" si="502">IF(FE$100=0,0,OFFSET($M68,0,(FE$99-16)*$B$98))</f>
        <v>0</v>
      </c>
      <c r="FF106" s="22" t="str">
        <f t="shared" ref="FF106:FF131" ca="1" si="503">IF(FE$100=0,"",OFFSET($M68,0,FF$101+(FE$99-16)*$B$98))</f>
        <v/>
      </c>
      <c r="FG106" s="11" t="str">
        <f t="shared" ref="FG106:FG131" ca="1" si="504">IF(FE$100=0,"",OFFSET($M68,0,FG$101+(FE$99-16)*$B$98))</f>
        <v/>
      </c>
      <c r="FH106" s="22" t="str">
        <f t="shared" ref="FH106:FH131" ca="1" si="505">IF(FE$100=0,"",OFFSET($M68,0,FH$101+(FE$99-16)*$B$98))</f>
        <v/>
      </c>
      <c r="FI106" s="22" t="str">
        <f t="shared" ref="FI106:FI131" ca="1" si="506">IF(FE$100=0,"",OFFSET($M37,0,FI$101+(FE$99-1)*$B$98))</f>
        <v/>
      </c>
      <c r="FK106" s="1">
        <f t="shared" ref="FK106:FK131" ca="1" si="507">IF(FK$100=0,0,OFFSET($M68,0,(FK$99-16)*$B$98))</f>
        <v>0</v>
      </c>
      <c r="FL106" s="22" t="str">
        <f t="shared" ref="FL106:FL131" ca="1" si="508">IF(FK$100=0,"",OFFSET($M68,0,FL$101+(FK$99-16)*$B$98))</f>
        <v/>
      </c>
      <c r="FM106" s="11" t="str">
        <f t="shared" ref="FM106:FM131" ca="1" si="509">IF(FK$100=0,"",OFFSET($M68,0,FM$101+(FK$99-16)*$B$98))</f>
        <v/>
      </c>
      <c r="FN106" s="22" t="str">
        <f t="shared" ref="FN106:FN131" ca="1" si="510">IF(FK$100=0,"",OFFSET($M68,0,FN$101+(FK$99-16)*$B$98))</f>
        <v/>
      </c>
      <c r="FO106" s="22" t="str">
        <f t="shared" ref="FO106:FO131" ca="1" si="511">IF(FK$100=0,"",OFFSET($M37,0,FO$101+(FK$99-1)*$B$98))</f>
        <v/>
      </c>
    </row>
    <row r="107" spans="1:171" x14ac:dyDescent="0.2">
      <c r="E107" s="1">
        <f t="shared" ca="1" si="372"/>
        <v>1</v>
      </c>
      <c r="F107" s="22">
        <f t="shared" ca="1" si="373"/>
        <v>2</v>
      </c>
      <c r="G107" s="11" t="str">
        <f t="shared" ca="1" si="374"/>
        <v>Dominican Republic</v>
      </c>
      <c r="H107" s="22">
        <f t="shared" ca="1" si="375"/>
        <v>8.4378989177878498</v>
      </c>
      <c r="I107" s="22">
        <f t="shared" ca="1" si="376"/>
        <v>2012</v>
      </c>
      <c r="K107" s="1">
        <f t="shared" ca="1" si="377"/>
        <v>1</v>
      </c>
      <c r="L107" s="22">
        <f t="shared" ca="1" si="378"/>
        <v>2</v>
      </c>
      <c r="M107" s="11" t="str">
        <f t="shared" ca="1" si="379"/>
        <v>México</v>
      </c>
      <c r="N107" s="22">
        <f t="shared" ca="1" si="380"/>
        <v>114.872</v>
      </c>
      <c r="O107" s="22">
        <f t="shared" ca="1" si="381"/>
        <v>2012</v>
      </c>
      <c r="Q107" s="1">
        <f t="shared" ca="1" si="382"/>
        <v>1</v>
      </c>
      <c r="R107" s="22">
        <f t="shared" ca="1" si="383"/>
        <v>2</v>
      </c>
      <c r="S107" s="11" t="str">
        <f t="shared" ca="1" si="384"/>
        <v>Argentina</v>
      </c>
      <c r="T107" s="22">
        <f t="shared" ca="1" si="385"/>
        <v>2780400</v>
      </c>
      <c r="U107" s="22">
        <f t="shared" ca="1" si="386"/>
        <v>2012</v>
      </c>
      <c r="W107" s="1">
        <f t="shared" ca="1" si="387"/>
        <v>1</v>
      </c>
      <c r="X107" s="22">
        <f t="shared" ca="1" si="388"/>
        <v>2</v>
      </c>
      <c r="Y107" s="11" t="str">
        <f t="shared" ca="1" si="389"/>
        <v>México</v>
      </c>
      <c r="Z107" s="22">
        <f t="shared" ca="1" si="390"/>
        <v>1177.116</v>
      </c>
      <c r="AA107" s="22">
        <f t="shared" ca="1" si="391"/>
        <v>2012</v>
      </c>
      <c r="AC107" s="1">
        <f t="shared" ca="1" si="392"/>
        <v>1</v>
      </c>
      <c r="AD107" s="22">
        <f t="shared" ca="1" si="393"/>
        <v>2</v>
      </c>
      <c r="AE107" s="11" t="str">
        <f t="shared" ca="1" si="394"/>
        <v>México</v>
      </c>
      <c r="AF107" s="22">
        <f t="shared" ca="1" si="395"/>
        <v>1758.896</v>
      </c>
      <c r="AG107" s="22">
        <f t="shared" ca="1" si="396"/>
        <v>2012</v>
      </c>
      <c r="AI107" s="1">
        <f t="shared" ca="1" si="397"/>
        <v>1</v>
      </c>
      <c r="AJ107" s="22">
        <f t="shared" ca="1" si="398"/>
        <v>2</v>
      </c>
      <c r="AK107" s="11" t="str">
        <f t="shared" ca="1" si="399"/>
        <v>México</v>
      </c>
      <c r="AL107" s="22">
        <f t="shared" ca="1" si="400"/>
        <v>14.015862500000001</v>
      </c>
      <c r="AM107" s="22">
        <f t="shared" ca="1" si="401"/>
        <v>2012</v>
      </c>
      <c r="AO107" s="1">
        <f t="shared" ca="1" si="402"/>
        <v>1</v>
      </c>
      <c r="AP107" s="22">
        <f t="shared" ca="1" si="403"/>
        <v>2</v>
      </c>
      <c r="AQ107" s="11" t="str">
        <f t="shared" ca="1" si="404"/>
        <v>Brasil</v>
      </c>
      <c r="AR107" s="22">
        <f t="shared" ca="1" si="405"/>
        <v>6.7060000000000004</v>
      </c>
      <c r="AS107" s="22">
        <f t="shared" ca="1" si="406"/>
        <v>2012</v>
      </c>
      <c r="AU107" s="1">
        <f t="shared" ca="1" si="407"/>
        <v>1</v>
      </c>
      <c r="AV107" s="22">
        <f t="shared" ca="1" si="408"/>
        <v>2</v>
      </c>
      <c r="AW107" s="11" t="str">
        <f t="shared" ca="1" si="409"/>
        <v>Brasil</v>
      </c>
      <c r="AX107" s="22">
        <f t="shared" ca="1" si="410"/>
        <v>244.5488751</v>
      </c>
      <c r="AY107" s="22">
        <f t="shared" ca="1" si="411"/>
        <v>2012</v>
      </c>
      <c r="BA107" s="1">
        <f t="shared" ca="1" si="412"/>
        <v>1</v>
      </c>
      <c r="BB107" s="22">
        <f t="shared" ca="1" si="413"/>
        <v>2</v>
      </c>
      <c r="BC107" s="11" t="str">
        <f t="shared" ca="1" si="414"/>
        <v>Colombia</v>
      </c>
      <c r="BD107" s="22">
        <f t="shared" ca="1" si="415"/>
        <v>129355981.10087</v>
      </c>
      <c r="BE107" s="22">
        <f t="shared" ca="1" si="416"/>
        <v>2012</v>
      </c>
      <c r="BG107" s="1">
        <f t="shared" ca="1" si="417"/>
        <v>1</v>
      </c>
      <c r="BH107" s="22">
        <f t="shared" ca="1" si="418"/>
        <v>2</v>
      </c>
      <c r="BI107" s="11" t="str">
        <f t="shared" ca="1" si="419"/>
        <v>Brasil</v>
      </c>
      <c r="BJ107" s="22">
        <f t="shared" ca="1" si="420"/>
        <v>226.3847342</v>
      </c>
      <c r="BK107" s="22">
        <f t="shared" ca="1" si="421"/>
        <v>2012</v>
      </c>
      <c r="BM107" s="1">
        <f t="shared" ca="1" si="422"/>
        <v>1</v>
      </c>
      <c r="BN107" s="22">
        <f t="shared" ca="1" si="423"/>
        <v>2</v>
      </c>
      <c r="BO107" s="11" t="str">
        <f t="shared" ca="1" si="424"/>
        <v>Brasil</v>
      </c>
      <c r="BP107" s="22">
        <f t="shared" ca="1" si="425"/>
        <v>140958417.26899999</v>
      </c>
      <c r="BQ107" s="22">
        <f t="shared" ca="1" si="426"/>
        <v>2012</v>
      </c>
      <c r="BS107" s="1">
        <f t="shared" ca="1" si="427"/>
        <v>0</v>
      </c>
      <c r="BT107" s="22" t="str">
        <f t="shared" ca="1" si="428"/>
        <v/>
      </c>
      <c r="BU107" s="11" t="str">
        <f t="shared" ca="1" si="429"/>
        <v/>
      </c>
      <c r="BV107" s="22" t="str">
        <f t="shared" ca="1" si="430"/>
        <v/>
      </c>
      <c r="BW107" s="22" t="str">
        <f t="shared" ca="1" si="431"/>
        <v/>
      </c>
      <c r="BY107" s="1">
        <f t="shared" ca="1" si="432"/>
        <v>0</v>
      </c>
      <c r="BZ107" s="22" t="str">
        <f t="shared" ca="1" si="433"/>
        <v/>
      </c>
      <c r="CA107" s="11" t="str">
        <f t="shared" ca="1" si="434"/>
        <v/>
      </c>
      <c r="CB107" s="22" t="str">
        <f t="shared" ca="1" si="435"/>
        <v/>
      </c>
      <c r="CC107" s="22" t="str">
        <f t="shared" ca="1" si="436"/>
        <v/>
      </c>
      <c r="CE107" s="1">
        <f t="shared" ca="1" si="437"/>
        <v>0</v>
      </c>
      <c r="CF107" s="22" t="str">
        <f t="shared" ca="1" si="438"/>
        <v/>
      </c>
      <c r="CG107" s="11" t="str">
        <f t="shared" ca="1" si="439"/>
        <v/>
      </c>
      <c r="CH107" s="22" t="str">
        <f t="shared" ca="1" si="440"/>
        <v/>
      </c>
      <c r="CI107" s="22" t="str">
        <f t="shared" ca="1" si="441"/>
        <v/>
      </c>
      <c r="CK107" s="1">
        <f t="shared" ca="1" si="442"/>
        <v>0</v>
      </c>
      <c r="CL107" s="22" t="str">
        <f t="shared" ca="1" si="443"/>
        <v/>
      </c>
      <c r="CM107" s="11" t="str">
        <f t="shared" ca="1" si="444"/>
        <v/>
      </c>
      <c r="CN107" s="22" t="str">
        <f t="shared" ca="1" si="445"/>
        <v/>
      </c>
      <c r="CO107" s="22" t="str">
        <f t="shared" ca="1" si="446"/>
        <v/>
      </c>
      <c r="CP107" s="73"/>
      <c r="CQ107" s="1">
        <f t="shared" ca="1" si="447"/>
        <v>0</v>
      </c>
      <c r="CR107" s="22" t="str">
        <f t="shared" ca="1" si="448"/>
        <v/>
      </c>
      <c r="CS107" s="11" t="str">
        <f t="shared" ca="1" si="449"/>
        <v/>
      </c>
      <c r="CT107" s="22" t="str">
        <f t="shared" ca="1" si="450"/>
        <v/>
      </c>
      <c r="CU107" s="22" t="str">
        <f t="shared" ca="1" si="451"/>
        <v/>
      </c>
      <c r="CW107" s="1">
        <f t="shared" ca="1" si="452"/>
        <v>0</v>
      </c>
      <c r="CX107" s="22" t="str">
        <f t="shared" ca="1" si="453"/>
        <v/>
      </c>
      <c r="CY107" s="11" t="str">
        <f t="shared" ca="1" si="454"/>
        <v/>
      </c>
      <c r="CZ107" s="22" t="str">
        <f t="shared" ca="1" si="455"/>
        <v/>
      </c>
      <c r="DA107" s="22" t="str">
        <f t="shared" ca="1" si="456"/>
        <v/>
      </c>
      <c r="DC107" s="1">
        <f t="shared" ca="1" si="457"/>
        <v>0</v>
      </c>
      <c r="DD107" s="22" t="str">
        <f t="shared" ca="1" si="458"/>
        <v/>
      </c>
      <c r="DE107" s="11" t="str">
        <f t="shared" ca="1" si="459"/>
        <v/>
      </c>
      <c r="DF107" s="22" t="str">
        <f t="shared" ca="1" si="460"/>
        <v/>
      </c>
      <c r="DG107" s="22" t="str">
        <f t="shared" ca="1" si="461"/>
        <v/>
      </c>
      <c r="DI107" s="1">
        <f t="shared" ca="1" si="462"/>
        <v>0</v>
      </c>
      <c r="DJ107" s="22" t="str">
        <f t="shared" ca="1" si="463"/>
        <v/>
      </c>
      <c r="DK107" s="11" t="str">
        <f t="shared" ca="1" si="464"/>
        <v/>
      </c>
      <c r="DL107" s="22" t="str">
        <f t="shared" ca="1" si="465"/>
        <v/>
      </c>
      <c r="DM107" s="22" t="str">
        <f t="shared" ca="1" si="466"/>
        <v/>
      </c>
      <c r="DO107" s="1">
        <f t="shared" ca="1" si="467"/>
        <v>0</v>
      </c>
      <c r="DP107" s="22" t="str">
        <f t="shared" ca="1" si="468"/>
        <v/>
      </c>
      <c r="DQ107" s="11" t="str">
        <f t="shared" ca="1" si="469"/>
        <v/>
      </c>
      <c r="DR107" s="22" t="str">
        <f t="shared" ca="1" si="470"/>
        <v/>
      </c>
      <c r="DS107" s="22" t="str">
        <f t="shared" ca="1" si="471"/>
        <v/>
      </c>
      <c r="DU107" s="1">
        <f t="shared" ca="1" si="472"/>
        <v>0</v>
      </c>
      <c r="DV107" s="22" t="str">
        <f t="shared" ca="1" si="473"/>
        <v/>
      </c>
      <c r="DW107" s="11" t="str">
        <f t="shared" ca="1" si="474"/>
        <v/>
      </c>
      <c r="DX107" s="22" t="str">
        <f t="shared" ca="1" si="475"/>
        <v/>
      </c>
      <c r="DY107" s="22" t="str">
        <f t="shared" ca="1" si="476"/>
        <v/>
      </c>
      <c r="EA107" s="1">
        <f t="shared" ca="1" si="477"/>
        <v>0</v>
      </c>
      <c r="EB107" s="22" t="str">
        <f t="shared" ca="1" si="478"/>
        <v/>
      </c>
      <c r="EC107" s="11" t="str">
        <f t="shared" ca="1" si="479"/>
        <v/>
      </c>
      <c r="ED107" s="22" t="str">
        <f t="shared" ca="1" si="480"/>
        <v/>
      </c>
      <c r="EE107" s="22" t="str">
        <f t="shared" ca="1" si="481"/>
        <v/>
      </c>
      <c r="EG107" s="1">
        <f t="shared" ca="1" si="482"/>
        <v>0</v>
      </c>
      <c r="EH107" s="22" t="str">
        <f t="shared" ca="1" si="483"/>
        <v/>
      </c>
      <c r="EI107" s="11" t="str">
        <f t="shared" ca="1" si="484"/>
        <v/>
      </c>
      <c r="EJ107" s="22" t="str">
        <f t="shared" ca="1" si="485"/>
        <v/>
      </c>
      <c r="EK107" s="22" t="str">
        <f t="shared" ca="1" si="486"/>
        <v/>
      </c>
      <c r="EM107" s="1">
        <f t="shared" ca="1" si="487"/>
        <v>0</v>
      </c>
      <c r="EN107" s="22" t="str">
        <f t="shared" ca="1" si="488"/>
        <v/>
      </c>
      <c r="EO107" s="11" t="str">
        <f t="shared" ca="1" si="489"/>
        <v/>
      </c>
      <c r="EP107" s="22" t="str">
        <f t="shared" ca="1" si="490"/>
        <v/>
      </c>
      <c r="EQ107" s="22" t="str">
        <f t="shared" ca="1" si="491"/>
        <v/>
      </c>
      <c r="ES107" s="1">
        <f t="shared" ca="1" si="492"/>
        <v>0</v>
      </c>
      <c r="ET107" s="22" t="str">
        <f t="shared" ca="1" si="493"/>
        <v/>
      </c>
      <c r="EU107" s="11" t="str">
        <f t="shared" ca="1" si="494"/>
        <v/>
      </c>
      <c r="EV107" s="22" t="str">
        <f t="shared" ca="1" si="495"/>
        <v/>
      </c>
      <c r="EW107" s="22" t="str">
        <f t="shared" ca="1" si="496"/>
        <v/>
      </c>
      <c r="EY107" s="1">
        <f t="shared" ca="1" si="497"/>
        <v>0</v>
      </c>
      <c r="EZ107" s="22" t="str">
        <f t="shared" ca="1" si="498"/>
        <v/>
      </c>
      <c r="FA107" s="11" t="str">
        <f t="shared" ca="1" si="499"/>
        <v/>
      </c>
      <c r="FB107" s="22" t="str">
        <f t="shared" ca="1" si="500"/>
        <v/>
      </c>
      <c r="FC107" s="22" t="str">
        <f t="shared" ca="1" si="501"/>
        <v/>
      </c>
      <c r="FE107" s="1">
        <f t="shared" ca="1" si="502"/>
        <v>0</v>
      </c>
      <c r="FF107" s="22" t="str">
        <f t="shared" ca="1" si="503"/>
        <v/>
      </c>
      <c r="FG107" s="11" t="str">
        <f t="shared" ca="1" si="504"/>
        <v/>
      </c>
      <c r="FH107" s="22" t="str">
        <f t="shared" ca="1" si="505"/>
        <v/>
      </c>
      <c r="FI107" s="22" t="str">
        <f t="shared" ca="1" si="506"/>
        <v/>
      </c>
      <c r="FK107" s="1">
        <f t="shared" ca="1" si="507"/>
        <v>0</v>
      </c>
      <c r="FL107" s="22" t="str">
        <f t="shared" ca="1" si="508"/>
        <v/>
      </c>
      <c r="FM107" s="11" t="str">
        <f t="shared" ca="1" si="509"/>
        <v/>
      </c>
      <c r="FN107" s="22" t="str">
        <f t="shared" ca="1" si="510"/>
        <v/>
      </c>
      <c r="FO107" s="22" t="str">
        <f t="shared" ca="1" si="511"/>
        <v/>
      </c>
    </row>
    <row r="108" spans="1:171" x14ac:dyDescent="0.2">
      <c r="E108" s="1">
        <f t="shared" ca="1" si="372"/>
        <v>1</v>
      </c>
      <c r="F108" s="22">
        <f t="shared" ca="1" si="373"/>
        <v>3</v>
      </c>
      <c r="G108" s="11" t="str">
        <f t="shared" ca="1" si="374"/>
        <v>Jamaica</v>
      </c>
      <c r="H108" s="22">
        <f t="shared" ca="1" si="375"/>
        <v>8.0450017908396898</v>
      </c>
      <c r="I108" s="22">
        <f t="shared" ca="1" si="376"/>
        <v>2012</v>
      </c>
      <c r="K108" s="1">
        <f t="shared" ca="1" si="377"/>
        <v>1</v>
      </c>
      <c r="L108" s="22">
        <f t="shared" ca="1" si="378"/>
        <v>3</v>
      </c>
      <c r="M108" s="11" t="str">
        <f t="shared" ca="1" si="379"/>
        <v>Colombia</v>
      </c>
      <c r="N108" s="22">
        <f t="shared" ca="1" si="380"/>
        <v>46.597999999999999</v>
      </c>
      <c r="O108" s="22">
        <f t="shared" ca="1" si="381"/>
        <v>2012</v>
      </c>
      <c r="Q108" s="1">
        <f t="shared" ca="1" si="382"/>
        <v>1</v>
      </c>
      <c r="R108" s="22">
        <f t="shared" ca="1" si="383"/>
        <v>3</v>
      </c>
      <c r="S108" s="11" t="str">
        <f t="shared" ca="1" si="384"/>
        <v>México</v>
      </c>
      <c r="T108" s="22">
        <f t="shared" ca="1" si="385"/>
        <v>1964380</v>
      </c>
      <c r="U108" s="22">
        <f t="shared" ca="1" si="386"/>
        <v>2012</v>
      </c>
      <c r="W108" s="1">
        <f t="shared" ca="1" si="387"/>
        <v>1</v>
      </c>
      <c r="X108" s="22">
        <f t="shared" ca="1" si="388"/>
        <v>3</v>
      </c>
      <c r="Y108" s="11" t="str">
        <f t="shared" ca="1" si="389"/>
        <v>Argentina</v>
      </c>
      <c r="Z108" s="22">
        <f t="shared" ca="1" si="390"/>
        <v>474.81200000000001</v>
      </c>
      <c r="AA108" s="22">
        <f t="shared" ca="1" si="391"/>
        <v>2012</v>
      </c>
      <c r="AC108" s="1">
        <f t="shared" ca="1" si="392"/>
        <v>1</v>
      </c>
      <c r="AD108" s="22">
        <f t="shared" ca="1" si="393"/>
        <v>3</v>
      </c>
      <c r="AE108" s="11" t="str">
        <f t="shared" ca="1" si="394"/>
        <v>Argentina</v>
      </c>
      <c r="AF108" s="22">
        <f t="shared" ca="1" si="395"/>
        <v>746.92700000000002</v>
      </c>
      <c r="AG108" s="22">
        <f t="shared" ca="1" si="396"/>
        <v>2012</v>
      </c>
      <c r="AI108" s="1">
        <f t="shared" ca="1" si="397"/>
        <v>1</v>
      </c>
      <c r="AJ108" s="22">
        <f t="shared" ca="1" si="398"/>
        <v>3</v>
      </c>
      <c r="AK108" s="11" t="str">
        <f t="shared" ca="1" si="399"/>
        <v>Chile</v>
      </c>
      <c r="AL108" s="22">
        <f t="shared" ca="1" si="400"/>
        <v>7.1905953890000003</v>
      </c>
      <c r="AM108" s="22">
        <f t="shared" ca="1" si="401"/>
        <v>2012</v>
      </c>
      <c r="AO108" s="1">
        <f t="shared" ca="1" si="402"/>
        <v>1</v>
      </c>
      <c r="AP108" s="22">
        <f t="shared" ca="1" si="403"/>
        <v>3</v>
      </c>
      <c r="AQ108" s="11" t="str">
        <f t="shared" ca="1" si="404"/>
        <v>Panamá</v>
      </c>
      <c r="AR108" s="22">
        <f t="shared" ca="1" si="405"/>
        <v>4.5293999999999999</v>
      </c>
      <c r="AS108" s="22">
        <f t="shared" ca="1" si="406"/>
        <v>2012</v>
      </c>
      <c r="AU108" s="1">
        <f t="shared" ca="1" si="407"/>
        <v>1</v>
      </c>
      <c r="AV108" s="22">
        <f t="shared" ca="1" si="408"/>
        <v>3</v>
      </c>
      <c r="AW108" s="11" t="str">
        <f t="shared" ca="1" si="409"/>
        <v>Venezuela</v>
      </c>
      <c r="AX108" s="22">
        <f t="shared" ca="1" si="410"/>
        <v>96.461419800000002</v>
      </c>
      <c r="AY108" s="22">
        <f t="shared" ca="1" si="411"/>
        <v>2012</v>
      </c>
      <c r="BA108" s="1">
        <f t="shared" ca="1" si="412"/>
        <v>1</v>
      </c>
      <c r="BB108" s="22">
        <f t="shared" ca="1" si="413"/>
        <v>3</v>
      </c>
      <c r="BC108" s="11" t="str">
        <f t="shared" ca="1" si="414"/>
        <v>Venezuela</v>
      </c>
      <c r="BD108" s="22">
        <f t="shared" ca="1" si="415"/>
        <v>117437477.006</v>
      </c>
      <c r="BE108" s="22">
        <f t="shared" ca="1" si="416"/>
        <v>2012</v>
      </c>
      <c r="BG108" s="1">
        <f t="shared" ca="1" si="417"/>
        <v>1</v>
      </c>
      <c r="BH108" s="22">
        <f t="shared" ca="1" si="418"/>
        <v>3</v>
      </c>
      <c r="BI108" s="11" t="str">
        <f t="shared" ca="1" si="419"/>
        <v>Chile</v>
      </c>
      <c r="BJ108" s="22">
        <f t="shared" ca="1" si="420"/>
        <v>74.855107519000001</v>
      </c>
      <c r="BK108" s="22">
        <f t="shared" ca="1" si="421"/>
        <v>2012</v>
      </c>
      <c r="BM108" s="1">
        <f t="shared" ca="1" si="422"/>
        <v>1</v>
      </c>
      <c r="BN108" s="22">
        <f t="shared" ca="1" si="423"/>
        <v>3</v>
      </c>
      <c r="BO108" s="11" t="str">
        <f t="shared" ca="1" si="424"/>
        <v>Chile</v>
      </c>
      <c r="BP108" s="22">
        <f t="shared" ca="1" si="425"/>
        <v>52120843.663999997</v>
      </c>
      <c r="BQ108" s="22">
        <f t="shared" ca="1" si="426"/>
        <v>2012</v>
      </c>
      <c r="BS108" s="1">
        <f t="shared" ca="1" si="427"/>
        <v>0</v>
      </c>
      <c r="BT108" s="22" t="str">
        <f t="shared" ca="1" si="428"/>
        <v/>
      </c>
      <c r="BU108" s="11" t="str">
        <f t="shared" ca="1" si="429"/>
        <v/>
      </c>
      <c r="BV108" s="22" t="str">
        <f t="shared" ca="1" si="430"/>
        <v/>
      </c>
      <c r="BW108" s="22" t="str">
        <f t="shared" ca="1" si="431"/>
        <v/>
      </c>
      <c r="BY108" s="1">
        <f t="shared" ca="1" si="432"/>
        <v>0</v>
      </c>
      <c r="BZ108" s="22" t="str">
        <f t="shared" ca="1" si="433"/>
        <v/>
      </c>
      <c r="CA108" s="11" t="str">
        <f t="shared" ca="1" si="434"/>
        <v/>
      </c>
      <c r="CB108" s="22" t="str">
        <f t="shared" ca="1" si="435"/>
        <v/>
      </c>
      <c r="CC108" s="22" t="str">
        <f t="shared" ca="1" si="436"/>
        <v/>
      </c>
      <c r="CE108" s="1">
        <f t="shared" ca="1" si="437"/>
        <v>0</v>
      </c>
      <c r="CF108" s="22" t="str">
        <f t="shared" ca="1" si="438"/>
        <v/>
      </c>
      <c r="CG108" s="11" t="str">
        <f t="shared" ca="1" si="439"/>
        <v/>
      </c>
      <c r="CH108" s="22" t="str">
        <f t="shared" ca="1" si="440"/>
        <v/>
      </c>
      <c r="CI108" s="22" t="str">
        <f t="shared" ca="1" si="441"/>
        <v/>
      </c>
      <c r="CK108" s="1">
        <f t="shared" ca="1" si="442"/>
        <v>0</v>
      </c>
      <c r="CL108" s="22" t="str">
        <f t="shared" ca="1" si="443"/>
        <v/>
      </c>
      <c r="CM108" s="11" t="str">
        <f t="shared" ca="1" si="444"/>
        <v/>
      </c>
      <c r="CN108" s="22" t="str">
        <f t="shared" ca="1" si="445"/>
        <v/>
      </c>
      <c r="CO108" s="22" t="str">
        <f t="shared" ca="1" si="446"/>
        <v/>
      </c>
      <c r="CP108" s="73"/>
      <c r="CQ108" s="1">
        <f t="shared" ca="1" si="447"/>
        <v>0</v>
      </c>
      <c r="CR108" s="22" t="str">
        <f t="shared" ca="1" si="448"/>
        <v/>
      </c>
      <c r="CS108" s="11" t="str">
        <f t="shared" ca="1" si="449"/>
        <v/>
      </c>
      <c r="CT108" s="22" t="str">
        <f t="shared" ca="1" si="450"/>
        <v/>
      </c>
      <c r="CU108" s="22" t="str">
        <f t="shared" ca="1" si="451"/>
        <v/>
      </c>
      <c r="CW108" s="1">
        <f t="shared" ca="1" si="452"/>
        <v>0</v>
      </c>
      <c r="CX108" s="22" t="str">
        <f t="shared" ca="1" si="453"/>
        <v/>
      </c>
      <c r="CY108" s="11" t="str">
        <f t="shared" ca="1" si="454"/>
        <v/>
      </c>
      <c r="CZ108" s="22" t="str">
        <f t="shared" ca="1" si="455"/>
        <v/>
      </c>
      <c r="DA108" s="22" t="str">
        <f t="shared" ca="1" si="456"/>
        <v/>
      </c>
      <c r="DC108" s="1">
        <f t="shared" ca="1" si="457"/>
        <v>0</v>
      </c>
      <c r="DD108" s="22" t="str">
        <f t="shared" ca="1" si="458"/>
        <v/>
      </c>
      <c r="DE108" s="11" t="str">
        <f t="shared" ca="1" si="459"/>
        <v/>
      </c>
      <c r="DF108" s="22" t="str">
        <f t="shared" ca="1" si="460"/>
        <v/>
      </c>
      <c r="DG108" s="22" t="str">
        <f t="shared" ca="1" si="461"/>
        <v/>
      </c>
      <c r="DI108" s="1">
        <f t="shared" ca="1" si="462"/>
        <v>0</v>
      </c>
      <c r="DJ108" s="22" t="str">
        <f t="shared" ca="1" si="463"/>
        <v/>
      </c>
      <c r="DK108" s="11" t="str">
        <f t="shared" ca="1" si="464"/>
        <v/>
      </c>
      <c r="DL108" s="22" t="str">
        <f t="shared" ca="1" si="465"/>
        <v/>
      </c>
      <c r="DM108" s="22" t="str">
        <f t="shared" ca="1" si="466"/>
        <v/>
      </c>
      <c r="DO108" s="1">
        <f t="shared" ca="1" si="467"/>
        <v>0</v>
      </c>
      <c r="DP108" s="22" t="str">
        <f t="shared" ca="1" si="468"/>
        <v/>
      </c>
      <c r="DQ108" s="11" t="str">
        <f t="shared" ca="1" si="469"/>
        <v/>
      </c>
      <c r="DR108" s="22" t="str">
        <f t="shared" ca="1" si="470"/>
        <v/>
      </c>
      <c r="DS108" s="22" t="str">
        <f t="shared" ca="1" si="471"/>
        <v/>
      </c>
      <c r="DU108" s="1">
        <f t="shared" ca="1" si="472"/>
        <v>0</v>
      </c>
      <c r="DV108" s="22" t="str">
        <f t="shared" ca="1" si="473"/>
        <v/>
      </c>
      <c r="DW108" s="11" t="str">
        <f t="shared" ca="1" si="474"/>
        <v/>
      </c>
      <c r="DX108" s="22" t="str">
        <f t="shared" ca="1" si="475"/>
        <v/>
      </c>
      <c r="DY108" s="22" t="str">
        <f t="shared" ca="1" si="476"/>
        <v/>
      </c>
      <c r="EA108" s="1">
        <f t="shared" ca="1" si="477"/>
        <v>0</v>
      </c>
      <c r="EB108" s="22" t="str">
        <f t="shared" ca="1" si="478"/>
        <v/>
      </c>
      <c r="EC108" s="11" t="str">
        <f t="shared" ca="1" si="479"/>
        <v/>
      </c>
      <c r="ED108" s="22" t="str">
        <f t="shared" ca="1" si="480"/>
        <v/>
      </c>
      <c r="EE108" s="22" t="str">
        <f t="shared" ca="1" si="481"/>
        <v/>
      </c>
      <c r="EG108" s="1">
        <f t="shared" ca="1" si="482"/>
        <v>0</v>
      </c>
      <c r="EH108" s="22" t="str">
        <f t="shared" ca="1" si="483"/>
        <v/>
      </c>
      <c r="EI108" s="11" t="str">
        <f t="shared" ca="1" si="484"/>
        <v/>
      </c>
      <c r="EJ108" s="22" t="str">
        <f t="shared" ca="1" si="485"/>
        <v/>
      </c>
      <c r="EK108" s="22" t="str">
        <f t="shared" ca="1" si="486"/>
        <v/>
      </c>
      <c r="EM108" s="1">
        <f t="shared" ca="1" si="487"/>
        <v>0</v>
      </c>
      <c r="EN108" s="22" t="str">
        <f t="shared" ca="1" si="488"/>
        <v/>
      </c>
      <c r="EO108" s="11" t="str">
        <f t="shared" ca="1" si="489"/>
        <v/>
      </c>
      <c r="EP108" s="22" t="str">
        <f t="shared" ca="1" si="490"/>
        <v/>
      </c>
      <c r="EQ108" s="22" t="str">
        <f t="shared" ca="1" si="491"/>
        <v/>
      </c>
      <c r="ES108" s="1">
        <f t="shared" ca="1" si="492"/>
        <v>0</v>
      </c>
      <c r="ET108" s="22" t="str">
        <f t="shared" ca="1" si="493"/>
        <v/>
      </c>
      <c r="EU108" s="11" t="str">
        <f t="shared" ca="1" si="494"/>
        <v/>
      </c>
      <c r="EV108" s="22" t="str">
        <f t="shared" ca="1" si="495"/>
        <v/>
      </c>
      <c r="EW108" s="22" t="str">
        <f t="shared" ca="1" si="496"/>
        <v/>
      </c>
      <c r="EY108" s="1">
        <f t="shared" ca="1" si="497"/>
        <v>0</v>
      </c>
      <c r="EZ108" s="22" t="str">
        <f t="shared" ca="1" si="498"/>
        <v/>
      </c>
      <c r="FA108" s="11" t="str">
        <f t="shared" ca="1" si="499"/>
        <v/>
      </c>
      <c r="FB108" s="22" t="str">
        <f t="shared" ca="1" si="500"/>
        <v/>
      </c>
      <c r="FC108" s="22" t="str">
        <f t="shared" ca="1" si="501"/>
        <v/>
      </c>
      <c r="FE108" s="1">
        <f t="shared" ca="1" si="502"/>
        <v>0</v>
      </c>
      <c r="FF108" s="22" t="str">
        <f t="shared" ca="1" si="503"/>
        <v/>
      </c>
      <c r="FG108" s="11" t="str">
        <f t="shared" ca="1" si="504"/>
        <v/>
      </c>
      <c r="FH108" s="22" t="str">
        <f t="shared" ca="1" si="505"/>
        <v/>
      </c>
      <c r="FI108" s="22" t="str">
        <f t="shared" ca="1" si="506"/>
        <v/>
      </c>
      <c r="FK108" s="1">
        <f t="shared" ca="1" si="507"/>
        <v>0</v>
      </c>
      <c r="FL108" s="22" t="str">
        <f t="shared" ca="1" si="508"/>
        <v/>
      </c>
      <c r="FM108" s="11" t="str">
        <f t="shared" ca="1" si="509"/>
        <v/>
      </c>
      <c r="FN108" s="22" t="str">
        <f t="shared" ca="1" si="510"/>
        <v/>
      </c>
      <c r="FO108" s="22" t="str">
        <f t="shared" ca="1" si="511"/>
        <v/>
      </c>
    </row>
    <row r="109" spans="1:171" x14ac:dyDescent="0.2">
      <c r="E109" s="1">
        <f t="shared" ca="1" si="372"/>
        <v>1</v>
      </c>
      <c r="F109" s="22">
        <f t="shared" ca="1" si="373"/>
        <v>4</v>
      </c>
      <c r="G109" s="11" t="str">
        <f t="shared" ca="1" si="374"/>
        <v>Guatemala</v>
      </c>
      <c r="H109" s="22">
        <f t="shared" ca="1" si="375"/>
        <v>7.8</v>
      </c>
      <c r="I109" s="22">
        <f t="shared" ca="1" si="376"/>
        <v>2012</v>
      </c>
      <c r="K109" s="1">
        <f t="shared" ca="1" si="377"/>
        <v>1</v>
      </c>
      <c r="L109" s="22">
        <f t="shared" ca="1" si="378"/>
        <v>4</v>
      </c>
      <c r="M109" s="11" t="str">
        <f t="shared" ca="1" si="379"/>
        <v>Argentina</v>
      </c>
      <c r="N109" s="22">
        <f t="shared" ca="1" si="380"/>
        <v>41.116745999999999</v>
      </c>
      <c r="O109" s="22">
        <f t="shared" ca="1" si="381"/>
        <v>2012</v>
      </c>
      <c r="Q109" s="1">
        <f t="shared" ca="1" si="382"/>
        <v>1</v>
      </c>
      <c r="R109" s="22">
        <f t="shared" ca="1" si="383"/>
        <v>4</v>
      </c>
      <c r="S109" s="11" t="str">
        <f t="shared" ca="1" si="384"/>
        <v>Peru</v>
      </c>
      <c r="T109" s="22">
        <f t="shared" ca="1" si="385"/>
        <v>1285220</v>
      </c>
      <c r="U109" s="22">
        <f t="shared" ca="1" si="386"/>
        <v>2012</v>
      </c>
      <c r="W109" s="1">
        <f t="shared" ca="1" si="387"/>
        <v>1</v>
      </c>
      <c r="X109" s="22">
        <f t="shared" ca="1" si="388"/>
        <v>4</v>
      </c>
      <c r="Y109" s="11" t="str">
        <f t="shared" ca="1" si="389"/>
        <v>Venezuela</v>
      </c>
      <c r="Z109" s="22">
        <f t="shared" ca="1" si="390"/>
        <v>382.42399999999998</v>
      </c>
      <c r="AA109" s="22">
        <f t="shared" ca="1" si="391"/>
        <v>2012</v>
      </c>
      <c r="AC109" s="1">
        <f t="shared" ca="1" si="392"/>
        <v>1</v>
      </c>
      <c r="AD109" s="22">
        <f t="shared" ca="1" si="393"/>
        <v>4</v>
      </c>
      <c r="AE109" s="11" t="str">
        <f t="shared" ca="1" si="394"/>
        <v>Colombia</v>
      </c>
      <c r="AF109" s="22">
        <f t="shared" ca="1" si="395"/>
        <v>502.87400000000002</v>
      </c>
      <c r="AG109" s="22">
        <f t="shared" ca="1" si="396"/>
        <v>2012</v>
      </c>
      <c r="AI109" s="1">
        <f t="shared" ca="1" si="397"/>
        <v>1</v>
      </c>
      <c r="AJ109" s="22">
        <f t="shared" ca="1" si="398"/>
        <v>4</v>
      </c>
      <c r="AK109" s="11" t="str">
        <f t="shared" ca="1" si="399"/>
        <v>Argentina</v>
      </c>
      <c r="AL109" s="22">
        <f t="shared" ca="1" si="400"/>
        <v>5.3750454000000003</v>
      </c>
      <c r="AM109" s="22">
        <f t="shared" ca="1" si="401"/>
        <v>2012</v>
      </c>
      <c r="AO109" s="1">
        <f t="shared" ca="1" si="402"/>
        <v>1</v>
      </c>
      <c r="AP109" s="22">
        <f t="shared" ca="1" si="403"/>
        <v>4</v>
      </c>
      <c r="AQ109" s="11" t="str">
        <f t="shared" ca="1" si="404"/>
        <v>Argentina</v>
      </c>
      <c r="AR109" s="22">
        <f t="shared" ca="1" si="405"/>
        <v>2.4069547999999998</v>
      </c>
      <c r="AS109" s="22">
        <f t="shared" ca="1" si="406"/>
        <v>2012</v>
      </c>
      <c r="AU109" s="1">
        <f t="shared" ca="1" si="407"/>
        <v>1</v>
      </c>
      <c r="AV109" s="22">
        <f t="shared" ca="1" si="408"/>
        <v>4</v>
      </c>
      <c r="AW109" s="11" t="str">
        <f t="shared" ca="1" si="409"/>
        <v>Argentina</v>
      </c>
      <c r="AX109" s="22">
        <f t="shared" ca="1" si="410"/>
        <v>81.903149600000006</v>
      </c>
      <c r="AY109" s="22">
        <f t="shared" ca="1" si="411"/>
        <v>2012</v>
      </c>
      <c r="BA109" s="1">
        <f t="shared" ca="1" si="412"/>
        <v>1</v>
      </c>
      <c r="BB109" s="22">
        <f t="shared" ca="1" si="413"/>
        <v>4</v>
      </c>
      <c r="BC109" s="11" t="str">
        <f t="shared" ca="1" si="414"/>
        <v>Argentina</v>
      </c>
      <c r="BD109" s="22">
        <f t="shared" ca="1" si="415"/>
        <v>100244570.502</v>
      </c>
      <c r="BE109" s="22">
        <f t="shared" ca="1" si="416"/>
        <v>2012</v>
      </c>
      <c r="BG109" s="1">
        <f t="shared" ca="1" si="417"/>
        <v>1</v>
      </c>
      <c r="BH109" s="22">
        <f t="shared" ca="1" si="418"/>
        <v>4</v>
      </c>
      <c r="BI109" s="11" t="str">
        <f t="shared" ca="1" si="419"/>
        <v>Argentina</v>
      </c>
      <c r="BJ109" s="22">
        <f t="shared" ca="1" si="420"/>
        <v>65.773621199999994</v>
      </c>
      <c r="BK109" s="22">
        <f t="shared" ca="1" si="421"/>
        <v>2012</v>
      </c>
      <c r="BM109" s="1">
        <f t="shared" ca="1" si="422"/>
        <v>1</v>
      </c>
      <c r="BN109" s="22">
        <f t="shared" ca="1" si="423"/>
        <v>4</v>
      </c>
      <c r="BO109" s="11" t="str">
        <f t="shared" ca="1" si="424"/>
        <v>Argentina</v>
      </c>
      <c r="BP109" s="22">
        <f t="shared" ca="1" si="425"/>
        <v>33687227.989</v>
      </c>
      <c r="BQ109" s="22">
        <f t="shared" ca="1" si="426"/>
        <v>2012</v>
      </c>
      <c r="BS109" s="1">
        <f t="shared" ca="1" si="427"/>
        <v>0</v>
      </c>
      <c r="BT109" s="22" t="str">
        <f t="shared" ca="1" si="428"/>
        <v/>
      </c>
      <c r="BU109" s="11" t="str">
        <f t="shared" ca="1" si="429"/>
        <v/>
      </c>
      <c r="BV109" s="22" t="str">
        <f t="shared" ca="1" si="430"/>
        <v/>
      </c>
      <c r="BW109" s="22" t="str">
        <f t="shared" ca="1" si="431"/>
        <v/>
      </c>
      <c r="BY109" s="1">
        <f t="shared" ca="1" si="432"/>
        <v>0</v>
      </c>
      <c r="BZ109" s="22" t="str">
        <f t="shared" ca="1" si="433"/>
        <v/>
      </c>
      <c r="CA109" s="11" t="str">
        <f t="shared" ca="1" si="434"/>
        <v/>
      </c>
      <c r="CB109" s="22" t="str">
        <f t="shared" ca="1" si="435"/>
        <v/>
      </c>
      <c r="CC109" s="22" t="str">
        <f t="shared" ca="1" si="436"/>
        <v/>
      </c>
      <c r="CE109" s="1">
        <f t="shared" ca="1" si="437"/>
        <v>0</v>
      </c>
      <c r="CF109" s="22" t="str">
        <f t="shared" ca="1" si="438"/>
        <v/>
      </c>
      <c r="CG109" s="11" t="str">
        <f t="shared" ca="1" si="439"/>
        <v/>
      </c>
      <c r="CH109" s="22" t="str">
        <f t="shared" ca="1" si="440"/>
        <v/>
      </c>
      <c r="CI109" s="22" t="str">
        <f t="shared" ca="1" si="441"/>
        <v/>
      </c>
      <c r="CK109" s="1">
        <f t="shared" ca="1" si="442"/>
        <v>0</v>
      </c>
      <c r="CL109" s="22" t="str">
        <f t="shared" ca="1" si="443"/>
        <v/>
      </c>
      <c r="CM109" s="11" t="str">
        <f t="shared" ca="1" si="444"/>
        <v/>
      </c>
      <c r="CN109" s="22" t="str">
        <f t="shared" ca="1" si="445"/>
        <v/>
      </c>
      <c r="CO109" s="22" t="str">
        <f t="shared" ca="1" si="446"/>
        <v/>
      </c>
      <c r="CP109" s="73"/>
      <c r="CQ109" s="1">
        <f t="shared" ca="1" si="447"/>
        <v>0</v>
      </c>
      <c r="CR109" s="22" t="str">
        <f t="shared" ca="1" si="448"/>
        <v/>
      </c>
      <c r="CS109" s="11" t="str">
        <f t="shared" ca="1" si="449"/>
        <v/>
      </c>
      <c r="CT109" s="22" t="str">
        <f t="shared" ca="1" si="450"/>
        <v/>
      </c>
      <c r="CU109" s="22" t="str">
        <f t="shared" ca="1" si="451"/>
        <v/>
      </c>
      <c r="CW109" s="1">
        <f t="shared" ca="1" si="452"/>
        <v>0</v>
      </c>
      <c r="CX109" s="22" t="str">
        <f t="shared" ca="1" si="453"/>
        <v/>
      </c>
      <c r="CY109" s="11" t="str">
        <f t="shared" ca="1" si="454"/>
        <v/>
      </c>
      <c r="CZ109" s="22" t="str">
        <f t="shared" ca="1" si="455"/>
        <v/>
      </c>
      <c r="DA109" s="22" t="str">
        <f t="shared" ca="1" si="456"/>
        <v/>
      </c>
      <c r="DC109" s="1">
        <f t="shared" ca="1" si="457"/>
        <v>0</v>
      </c>
      <c r="DD109" s="22" t="str">
        <f t="shared" ca="1" si="458"/>
        <v/>
      </c>
      <c r="DE109" s="11" t="str">
        <f t="shared" ca="1" si="459"/>
        <v/>
      </c>
      <c r="DF109" s="22" t="str">
        <f t="shared" ca="1" si="460"/>
        <v/>
      </c>
      <c r="DG109" s="22" t="str">
        <f t="shared" ca="1" si="461"/>
        <v/>
      </c>
      <c r="DI109" s="1">
        <f t="shared" ca="1" si="462"/>
        <v>0</v>
      </c>
      <c r="DJ109" s="22" t="str">
        <f t="shared" ca="1" si="463"/>
        <v/>
      </c>
      <c r="DK109" s="11" t="str">
        <f t="shared" ca="1" si="464"/>
        <v/>
      </c>
      <c r="DL109" s="22" t="str">
        <f t="shared" ca="1" si="465"/>
        <v/>
      </c>
      <c r="DM109" s="22" t="str">
        <f t="shared" ca="1" si="466"/>
        <v/>
      </c>
      <c r="DO109" s="1">
        <f t="shared" ca="1" si="467"/>
        <v>0</v>
      </c>
      <c r="DP109" s="22" t="str">
        <f t="shared" ca="1" si="468"/>
        <v/>
      </c>
      <c r="DQ109" s="11" t="str">
        <f t="shared" ca="1" si="469"/>
        <v/>
      </c>
      <c r="DR109" s="22" t="str">
        <f t="shared" ca="1" si="470"/>
        <v/>
      </c>
      <c r="DS109" s="22" t="str">
        <f t="shared" ca="1" si="471"/>
        <v/>
      </c>
      <c r="DU109" s="1">
        <f t="shared" ca="1" si="472"/>
        <v>0</v>
      </c>
      <c r="DV109" s="22" t="str">
        <f t="shared" ca="1" si="473"/>
        <v/>
      </c>
      <c r="DW109" s="11" t="str">
        <f t="shared" ca="1" si="474"/>
        <v/>
      </c>
      <c r="DX109" s="22" t="str">
        <f t="shared" ca="1" si="475"/>
        <v/>
      </c>
      <c r="DY109" s="22" t="str">
        <f t="shared" ca="1" si="476"/>
        <v/>
      </c>
      <c r="EA109" s="1">
        <f t="shared" ca="1" si="477"/>
        <v>0</v>
      </c>
      <c r="EB109" s="22" t="str">
        <f t="shared" ca="1" si="478"/>
        <v/>
      </c>
      <c r="EC109" s="11" t="str">
        <f t="shared" ca="1" si="479"/>
        <v/>
      </c>
      <c r="ED109" s="22" t="str">
        <f t="shared" ca="1" si="480"/>
        <v/>
      </c>
      <c r="EE109" s="22" t="str">
        <f t="shared" ca="1" si="481"/>
        <v/>
      </c>
      <c r="EG109" s="1">
        <f t="shared" ca="1" si="482"/>
        <v>0</v>
      </c>
      <c r="EH109" s="22" t="str">
        <f t="shared" ca="1" si="483"/>
        <v/>
      </c>
      <c r="EI109" s="11" t="str">
        <f t="shared" ca="1" si="484"/>
        <v/>
      </c>
      <c r="EJ109" s="22" t="str">
        <f t="shared" ca="1" si="485"/>
        <v/>
      </c>
      <c r="EK109" s="22" t="str">
        <f t="shared" ca="1" si="486"/>
        <v/>
      </c>
      <c r="EM109" s="1">
        <f t="shared" ca="1" si="487"/>
        <v>0</v>
      </c>
      <c r="EN109" s="22" t="str">
        <f t="shared" ca="1" si="488"/>
        <v/>
      </c>
      <c r="EO109" s="11" t="str">
        <f t="shared" ca="1" si="489"/>
        <v/>
      </c>
      <c r="EP109" s="22" t="str">
        <f t="shared" ca="1" si="490"/>
        <v/>
      </c>
      <c r="EQ109" s="22" t="str">
        <f t="shared" ca="1" si="491"/>
        <v/>
      </c>
      <c r="ES109" s="1">
        <f t="shared" ca="1" si="492"/>
        <v>0</v>
      </c>
      <c r="ET109" s="22" t="str">
        <f t="shared" ca="1" si="493"/>
        <v/>
      </c>
      <c r="EU109" s="11" t="str">
        <f t="shared" ca="1" si="494"/>
        <v/>
      </c>
      <c r="EV109" s="22" t="str">
        <f t="shared" ca="1" si="495"/>
        <v/>
      </c>
      <c r="EW109" s="22" t="str">
        <f t="shared" ca="1" si="496"/>
        <v/>
      </c>
      <c r="EY109" s="1">
        <f t="shared" ca="1" si="497"/>
        <v>0</v>
      </c>
      <c r="EZ109" s="22" t="str">
        <f t="shared" ca="1" si="498"/>
        <v/>
      </c>
      <c r="FA109" s="11" t="str">
        <f t="shared" ca="1" si="499"/>
        <v/>
      </c>
      <c r="FB109" s="22" t="str">
        <f t="shared" ca="1" si="500"/>
        <v/>
      </c>
      <c r="FC109" s="22" t="str">
        <f t="shared" ca="1" si="501"/>
        <v/>
      </c>
      <c r="FE109" s="1">
        <f t="shared" ca="1" si="502"/>
        <v>0</v>
      </c>
      <c r="FF109" s="22" t="str">
        <f t="shared" ca="1" si="503"/>
        <v/>
      </c>
      <c r="FG109" s="11" t="str">
        <f t="shared" ca="1" si="504"/>
        <v/>
      </c>
      <c r="FH109" s="22" t="str">
        <f t="shared" ca="1" si="505"/>
        <v/>
      </c>
      <c r="FI109" s="22" t="str">
        <f t="shared" ca="1" si="506"/>
        <v/>
      </c>
      <c r="FK109" s="1">
        <f t="shared" ca="1" si="507"/>
        <v>0</v>
      </c>
      <c r="FL109" s="22" t="str">
        <f t="shared" ca="1" si="508"/>
        <v/>
      </c>
      <c r="FM109" s="11" t="str">
        <f t="shared" ca="1" si="509"/>
        <v/>
      </c>
      <c r="FN109" s="22" t="str">
        <f t="shared" ca="1" si="510"/>
        <v/>
      </c>
      <c r="FO109" s="22" t="str">
        <f t="shared" ca="1" si="511"/>
        <v/>
      </c>
    </row>
    <row r="110" spans="1:171" x14ac:dyDescent="0.2">
      <c r="E110" s="1">
        <f t="shared" ca="1" si="372"/>
        <v>1</v>
      </c>
      <c r="F110" s="22">
        <f t="shared" ca="1" si="373"/>
        <v>5</v>
      </c>
      <c r="G110" s="11" t="str">
        <f t="shared" ca="1" si="374"/>
        <v>Colombia</v>
      </c>
      <c r="H110" s="22">
        <f t="shared" ca="1" si="375"/>
        <v>7.7299999999999995</v>
      </c>
      <c r="I110" s="22">
        <f t="shared" ca="1" si="376"/>
        <v>2012</v>
      </c>
      <c r="K110" s="1">
        <f t="shared" ca="1" si="377"/>
        <v>1</v>
      </c>
      <c r="L110" s="22">
        <f t="shared" ca="1" si="378"/>
        <v>5</v>
      </c>
      <c r="M110" s="11" t="str">
        <f t="shared" ca="1" si="379"/>
        <v>Peru</v>
      </c>
      <c r="N110" s="22">
        <f t="shared" ca="1" si="380"/>
        <v>30.474</v>
      </c>
      <c r="O110" s="22">
        <f t="shared" ca="1" si="381"/>
        <v>2012</v>
      </c>
      <c r="Q110" s="1">
        <f t="shared" ca="1" si="382"/>
        <v>1</v>
      </c>
      <c r="R110" s="22">
        <f t="shared" ca="1" si="383"/>
        <v>5</v>
      </c>
      <c r="S110" s="11" t="str">
        <f t="shared" ca="1" si="384"/>
        <v>Colombia</v>
      </c>
      <c r="T110" s="22">
        <f t="shared" ca="1" si="385"/>
        <v>1141748</v>
      </c>
      <c r="U110" s="22">
        <f t="shared" ca="1" si="386"/>
        <v>2012</v>
      </c>
      <c r="W110" s="1">
        <f t="shared" ca="1" si="387"/>
        <v>1</v>
      </c>
      <c r="X110" s="22">
        <f t="shared" ca="1" si="388"/>
        <v>5</v>
      </c>
      <c r="Y110" s="11" t="str">
        <f t="shared" ca="1" si="389"/>
        <v>Colombia</v>
      </c>
      <c r="Z110" s="22">
        <f t="shared" ca="1" si="390"/>
        <v>366.02</v>
      </c>
      <c r="AA110" s="22">
        <f t="shared" ca="1" si="391"/>
        <v>2012</v>
      </c>
      <c r="AC110" s="1">
        <f t="shared" ca="1" si="392"/>
        <v>1</v>
      </c>
      <c r="AD110" s="22">
        <f t="shared" ca="1" si="393"/>
        <v>5</v>
      </c>
      <c r="AE110" s="11" t="str">
        <f t="shared" ca="1" si="394"/>
        <v>Venezuela</v>
      </c>
      <c r="AF110" s="22">
        <f t="shared" ca="1" si="395"/>
        <v>401.89800000000002</v>
      </c>
      <c r="AG110" s="22">
        <f t="shared" ca="1" si="396"/>
        <v>2012</v>
      </c>
      <c r="AI110" s="1">
        <f t="shared" ca="1" si="397"/>
        <v>1</v>
      </c>
      <c r="AJ110" s="22">
        <f t="shared" ca="1" si="398"/>
        <v>5</v>
      </c>
      <c r="AK110" s="11" t="str">
        <f t="shared" ca="1" si="399"/>
        <v>Venezuela</v>
      </c>
      <c r="AL110" s="22">
        <f t="shared" ca="1" si="400"/>
        <v>3.7890000000000001</v>
      </c>
      <c r="AM110" s="22">
        <f t="shared" ca="1" si="401"/>
        <v>2012</v>
      </c>
      <c r="AO110" s="1">
        <f t="shared" ca="1" si="402"/>
        <v>1</v>
      </c>
      <c r="AP110" s="22">
        <f t="shared" ca="1" si="403"/>
        <v>5</v>
      </c>
      <c r="AQ110" s="11" t="str">
        <f t="shared" ca="1" si="404"/>
        <v>Ecuador</v>
      </c>
      <c r="AR110" s="22">
        <f t="shared" ca="1" si="405"/>
        <v>1.7828835000000001</v>
      </c>
      <c r="AS110" s="22">
        <f t="shared" ca="1" si="406"/>
        <v>2012</v>
      </c>
      <c r="AU110" s="1">
        <f t="shared" ca="1" si="407"/>
        <v>1</v>
      </c>
      <c r="AV110" s="22">
        <f t="shared" ca="1" si="408"/>
        <v>5</v>
      </c>
      <c r="AW110" s="11" t="str">
        <f t="shared" ca="1" si="409"/>
        <v>Chile</v>
      </c>
      <c r="AX110" s="22">
        <f t="shared" ca="1" si="410"/>
        <v>78.276982606000004</v>
      </c>
      <c r="AY110" s="22">
        <f t="shared" ca="1" si="411"/>
        <v>2012</v>
      </c>
      <c r="BA110" s="1">
        <f t="shared" ca="1" si="412"/>
        <v>1</v>
      </c>
      <c r="BB110" s="22">
        <f t="shared" ca="1" si="413"/>
        <v>5</v>
      </c>
      <c r="BC110" s="11" t="str">
        <f t="shared" ca="1" si="414"/>
        <v>México</v>
      </c>
      <c r="BD110" s="22">
        <f t="shared" ca="1" si="415"/>
        <v>75436910.116999999</v>
      </c>
      <c r="BE110" s="22">
        <f t="shared" ca="1" si="416"/>
        <v>2012</v>
      </c>
      <c r="BG110" s="1">
        <f t="shared" ca="1" si="417"/>
        <v>1</v>
      </c>
      <c r="BH110" s="22">
        <f t="shared" ca="1" si="418"/>
        <v>5</v>
      </c>
      <c r="BI110" s="11" t="str">
        <f t="shared" ca="1" si="419"/>
        <v>Venezuela</v>
      </c>
      <c r="BJ110" s="22">
        <f t="shared" ca="1" si="420"/>
        <v>56.392989100000001</v>
      </c>
      <c r="BK110" s="22">
        <f t="shared" ca="1" si="421"/>
        <v>2012</v>
      </c>
      <c r="BM110" s="1">
        <f t="shared" ca="1" si="422"/>
        <v>1</v>
      </c>
      <c r="BN110" s="22">
        <f t="shared" ca="1" si="423"/>
        <v>5</v>
      </c>
      <c r="BO110" s="11" t="str">
        <f t="shared" ca="1" si="424"/>
        <v>Colombia</v>
      </c>
      <c r="BP110" s="22">
        <f t="shared" ca="1" si="425"/>
        <v>30292238.4263</v>
      </c>
      <c r="BQ110" s="22">
        <f t="shared" ca="1" si="426"/>
        <v>2012</v>
      </c>
      <c r="BS110" s="1">
        <f t="shared" ca="1" si="427"/>
        <v>0</v>
      </c>
      <c r="BT110" s="22" t="str">
        <f t="shared" ca="1" si="428"/>
        <v/>
      </c>
      <c r="BU110" s="11" t="str">
        <f t="shared" ca="1" si="429"/>
        <v/>
      </c>
      <c r="BV110" s="22" t="str">
        <f t="shared" ca="1" si="430"/>
        <v/>
      </c>
      <c r="BW110" s="22" t="str">
        <f t="shared" ca="1" si="431"/>
        <v/>
      </c>
      <c r="BY110" s="1">
        <f t="shared" ca="1" si="432"/>
        <v>0</v>
      </c>
      <c r="BZ110" s="22" t="str">
        <f t="shared" ca="1" si="433"/>
        <v/>
      </c>
      <c r="CA110" s="11" t="str">
        <f t="shared" ca="1" si="434"/>
        <v/>
      </c>
      <c r="CB110" s="22" t="str">
        <f t="shared" ca="1" si="435"/>
        <v/>
      </c>
      <c r="CC110" s="22" t="str">
        <f t="shared" ca="1" si="436"/>
        <v/>
      </c>
      <c r="CE110" s="1">
        <f t="shared" ca="1" si="437"/>
        <v>0</v>
      </c>
      <c r="CF110" s="22" t="str">
        <f t="shared" ca="1" si="438"/>
        <v/>
      </c>
      <c r="CG110" s="11" t="str">
        <f t="shared" ca="1" si="439"/>
        <v/>
      </c>
      <c r="CH110" s="22" t="str">
        <f t="shared" ca="1" si="440"/>
        <v/>
      </c>
      <c r="CI110" s="22" t="str">
        <f t="shared" ca="1" si="441"/>
        <v/>
      </c>
      <c r="CK110" s="1">
        <f t="shared" ca="1" si="442"/>
        <v>0</v>
      </c>
      <c r="CL110" s="22" t="str">
        <f t="shared" ca="1" si="443"/>
        <v/>
      </c>
      <c r="CM110" s="11" t="str">
        <f t="shared" ca="1" si="444"/>
        <v/>
      </c>
      <c r="CN110" s="22" t="str">
        <f t="shared" ca="1" si="445"/>
        <v/>
      </c>
      <c r="CO110" s="22" t="str">
        <f t="shared" ca="1" si="446"/>
        <v/>
      </c>
      <c r="CP110" s="73"/>
      <c r="CQ110" s="1">
        <f t="shared" ca="1" si="447"/>
        <v>0</v>
      </c>
      <c r="CR110" s="22" t="str">
        <f t="shared" ca="1" si="448"/>
        <v/>
      </c>
      <c r="CS110" s="11" t="str">
        <f t="shared" ca="1" si="449"/>
        <v/>
      </c>
      <c r="CT110" s="22" t="str">
        <f t="shared" ca="1" si="450"/>
        <v/>
      </c>
      <c r="CU110" s="22" t="str">
        <f t="shared" ca="1" si="451"/>
        <v/>
      </c>
      <c r="CW110" s="1">
        <f t="shared" ca="1" si="452"/>
        <v>0</v>
      </c>
      <c r="CX110" s="22" t="str">
        <f t="shared" ca="1" si="453"/>
        <v/>
      </c>
      <c r="CY110" s="11" t="str">
        <f t="shared" ca="1" si="454"/>
        <v/>
      </c>
      <c r="CZ110" s="22" t="str">
        <f t="shared" ca="1" si="455"/>
        <v/>
      </c>
      <c r="DA110" s="22" t="str">
        <f t="shared" ca="1" si="456"/>
        <v/>
      </c>
      <c r="DC110" s="1">
        <f t="shared" ca="1" si="457"/>
        <v>0</v>
      </c>
      <c r="DD110" s="22" t="str">
        <f t="shared" ca="1" si="458"/>
        <v/>
      </c>
      <c r="DE110" s="11" t="str">
        <f t="shared" ca="1" si="459"/>
        <v/>
      </c>
      <c r="DF110" s="22" t="str">
        <f t="shared" ca="1" si="460"/>
        <v/>
      </c>
      <c r="DG110" s="22" t="str">
        <f t="shared" ca="1" si="461"/>
        <v/>
      </c>
      <c r="DI110" s="1">
        <f t="shared" ca="1" si="462"/>
        <v>0</v>
      </c>
      <c r="DJ110" s="22" t="str">
        <f t="shared" ca="1" si="463"/>
        <v/>
      </c>
      <c r="DK110" s="11" t="str">
        <f t="shared" ca="1" si="464"/>
        <v/>
      </c>
      <c r="DL110" s="22" t="str">
        <f t="shared" ca="1" si="465"/>
        <v/>
      </c>
      <c r="DM110" s="22" t="str">
        <f t="shared" ca="1" si="466"/>
        <v/>
      </c>
      <c r="DO110" s="1">
        <f t="shared" ca="1" si="467"/>
        <v>0</v>
      </c>
      <c r="DP110" s="22" t="str">
        <f t="shared" ca="1" si="468"/>
        <v/>
      </c>
      <c r="DQ110" s="11" t="str">
        <f t="shared" ca="1" si="469"/>
        <v/>
      </c>
      <c r="DR110" s="22" t="str">
        <f t="shared" ca="1" si="470"/>
        <v/>
      </c>
      <c r="DS110" s="22" t="str">
        <f t="shared" ca="1" si="471"/>
        <v/>
      </c>
      <c r="DU110" s="1">
        <f t="shared" ca="1" si="472"/>
        <v>0</v>
      </c>
      <c r="DV110" s="22" t="str">
        <f t="shared" ca="1" si="473"/>
        <v/>
      </c>
      <c r="DW110" s="11" t="str">
        <f t="shared" ca="1" si="474"/>
        <v/>
      </c>
      <c r="DX110" s="22" t="str">
        <f t="shared" ca="1" si="475"/>
        <v/>
      </c>
      <c r="DY110" s="22" t="str">
        <f t="shared" ca="1" si="476"/>
        <v/>
      </c>
      <c r="EA110" s="1">
        <f t="shared" ca="1" si="477"/>
        <v>0</v>
      </c>
      <c r="EB110" s="22" t="str">
        <f t="shared" ca="1" si="478"/>
        <v/>
      </c>
      <c r="EC110" s="11" t="str">
        <f t="shared" ca="1" si="479"/>
        <v/>
      </c>
      <c r="ED110" s="22" t="str">
        <f t="shared" ca="1" si="480"/>
        <v/>
      </c>
      <c r="EE110" s="22" t="str">
        <f t="shared" ca="1" si="481"/>
        <v/>
      </c>
      <c r="EG110" s="1">
        <f t="shared" ca="1" si="482"/>
        <v>0</v>
      </c>
      <c r="EH110" s="22" t="str">
        <f t="shared" ca="1" si="483"/>
        <v/>
      </c>
      <c r="EI110" s="11" t="str">
        <f t="shared" ca="1" si="484"/>
        <v/>
      </c>
      <c r="EJ110" s="22" t="str">
        <f t="shared" ca="1" si="485"/>
        <v/>
      </c>
      <c r="EK110" s="22" t="str">
        <f t="shared" ca="1" si="486"/>
        <v/>
      </c>
      <c r="EM110" s="1">
        <f t="shared" ca="1" si="487"/>
        <v>0</v>
      </c>
      <c r="EN110" s="22" t="str">
        <f t="shared" ca="1" si="488"/>
        <v/>
      </c>
      <c r="EO110" s="11" t="str">
        <f t="shared" ca="1" si="489"/>
        <v/>
      </c>
      <c r="EP110" s="22" t="str">
        <f t="shared" ca="1" si="490"/>
        <v/>
      </c>
      <c r="EQ110" s="22" t="str">
        <f t="shared" ca="1" si="491"/>
        <v/>
      </c>
      <c r="ES110" s="1">
        <f t="shared" ca="1" si="492"/>
        <v>0</v>
      </c>
      <c r="ET110" s="22" t="str">
        <f t="shared" ca="1" si="493"/>
        <v/>
      </c>
      <c r="EU110" s="11" t="str">
        <f t="shared" ca="1" si="494"/>
        <v/>
      </c>
      <c r="EV110" s="22" t="str">
        <f t="shared" ca="1" si="495"/>
        <v/>
      </c>
      <c r="EW110" s="22" t="str">
        <f t="shared" ca="1" si="496"/>
        <v/>
      </c>
      <c r="EY110" s="1">
        <f t="shared" ca="1" si="497"/>
        <v>0</v>
      </c>
      <c r="EZ110" s="22" t="str">
        <f t="shared" ca="1" si="498"/>
        <v/>
      </c>
      <c r="FA110" s="11" t="str">
        <f t="shared" ca="1" si="499"/>
        <v/>
      </c>
      <c r="FB110" s="22" t="str">
        <f t="shared" ca="1" si="500"/>
        <v/>
      </c>
      <c r="FC110" s="22" t="str">
        <f t="shared" ca="1" si="501"/>
        <v/>
      </c>
      <c r="FE110" s="1">
        <f t="shared" ca="1" si="502"/>
        <v>0</v>
      </c>
      <c r="FF110" s="22" t="str">
        <f t="shared" ca="1" si="503"/>
        <v/>
      </c>
      <c r="FG110" s="11" t="str">
        <f t="shared" ca="1" si="504"/>
        <v/>
      </c>
      <c r="FH110" s="22" t="str">
        <f t="shared" ca="1" si="505"/>
        <v/>
      </c>
      <c r="FI110" s="22" t="str">
        <f t="shared" ca="1" si="506"/>
        <v/>
      </c>
      <c r="FK110" s="1">
        <f t="shared" ca="1" si="507"/>
        <v>0</v>
      </c>
      <c r="FL110" s="22" t="str">
        <f t="shared" ca="1" si="508"/>
        <v/>
      </c>
      <c r="FM110" s="11" t="str">
        <f t="shared" ca="1" si="509"/>
        <v/>
      </c>
      <c r="FN110" s="22" t="str">
        <f t="shared" ca="1" si="510"/>
        <v/>
      </c>
      <c r="FO110" s="22" t="str">
        <f t="shared" ca="1" si="511"/>
        <v/>
      </c>
    </row>
    <row r="111" spans="1:171" x14ac:dyDescent="0.2">
      <c r="E111" s="1">
        <f t="shared" ca="1" si="372"/>
        <v>1</v>
      </c>
      <c r="F111" s="22">
        <f t="shared" ca="1" si="373"/>
        <v>6</v>
      </c>
      <c r="G111" s="11" t="str">
        <f t="shared" ca="1" si="374"/>
        <v>Haiti</v>
      </c>
      <c r="H111" s="22">
        <f t="shared" ca="1" si="375"/>
        <v>7.6910436445216401</v>
      </c>
      <c r="I111" s="22">
        <f t="shared" ca="1" si="376"/>
        <v>2012</v>
      </c>
      <c r="K111" s="1">
        <f t="shared" ca="1" si="377"/>
        <v>1</v>
      </c>
      <c r="L111" s="22">
        <f t="shared" ca="1" si="378"/>
        <v>6</v>
      </c>
      <c r="M111" s="11" t="str">
        <f t="shared" ca="1" si="379"/>
        <v>Venezuela</v>
      </c>
      <c r="N111" s="22">
        <f t="shared" ca="1" si="380"/>
        <v>29.516999999999999</v>
      </c>
      <c r="O111" s="22">
        <f t="shared" ca="1" si="381"/>
        <v>2012</v>
      </c>
      <c r="Q111" s="1">
        <f t="shared" ca="1" si="382"/>
        <v>1</v>
      </c>
      <c r="R111" s="22">
        <f t="shared" ca="1" si="383"/>
        <v>6</v>
      </c>
      <c r="S111" s="11" t="str">
        <f t="shared" ca="1" si="384"/>
        <v>Bolivia</v>
      </c>
      <c r="T111" s="22">
        <f t="shared" ca="1" si="385"/>
        <v>1098581</v>
      </c>
      <c r="U111" s="22">
        <f t="shared" ca="1" si="386"/>
        <v>2012</v>
      </c>
      <c r="W111" s="1">
        <f t="shared" ca="1" si="387"/>
        <v>1</v>
      </c>
      <c r="X111" s="22">
        <f t="shared" ca="1" si="388"/>
        <v>6</v>
      </c>
      <c r="Y111" s="11" t="str">
        <f t="shared" ca="1" si="389"/>
        <v>Chile</v>
      </c>
      <c r="Z111" s="22">
        <f t="shared" ca="1" si="390"/>
        <v>268.30249824834198</v>
      </c>
      <c r="AA111" s="22">
        <f t="shared" ca="1" si="391"/>
        <v>2012</v>
      </c>
      <c r="AC111" s="1">
        <f t="shared" ca="1" si="392"/>
        <v>1</v>
      </c>
      <c r="AD111" s="22">
        <f t="shared" ca="1" si="393"/>
        <v>6</v>
      </c>
      <c r="AE111" s="11" t="str">
        <f t="shared" ca="1" si="394"/>
        <v>Peru</v>
      </c>
      <c r="AF111" s="22">
        <f t="shared" ca="1" si="395"/>
        <v>326.661</v>
      </c>
      <c r="AG111" s="22">
        <f t="shared" ca="1" si="396"/>
        <v>2012</v>
      </c>
      <c r="AI111" s="1">
        <f t="shared" ca="1" si="397"/>
        <v>1</v>
      </c>
      <c r="AJ111" s="22">
        <f t="shared" ca="1" si="398"/>
        <v>6</v>
      </c>
      <c r="AK111" s="11" t="str">
        <f t="shared" ca="1" si="399"/>
        <v>Colombia</v>
      </c>
      <c r="AL111" s="22">
        <f t="shared" ca="1" si="400"/>
        <v>3.4607169999999998</v>
      </c>
      <c r="AM111" s="22">
        <f t="shared" ca="1" si="401"/>
        <v>2012</v>
      </c>
      <c r="AO111" s="1">
        <f t="shared" ca="1" si="402"/>
        <v>1</v>
      </c>
      <c r="AP111" s="22">
        <f t="shared" ca="1" si="403"/>
        <v>6</v>
      </c>
      <c r="AQ111" s="11" t="str">
        <f t="shared" ca="1" si="404"/>
        <v>Colombia</v>
      </c>
      <c r="AR111" s="22">
        <f t="shared" ca="1" si="405"/>
        <v>1.4703040000000001</v>
      </c>
      <c r="AS111" s="22">
        <f t="shared" ca="1" si="406"/>
        <v>2012</v>
      </c>
      <c r="AU111" s="1">
        <f t="shared" ca="1" si="407"/>
        <v>1</v>
      </c>
      <c r="AV111" s="22">
        <f t="shared" ca="1" si="408"/>
        <v>6</v>
      </c>
      <c r="AW111" s="11" t="str">
        <f t="shared" ca="1" si="409"/>
        <v>Colombia</v>
      </c>
      <c r="AX111" s="22">
        <f t="shared" ca="1" si="410"/>
        <v>60.125165917929998</v>
      </c>
      <c r="AY111" s="22">
        <f t="shared" ca="1" si="411"/>
        <v>2012</v>
      </c>
      <c r="BA111" s="1">
        <f t="shared" ca="1" si="412"/>
        <v>1</v>
      </c>
      <c r="BB111" s="22">
        <f t="shared" ca="1" si="413"/>
        <v>6</v>
      </c>
      <c r="BC111" s="11" t="str">
        <f t="shared" ca="1" si="414"/>
        <v>Chile</v>
      </c>
      <c r="BD111" s="22">
        <f t="shared" ca="1" si="415"/>
        <v>43837764.449000001</v>
      </c>
      <c r="BE111" s="22">
        <f t="shared" ca="1" si="416"/>
        <v>2012</v>
      </c>
      <c r="BG111" s="1">
        <f t="shared" ca="1" si="417"/>
        <v>1</v>
      </c>
      <c r="BH111" s="22">
        <f t="shared" ca="1" si="418"/>
        <v>6</v>
      </c>
      <c r="BI111" s="11" t="str">
        <f t="shared" ca="1" si="419"/>
        <v>Colombia</v>
      </c>
      <c r="BJ111" s="22">
        <f t="shared" ca="1" si="420"/>
        <v>56.092407639420003</v>
      </c>
      <c r="BK111" s="22">
        <f t="shared" ca="1" si="421"/>
        <v>2012</v>
      </c>
      <c r="BM111" s="1">
        <f t="shared" ca="1" si="422"/>
        <v>1</v>
      </c>
      <c r="BN111" s="22">
        <f t="shared" ca="1" si="423"/>
        <v>6</v>
      </c>
      <c r="BO111" s="11" t="str">
        <f t="shared" ca="1" si="424"/>
        <v>Peru</v>
      </c>
      <c r="BP111" s="22">
        <f t="shared" ca="1" si="425"/>
        <v>26737647.521000002</v>
      </c>
      <c r="BQ111" s="22">
        <f t="shared" ca="1" si="426"/>
        <v>2012</v>
      </c>
      <c r="BS111" s="1">
        <f t="shared" ca="1" si="427"/>
        <v>0</v>
      </c>
      <c r="BT111" s="22" t="str">
        <f t="shared" ca="1" si="428"/>
        <v/>
      </c>
      <c r="BU111" s="11" t="str">
        <f t="shared" ca="1" si="429"/>
        <v/>
      </c>
      <c r="BV111" s="22" t="str">
        <f t="shared" ca="1" si="430"/>
        <v/>
      </c>
      <c r="BW111" s="22" t="str">
        <f t="shared" ca="1" si="431"/>
        <v/>
      </c>
      <c r="BY111" s="1">
        <f t="shared" ca="1" si="432"/>
        <v>0</v>
      </c>
      <c r="BZ111" s="22" t="str">
        <f t="shared" ca="1" si="433"/>
        <v/>
      </c>
      <c r="CA111" s="11" t="str">
        <f t="shared" ca="1" si="434"/>
        <v/>
      </c>
      <c r="CB111" s="22" t="str">
        <f t="shared" ca="1" si="435"/>
        <v/>
      </c>
      <c r="CC111" s="22" t="str">
        <f t="shared" ca="1" si="436"/>
        <v/>
      </c>
      <c r="CE111" s="1">
        <f t="shared" ca="1" si="437"/>
        <v>0</v>
      </c>
      <c r="CF111" s="22" t="str">
        <f t="shared" ca="1" si="438"/>
        <v/>
      </c>
      <c r="CG111" s="11" t="str">
        <f t="shared" ca="1" si="439"/>
        <v/>
      </c>
      <c r="CH111" s="22" t="str">
        <f t="shared" ca="1" si="440"/>
        <v/>
      </c>
      <c r="CI111" s="22" t="str">
        <f t="shared" ca="1" si="441"/>
        <v/>
      </c>
      <c r="CK111" s="1">
        <f t="shared" ca="1" si="442"/>
        <v>0</v>
      </c>
      <c r="CL111" s="22" t="str">
        <f t="shared" ca="1" si="443"/>
        <v/>
      </c>
      <c r="CM111" s="11" t="str">
        <f t="shared" ca="1" si="444"/>
        <v/>
      </c>
      <c r="CN111" s="22" t="str">
        <f t="shared" ca="1" si="445"/>
        <v/>
      </c>
      <c r="CO111" s="22" t="str">
        <f t="shared" ca="1" si="446"/>
        <v/>
      </c>
      <c r="CP111" s="73"/>
      <c r="CQ111" s="1">
        <f t="shared" ca="1" si="447"/>
        <v>0</v>
      </c>
      <c r="CR111" s="22" t="str">
        <f t="shared" ca="1" si="448"/>
        <v/>
      </c>
      <c r="CS111" s="11" t="str">
        <f t="shared" ca="1" si="449"/>
        <v/>
      </c>
      <c r="CT111" s="22" t="str">
        <f t="shared" ca="1" si="450"/>
        <v/>
      </c>
      <c r="CU111" s="22" t="str">
        <f t="shared" ca="1" si="451"/>
        <v/>
      </c>
      <c r="CW111" s="1">
        <f t="shared" ca="1" si="452"/>
        <v>0</v>
      </c>
      <c r="CX111" s="22" t="str">
        <f t="shared" ca="1" si="453"/>
        <v/>
      </c>
      <c r="CY111" s="11" t="str">
        <f t="shared" ca="1" si="454"/>
        <v/>
      </c>
      <c r="CZ111" s="22" t="str">
        <f t="shared" ca="1" si="455"/>
        <v/>
      </c>
      <c r="DA111" s="22" t="str">
        <f t="shared" ca="1" si="456"/>
        <v/>
      </c>
      <c r="DC111" s="1">
        <f t="shared" ca="1" si="457"/>
        <v>0</v>
      </c>
      <c r="DD111" s="22" t="str">
        <f t="shared" ca="1" si="458"/>
        <v/>
      </c>
      <c r="DE111" s="11" t="str">
        <f t="shared" ca="1" si="459"/>
        <v/>
      </c>
      <c r="DF111" s="22" t="str">
        <f t="shared" ca="1" si="460"/>
        <v/>
      </c>
      <c r="DG111" s="22" t="str">
        <f t="shared" ca="1" si="461"/>
        <v/>
      </c>
      <c r="DI111" s="1">
        <f t="shared" ca="1" si="462"/>
        <v>0</v>
      </c>
      <c r="DJ111" s="22" t="str">
        <f t="shared" ca="1" si="463"/>
        <v/>
      </c>
      <c r="DK111" s="11" t="str">
        <f t="shared" ca="1" si="464"/>
        <v/>
      </c>
      <c r="DL111" s="22" t="str">
        <f t="shared" ca="1" si="465"/>
        <v/>
      </c>
      <c r="DM111" s="22" t="str">
        <f t="shared" ca="1" si="466"/>
        <v/>
      </c>
      <c r="DO111" s="1">
        <f t="shared" ca="1" si="467"/>
        <v>0</v>
      </c>
      <c r="DP111" s="22" t="str">
        <f t="shared" ca="1" si="468"/>
        <v/>
      </c>
      <c r="DQ111" s="11" t="str">
        <f t="shared" ca="1" si="469"/>
        <v/>
      </c>
      <c r="DR111" s="22" t="str">
        <f t="shared" ca="1" si="470"/>
        <v/>
      </c>
      <c r="DS111" s="22" t="str">
        <f t="shared" ca="1" si="471"/>
        <v/>
      </c>
      <c r="DU111" s="1">
        <f t="shared" ca="1" si="472"/>
        <v>0</v>
      </c>
      <c r="DV111" s="22" t="str">
        <f t="shared" ca="1" si="473"/>
        <v/>
      </c>
      <c r="DW111" s="11" t="str">
        <f t="shared" ca="1" si="474"/>
        <v/>
      </c>
      <c r="DX111" s="22" t="str">
        <f t="shared" ca="1" si="475"/>
        <v/>
      </c>
      <c r="DY111" s="22" t="str">
        <f t="shared" ca="1" si="476"/>
        <v/>
      </c>
      <c r="EA111" s="1">
        <f t="shared" ca="1" si="477"/>
        <v>0</v>
      </c>
      <c r="EB111" s="22" t="str">
        <f t="shared" ca="1" si="478"/>
        <v/>
      </c>
      <c r="EC111" s="11" t="str">
        <f t="shared" ca="1" si="479"/>
        <v/>
      </c>
      <c r="ED111" s="22" t="str">
        <f t="shared" ca="1" si="480"/>
        <v/>
      </c>
      <c r="EE111" s="22" t="str">
        <f t="shared" ca="1" si="481"/>
        <v/>
      </c>
      <c r="EG111" s="1">
        <f t="shared" ca="1" si="482"/>
        <v>0</v>
      </c>
      <c r="EH111" s="22" t="str">
        <f t="shared" ca="1" si="483"/>
        <v/>
      </c>
      <c r="EI111" s="11" t="str">
        <f t="shared" ca="1" si="484"/>
        <v/>
      </c>
      <c r="EJ111" s="22" t="str">
        <f t="shared" ca="1" si="485"/>
        <v/>
      </c>
      <c r="EK111" s="22" t="str">
        <f t="shared" ca="1" si="486"/>
        <v/>
      </c>
      <c r="EM111" s="1">
        <f t="shared" ca="1" si="487"/>
        <v>0</v>
      </c>
      <c r="EN111" s="22" t="str">
        <f t="shared" ca="1" si="488"/>
        <v/>
      </c>
      <c r="EO111" s="11" t="str">
        <f t="shared" ca="1" si="489"/>
        <v/>
      </c>
      <c r="EP111" s="22" t="str">
        <f t="shared" ca="1" si="490"/>
        <v/>
      </c>
      <c r="EQ111" s="22" t="str">
        <f t="shared" ca="1" si="491"/>
        <v/>
      </c>
      <c r="ES111" s="1">
        <f t="shared" ca="1" si="492"/>
        <v>0</v>
      </c>
      <c r="ET111" s="22" t="str">
        <f t="shared" ca="1" si="493"/>
        <v/>
      </c>
      <c r="EU111" s="11" t="str">
        <f t="shared" ca="1" si="494"/>
        <v/>
      </c>
      <c r="EV111" s="22" t="str">
        <f t="shared" ca="1" si="495"/>
        <v/>
      </c>
      <c r="EW111" s="22" t="str">
        <f t="shared" ca="1" si="496"/>
        <v/>
      </c>
      <c r="EY111" s="1">
        <f t="shared" ca="1" si="497"/>
        <v>0</v>
      </c>
      <c r="EZ111" s="22" t="str">
        <f t="shared" ca="1" si="498"/>
        <v/>
      </c>
      <c r="FA111" s="11" t="str">
        <f t="shared" ca="1" si="499"/>
        <v/>
      </c>
      <c r="FB111" s="22" t="str">
        <f t="shared" ca="1" si="500"/>
        <v/>
      </c>
      <c r="FC111" s="22" t="str">
        <f t="shared" ca="1" si="501"/>
        <v/>
      </c>
      <c r="FE111" s="1">
        <f t="shared" ca="1" si="502"/>
        <v>0</v>
      </c>
      <c r="FF111" s="22" t="str">
        <f t="shared" ca="1" si="503"/>
        <v/>
      </c>
      <c r="FG111" s="11" t="str">
        <f t="shared" ca="1" si="504"/>
        <v/>
      </c>
      <c r="FH111" s="22" t="str">
        <f t="shared" ca="1" si="505"/>
        <v/>
      </c>
      <c r="FI111" s="22" t="str">
        <f t="shared" ca="1" si="506"/>
        <v/>
      </c>
      <c r="FK111" s="1">
        <f t="shared" ca="1" si="507"/>
        <v>0</v>
      </c>
      <c r="FL111" s="22" t="str">
        <f t="shared" ca="1" si="508"/>
        <v/>
      </c>
      <c r="FM111" s="11" t="str">
        <f t="shared" ca="1" si="509"/>
        <v/>
      </c>
      <c r="FN111" s="22" t="str">
        <f t="shared" ca="1" si="510"/>
        <v/>
      </c>
      <c r="FO111" s="22" t="str">
        <f t="shared" ca="1" si="511"/>
        <v/>
      </c>
    </row>
    <row r="112" spans="1:171" x14ac:dyDescent="0.2">
      <c r="E112" s="1">
        <f t="shared" ca="1" si="372"/>
        <v>1</v>
      </c>
      <c r="F112" s="22">
        <f t="shared" ca="1" si="373"/>
        <v>7</v>
      </c>
      <c r="G112" s="11" t="str">
        <f t="shared" ca="1" si="374"/>
        <v>Argentina</v>
      </c>
      <c r="H112" s="22">
        <f t="shared" ca="1" si="375"/>
        <v>7.2048221837913999</v>
      </c>
      <c r="I112" s="22">
        <f t="shared" ca="1" si="376"/>
        <v>2012</v>
      </c>
      <c r="K112" s="1">
        <f t="shared" ca="1" si="377"/>
        <v>1</v>
      </c>
      <c r="L112" s="22">
        <f t="shared" ca="1" si="378"/>
        <v>7</v>
      </c>
      <c r="M112" s="11" t="str">
        <f t="shared" ca="1" si="379"/>
        <v>Chile</v>
      </c>
      <c r="N112" s="22">
        <f t="shared" ca="1" si="380"/>
        <v>17.402999999999999</v>
      </c>
      <c r="O112" s="22">
        <f t="shared" ca="1" si="381"/>
        <v>2012</v>
      </c>
      <c r="Q112" s="1">
        <f t="shared" ca="1" si="382"/>
        <v>1</v>
      </c>
      <c r="R112" s="22">
        <f t="shared" ca="1" si="383"/>
        <v>7</v>
      </c>
      <c r="S112" s="11" t="str">
        <f t="shared" ca="1" si="384"/>
        <v>Venezuela</v>
      </c>
      <c r="T112" s="22">
        <f t="shared" ca="1" si="385"/>
        <v>912050</v>
      </c>
      <c r="U112" s="22">
        <f t="shared" ca="1" si="386"/>
        <v>2012</v>
      </c>
      <c r="W112" s="1">
        <f t="shared" ca="1" si="387"/>
        <v>1</v>
      </c>
      <c r="X112" s="22">
        <f t="shared" ca="1" si="388"/>
        <v>7</v>
      </c>
      <c r="Y112" s="11" t="str">
        <f t="shared" ca="1" si="389"/>
        <v>Peru</v>
      </c>
      <c r="Z112" s="22">
        <f t="shared" ca="1" si="390"/>
        <v>199.00299999999999</v>
      </c>
      <c r="AA112" s="22">
        <f t="shared" ca="1" si="391"/>
        <v>2012</v>
      </c>
      <c r="AC112" s="1">
        <f t="shared" ca="1" si="392"/>
        <v>1</v>
      </c>
      <c r="AD112" s="22">
        <f t="shared" ca="1" si="393"/>
        <v>7</v>
      </c>
      <c r="AE112" s="11" t="str">
        <f t="shared" ca="1" si="394"/>
        <v>Chile</v>
      </c>
      <c r="AF112" s="22">
        <f t="shared" ca="1" si="395"/>
        <v>320.54000000000002</v>
      </c>
      <c r="AG112" s="22">
        <f t="shared" ca="1" si="396"/>
        <v>2012</v>
      </c>
      <c r="AI112" s="1">
        <f t="shared" ca="1" si="397"/>
        <v>1</v>
      </c>
      <c r="AJ112" s="22">
        <f t="shared" ca="1" si="398"/>
        <v>7</v>
      </c>
      <c r="AK112" s="11" t="str">
        <f t="shared" ca="1" si="399"/>
        <v>Ecuador</v>
      </c>
      <c r="AL112" s="22">
        <f t="shared" ca="1" si="400"/>
        <v>3.3943321000000002</v>
      </c>
      <c r="AM112" s="22">
        <f t="shared" ca="1" si="401"/>
        <v>2012</v>
      </c>
      <c r="AO112" s="1">
        <f t="shared" ca="1" si="402"/>
        <v>1</v>
      </c>
      <c r="AP112" s="22">
        <f t="shared" ca="1" si="403"/>
        <v>7</v>
      </c>
      <c r="AQ112" s="11" t="str">
        <f t="shared" ca="1" si="404"/>
        <v>Peru</v>
      </c>
      <c r="AR112" s="22">
        <f t="shared" ca="1" si="405"/>
        <v>1.1391036000000001</v>
      </c>
      <c r="AS112" s="22">
        <f t="shared" ca="1" si="406"/>
        <v>2012</v>
      </c>
      <c r="AU112" s="1">
        <f t="shared" ca="1" si="407"/>
        <v>1</v>
      </c>
      <c r="AV112" s="22">
        <f t="shared" ca="1" si="408"/>
        <v>7</v>
      </c>
      <c r="AW112" s="11" t="str">
        <f t="shared" ca="1" si="409"/>
        <v>Peru</v>
      </c>
      <c r="AX112" s="22">
        <f t="shared" ca="1" si="410"/>
        <v>45.383964800000001</v>
      </c>
      <c r="AY112" s="22">
        <f t="shared" ca="1" si="411"/>
        <v>2012</v>
      </c>
      <c r="BA112" s="1">
        <f t="shared" ca="1" si="412"/>
        <v>1</v>
      </c>
      <c r="BB112" s="22">
        <f t="shared" ca="1" si="413"/>
        <v>7</v>
      </c>
      <c r="BC112" s="11" t="str">
        <f t="shared" ca="1" si="414"/>
        <v>Peru</v>
      </c>
      <c r="BD112" s="22">
        <f t="shared" ca="1" si="415"/>
        <v>37059596.365000002</v>
      </c>
      <c r="BE112" s="22">
        <f t="shared" ca="1" si="416"/>
        <v>2012</v>
      </c>
      <c r="BG112" s="1">
        <f t="shared" ca="1" si="417"/>
        <v>1</v>
      </c>
      <c r="BH112" s="22">
        <f t="shared" ca="1" si="418"/>
        <v>7</v>
      </c>
      <c r="BI112" s="11" t="str">
        <f t="shared" ca="1" si="419"/>
        <v>Peru</v>
      </c>
      <c r="BJ112" s="22">
        <f t="shared" ca="1" si="420"/>
        <v>40.220317899999998</v>
      </c>
      <c r="BK112" s="22">
        <f t="shared" ca="1" si="421"/>
        <v>2012</v>
      </c>
      <c r="BM112" s="1">
        <f t="shared" ca="1" si="422"/>
        <v>1</v>
      </c>
      <c r="BN112" s="22">
        <f t="shared" ca="1" si="423"/>
        <v>7</v>
      </c>
      <c r="BO112" s="11" t="str">
        <f t="shared" ca="1" si="424"/>
        <v>Dominican Republic</v>
      </c>
      <c r="BP112" s="22">
        <f t="shared" ca="1" si="425"/>
        <v>16893447.26289</v>
      </c>
      <c r="BQ112" s="22">
        <f t="shared" ca="1" si="426"/>
        <v>2012</v>
      </c>
      <c r="BS112" s="1">
        <f t="shared" ca="1" si="427"/>
        <v>0</v>
      </c>
      <c r="BT112" s="22" t="str">
        <f t="shared" ca="1" si="428"/>
        <v/>
      </c>
      <c r="BU112" s="11" t="str">
        <f t="shared" ca="1" si="429"/>
        <v/>
      </c>
      <c r="BV112" s="22" t="str">
        <f t="shared" ca="1" si="430"/>
        <v/>
      </c>
      <c r="BW112" s="22" t="str">
        <f t="shared" ca="1" si="431"/>
        <v/>
      </c>
      <c r="BY112" s="1">
        <f t="shared" ca="1" si="432"/>
        <v>0</v>
      </c>
      <c r="BZ112" s="22" t="str">
        <f t="shared" ca="1" si="433"/>
        <v/>
      </c>
      <c r="CA112" s="11" t="str">
        <f t="shared" ca="1" si="434"/>
        <v/>
      </c>
      <c r="CB112" s="22" t="str">
        <f t="shared" ca="1" si="435"/>
        <v/>
      </c>
      <c r="CC112" s="22" t="str">
        <f t="shared" ca="1" si="436"/>
        <v/>
      </c>
      <c r="CE112" s="1">
        <f t="shared" ca="1" si="437"/>
        <v>0</v>
      </c>
      <c r="CF112" s="22" t="str">
        <f t="shared" ca="1" si="438"/>
        <v/>
      </c>
      <c r="CG112" s="11" t="str">
        <f t="shared" ca="1" si="439"/>
        <v/>
      </c>
      <c r="CH112" s="22" t="str">
        <f t="shared" ca="1" si="440"/>
        <v/>
      </c>
      <c r="CI112" s="22" t="str">
        <f t="shared" ca="1" si="441"/>
        <v/>
      </c>
      <c r="CK112" s="1">
        <f t="shared" ca="1" si="442"/>
        <v>0</v>
      </c>
      <c r="CL112" s="22" t="str">
        <f t="shared" ca="1" si="443"/>
        <v/>
      </c>
      <c r="CM112" s="11" t="str">
        <f t="shared" ca="1" si="444"/>
        <v/>
      </c>
      <c r="CN112" s="22" t="str">
        <f t="shared" ca="1" si="445"/>
        <v/>
      </c>
      <c r="CO112" s="22" t="str">
        <f t="shared" ca="1" si="446"/>
        <v/>
      </c>
      <c r="CP112" s="73"/>
      <c r="CQ112" s="1">
        <f t="shared" ca="1" si="447"/>
        <v>0</v>
      </c>
      <c r="CR112" s="22" t="str">
        <f t="shared" ca="1" si="448"/>
        <v/>
      </c>
      <c r="CS112" s="11" t="str">
        <f t="shared" ca="1" si="449"/>
        <v/>
      </c>
      <c r="CT112" s="22" t="str">
        <f t="shared" ca="1" si="450"/>
        <v/>
      </c>
      <c r="CU112" s="22" t="str">
        <f t="shared" ca="1" si="451"/>
        <v/>
      </c>
      <c r="CW112" s="1">
        <f t="shared" ca="1" si="452"/>
        <v>0</v>
      </c>
      <c r="CX112" s="22" t="str">
        <f t="shared" ca="1" si="453"/>
        <v/>
      </c>
      <c r="CY112" s="11" t="str">
        <f t="shared" ca="1" si="454"/>
        <v/>
      </c>
      <c r="CZ112" s="22" t="str">
        <f t="shared" ca="1" si="455"/>
        <v/>
      </c>
      <c r="DA112" s="22" t="str">
        <f t="shared" ca="1" si="456"/>
        <v/>
      </c>
      <c r="DC112" s="1">
        <f t="shared" ca="1" si="457"/>
        <v>0</v>
      </c>
      <c r="DD112" s="22" t="str">
        <f t="shared" ca="1" si="458"/>
        <v/>
      </c>
      <c r="DE112" s="11" t="str">
        <f t="shared" ca="1" si="459"/>
        <v/>
      </c>
      <c r="DF112" s="22" t="str">
        <f t="shared" ca="1" si="460"/>
        <v/>
      </c>
      <c r="DG112" s="22" t="str">
        <f t="shared" ca="1" si="461"/>
        <v/>
      </c>
      <c r="DI112" s="1">
        <f t="shared" ca="1" si="462"/>
        <v>0</v>
      </c>
      <c r="DJ112" s="22" t="str">
        <f t="shared" ca="1" si="463"/>
        <v/>
      </c>
      <c r="DK112" s="11" t="str">
        <f t="shared" ca="1" si="464"/>
        <v/>
      </c>
      <c r="DL112" s="22" t="str">
        <f t="shared" ca="1" si="465"/>
        <v/>
      </c>
      <c r="DM112" s="22" t="str">
        <f t="shared" ca="1" si="466"/>
        <v/>
      </c>
      <c r="DO112" s="1">
        <f t="shared" ca="1" si="467"/>
        <v>0</v>
      </c>
      <c r="DP112" s="22" t="str">
        <f t="shared" ca="1" si="468"/>
        <v/>
      </c>
      <c r="DQ112" s="11" t="str">
        <f t="shared" ca="1" si="469"/>
        <v/>
      </c>
      <c r="DR112" s="22" t="str">
        <f t="shared" ca="1" si="470"/>
        <v/>
      </c>
      <c r="DS112" s="22" t="str">
        <f t="shared" ca="1" si="471"/>
        <v/>
      </c>
      <c r="DU112" s="1">
        <f t="shared" ca="1" si="472"/>
        <v>0</v>
      </c>
      <c r="DV112" s="22" t="str">
        <f t="shared" ca="1" si="473"/>
        <v/>
      </c>
      <c r="DW112" s="11" t="str">
        <f t="shared" ca="1" si="474"/>
        <v/>
      </c>
      <c r="DX112" s="22" t="str">
        <f t="shared" ca="1" si="475"/>
        <v/>
      </c>
      <c r="DY112" s="22" t="str">
        <f t="shared" ca="1" si="476"/>
        <v/>
      </c>
      <c r="EA112" s="1">
        <f t="shared" ca="1" si="477"/>
        <v>0</v>
      </c>
      <c r="EB112" s="22" t="str">
        <f t="shared" ca="1" si="478"/>
        <v/>
      </c>
      <c r="EC112" s="11" t="str">
        <f t="shared" ca="1" si="479"/>
        <v/>
      </c>
      <c r="ED112" s="22" t="str">
        <f t="shared" ca="1" si="480"/>
        <v/>
      </c>
      <c r="EE112" s="22" t="str">
        <f t="shared" ca="1" si="481"/>
        <v/>
      </c>
      <c r="EG112" s="1">
        <f t="shared" ca="1" si="482"/>
        <v>0</v>
      </c>
      <c r="EH112" s="22" t="str">
        <f t="shared" ca="1" si="483"/>
        <v/>
      </c>
      <c r="EI112" s="11" t="str">
        <f t="shared" ca="1" si="484"/>
        <v/>
      </c>
      <c r="EJ112" s="22" t="str">
        <f t="shared" ca="1" si="485"/>
        <v/>
      </c>
      <c r="EK112" s="22" t="str">
        <f t="shared" ca="1" si="486"/>
        <v/>
      </c>
      <c r="EM112" s="1">
        <f t="shared" ca="1" si="487"/>
        <v>0</v>
      </c>
      <c r="EN112" s="22" t="str">
        <f t="shared" ca="1" si="488"/>
        <v/>
      </c>
      <c r="EO112" s="11" t="str">
        <f t="shared" ca="1" si="489"/>
        <v/>
      </c>
      <c r="EP112" s="22" t="str">
        <f t="shared" ca="1" si="490"/>
        <v/>
      </c>
      <c r="EQ112" s="22" t="str">
        <f t="shared" ca="1" si="491"/>
        <v/>
      </c>
      <c r="ES112" s="1">
        <f t="shared" ca="1" si="492"/>
        <v>0</v>
      </c>
      <c r="ET112" s="22" t="str">
        <f t="shared" ca="1" si="493"/>
        <v/>
      </c>
      <c r="EU112" s="11" t="str">
        <f t="shared" ca="1" si="494"/>
        <v/>
      </c>
      <c r="EV112" s="22" t="str">
        <f t="shared" ca="1" si="495"/>
        <v/>
      </c>
      <c r="EW112" s="22" t="str">
        <f t="shared" ca="1" si="496"/>
        <v/>
      </c>
      <c r="EY112" s="1">
        <f t="shared" ca="1" si="497"/>
        <v>0</v>
      </c>
      <c r="EZ112" s="22" t="str">
        <f t="shared" ca="1" si="498"/>
        <v/>
      </c>
      <c r="FA112" s="11" t="str">
        <f t="shared" ca="1" si="499"/>
        <v/>
      </c>
      <c r="FB112" s="22" t="str">
        <f t="shared" ca="1" si="500"/>
        <v/>
      </c>
      <c r="FC112" s="22" t="str">
        <f t="shared" ca="1" si="501"/>
        <v/>
      </c>
      <c r="FE112" s="1">
        <f t="shared" ca="1" si="502"/>
        <v>0</v>
      </c>
      <c r="FF112" s="22" t="str">
        <f t="shared" ca="1" si="503"/>
        <v/>
      </c>
      <c r="FG112" s="11" t="str">
        <f t="shared" ca="1" si="504"/>
        <v/>
      </c>
      <c r="FH112" s="22" t="str">
        <f t="shared" ca="1" si="505"/>
        <v/>
      </c>
      <c r="FI112" s="22" t="str">
        <f t="shared" ca="1" si="506"/>
        <v/>
      </c>
      <c r="FK112" s="1">
        <f t="shared" ca="1" si="507"/>
        <v>0</v>
      </c>
      <c r="FL112" s="22" t="str">
        <f t="shared" ca="1" si="508"/>
        <v/>
      </c>
      <c r="FM112" s="11" t="str">
        <f t="shared" ca="1" si="509"/>
        <v/>
      </c>
      <c r="FN112" s="22" t="str">
        <f t="shared" ca="1" si="510"/>
        <v/>
      </c>
      <c r="FO112" s="22" t="str">
        <f t="shared" ca="1" si="511"/>
        <v/>
      </c>
    </row>
    <row r="113" spans="5:171" x14ac:dyDescent="0.2">
      <c r="E113" s="1">
        <f t="shared" ca="1" si="372"/>
        <v>1</v>
      </c>
      <c r="F113" s="22">
        <f t="shared" ca="1" si="373"/>
        <v>8</v>
      </c>
      <c r="G113" s="11" t="str">
        <f t="shared" ca="1" si="374"/>
        <v>Peru</v>
      </c>
      <c r="H113" s="22">
        <f t="shared" ca="1" si="375"/>
        <v>6.9662940495960699</v>
      </c>
      <c r="I113" s="22">
        <f t="shared" ca="1" si="376"/>
        <v>2012</v>
      </c>
      <c r="K113" s="1">
        <f t="shared" ca="1" si="377"/>
        <v>1</v>
      </c>
      <c r="L113" s="22">
        <f t="shared" ca="1" si="378"/>
        <v>8</v>
      </c>
      <c r="M113" s="11" t="str">
        <f t="shared" ca="1" si="379"/>
        <v>Guatemala</v>
      </c>
      <c r="N113" s="22">
        <f t="shared" ca="1" si="380"/>
        <v>15.105</v>
      </c>
      <c r="O113" s="22">
        <f t="shared" ca="1" si="381"/>
        <v>2012</v>
      </c>
      <c r="Q113" s="1">
        <f t="shared" ca="1" si="382"/>
        <v>1</v>
      </c>
      <c r="R113" s="22">
        <f t="shared" ca="1" si="383"/>
        <v>8</v>
      </c>
      <c r="S113" s="11" t="str">
        <f t="shared" ca="1" si="384"/>
        <v>Chile</v>
      </c>
      <c r="T113" s="22">
        <f t="shared" ca="1" si="385"/>
        <v>756090</v>
      </c>
      <c r="U113" s="22">
        <f t="shared" ca="1" si="386"/>
        <v>2012</v>
      </c>
      <c r="W113" s="1">
        <f t="shared" ca="1" si="387"/>
        <v>1</v>
      </c>
      <c r="X113" s="22">
        <f t="shared" ca="1" si="388"/>
        <v>8</v>
      </c>
      <c r="Y113" s="11" t="str">
        <f t="shared" ca="1" si="389"/>
        <v>Ecuador</v>
      </c>
      <c r="Z113" s="22">
        <f t="shared" ca="1" si="390"/>
        <v>86.166234503098195</v>
      </c>
      <c r="AA113" s="22">
        <f t="shared" ca="1" si="391"/>
        <v>2012</v>
      </c>
      <c r="AC113" s="1">
        <f t="shared" ca="1" si="392"/>
        <v>1</v>
      </c>
      <c r="AD113" s="22">
        <f t="shared" ca="1" si="393"/>
        <v>8</v>
      </c>
      <c r="AE113" s="11" t="str">
        <f t="shared" ca="1" si="394"/>
        <v>Ecuador</v>
      </c>
      <c r="AF113" s="22">
        <f t="shared" ca="1" si="395"/>
        <v>142.04900000000001</v>
      </c>
      <c r="AG113" s="22">
        <f t="shared" ca="1" si="396"/>
        <v>2012</v>
      </c>
      <c r="AI113" s="1">
        <f t="shared" ca="1" si="397"/>
        <v>1</v>
      </c>
      <c r="AJ113" s="22">
        <f t="shared" ca="1" si="398"/>
        <v>8</v>
      </c>
      <c r="AK113" s="11" t="str">
        <f t="shared" ca="1" si="399"/>
        <v>Peru</v>
      </c>
      <c r="AL113" s="22">
        <f t="shared" ca="1" si="400"/>
        <v>2.5815804999999998</v>
      </c>
      <c r="AM113" s="22">
        <f t="shared" ca="1" si="401"/>
        <v>2012</v>
      </c>
      <c r="AO113" s="1">
        <f t="shared" ca="1" si="402"/>
        <v>1</v>
      </c>
      <c r="AP113" s="22">
        <f t="shared" ca="1" si="403"/>
        <v>8</v>
      </c>
      <c r="AQ113" s="11" t="str">
        <f t="shared" ca="1" si="404"/>
        <v>Uruguay</v>
      </c>
      <c r="AR113" s="22">
        <f t="shared" ca="1" si="405"/>
        <v>0.85620932189668597</v>
      </c>
      <c r="AS113" s="22">
        <f t="shared" ca="1" si="406"/>
        <v>2012</v>
      </c>
      <c r="AU113" s="1">
        <f t="shared" ca="1" si="407"/>
        <v>1</v>
      </c>
      <c r="AV113" s="22">
        <f t="shared" ca="1" si="408"/>
        <v>8</v>
      </c>
      <c r="AW113" s="11" t="str">
        <f t="shared" ca="1" si="409"/>
        <v>Ecuador</v>
      </c>
      <c r="AX113" s="22">
        <f t="shared" ca="1" si="410"/>
        <v>24.922507499999998</v>
      </c>
      <c r="AY113" s="22">
        <f t="shared" ca="1" si="411"/>
        <v>2012</v>
      </c>
      <c r="BA113" s="1">
        <f t="shared" ca="1" si="412"/>
        <v>1</v>
      </c>
      <c r="BB113" s="22">
        <f t="shared" ca="1" si="413"/>
        <v>8</v>
      </c>
      <c r="BC113" s="11" t="str">
        <f t="shared" ca="1" si="414"/>
        <v>Ecuador</v>
      </c>
      <c r="BD113" s="22">
        <f t="shared" ca="1" si="415"/>
        <v>27849775.333000001</v>
      </c>
      <c r="BE113" s="22">
        <f t="shared" ca="1" si="416"/>
        <v>2012</v>
      </c>
      <c r="BG113" s="1">
        <f t="shared" ca="1" si="417"/>
        <v>1</v>
      </c>
      <c r="BH113" s="22">
        <f t="shared" ca="1" si="418"/>
        <v>8</v>
      </c>
      <c r="BI113" s="11" t="str">
        <f t="shared" ca="1" si="419"/>
        <v>Ecuador</v>
      </c>
      <c r="BJ113" s="22">
        <f t="shared" ca="1" si="420"/>
        <v>24.904233000000001</v>
      </c>
      <c r="BK113" s="22">
        <f t="shared" ca="1" si="421"/>
        <v>2012</v>
      </c>
      <c r="BM113" s="1">
        <f t="shared" ca="1" si="422"/>
        <v>1</v>
      </c>
      <c r="BN113" s="22">
        <f t="shared" ca="1" si="423"/>
        <v>8</v>
      </c>
      <c r="BO113" s="11" t="str">
        <f t="shared" ca="1" si="424"/>
        <v>Ecuador</v>
      </c>
      <c r="BP113" s="22">
        <f t="shared" ca="1" si="425"/>
        <v>14253231.348999999</v>
      </c>
      <c r="BQ113" s="22">
        <f t="shared" ca="1" si="426"/>
        <v>2012</v>
      </c>
      <c r="BS113" s="1">
        <f t="shared" ca="1" si="427"/>
        <v>0</v>
      </c>
      <c r="BT113" s="22" t="str">
        <f t="shared" ca="1" si="428"/>
        <v/>
      </c>
      <c r="BU113" s="11" t="str">
        <f t="shared" ca="1" si="429"/>
        <v/>
      </c>
      <c r="BV113" s="22" t="str">
        <f t="shared" ca="1" si="430"/>
        <v/>
      </c>
      <c r="BW113" s="22" t="str">
        <f t="shared" ca="1" si="431"/>
        <v/>
      </c>
      <c r="BY113" s="1">
        <f t="shared" ca="1" si="432"/>
        <v>0</v>
      </c>
      <c r="BZ113" s="22" t="str">
        <f t="shared" ca="1" si="433"/>
        <v/>
      </c>
      <c r="CA113" s="11" t="str">
        <f t="shared" ca="1" si="434"/>
        <v/>
      </c>
      <c r="CB113" s="22" t="str">
        <f t="shared" ca="1" si="435"/>
        <v/>
      </c>
      <c r="CC113" s="22" t="str">
        <f t="shared" ca="1" si="436"/>
        <v/>
      </c>
      <c r="CE113" s="1">
        <f t="shared" ca="1" si="437"/>
        <v>0</v>
      </c>
      <c r="CF113" s="22" t="str">
        <f t="shared" ca="1" si="438"/>
        <v/>
      </c>
      <c r="CG113" s="11" t="str">
        <f t="shared" ca="1" si="439"/>
        <v/>
      </c>
      <c r="CH113" s="22" t="str">
        <f t="shared" ca="1" si="440"/>
        <v/>
      </c>
      <c r="CI113" s="22" t="str">
        <f t="shared" ca="1" si="441"/>
        <v/>
      </c>
      <c r="CK113" s="1">
        <f t="shared" ca="1" si="442"/>
        <v>0</v>
      </c>
      <c r="CL113" s="22" t="str">
        <f t="shared" ca="1" si="443"/>
        <v/>
      </c>
      <c r="CM113" s="11" t="str">
        <f t="shared" ca="1" si="444"/>
        <v/>
      </c>
      <c r="CN113" s="22" t="str">
        <f t="shared" ca="1" si="445"/>
        <v/>
      </c>
      <c r="CO113" s="22" t="str">
        <f t="shared" ca="1" si="446"/>
        <v/>
      </c>
      <c r="CP113" s="73"/>
      <c r="CQ113" s="1">
        <f t="shared" ca="1" si="447"/>
        <v>0</v>
      </c>
      <c r="CR113" s="22" t="str">
        <f t="shared" ca="1" si="448"/>
        <v/>
      </c>
      <c r="CS113" s="11" t="str">
        <f t="shared" ca="1" si="449"/>
        <v/>
      </c>
      <c r="CT113" s="22" t="str">
        <f t="shared" ca="1" si="450"/>
        <v/>
      </c>
      <c r="CU113" s="22" t="str">
        <f t="shared" ca="1" si="451"/>
        <v/>
      </c>
      <c r="CW113" s="1">
        <f t="shared" ca="1" si="452"/>
        <v>0</v>
      </c>
      <c r="CX113" s="22" t="str">
        <f t="shared" ca="1" si="453"/>
        <v/>
      </c>
      <c r="CY113" s="11" t="str">
        <f t="shared" ca="1" si="454"/>
        <v/>
      </c>
      <c r="CZ113" s="22" t="str">
        <f t="shared" ca="1" si="455"/>
        <v/>
      </c>
      <c r="DA113" s="22" t="str">
        <f t="shared" ca="1" si="456"/>
        <v/>
      </c>
      <c r="DC113" s="1">
        <f t="shared" ca="1" si="457"/>
        <v>0</v>
      </c>
      <c r="DD113" s="22" t="str">
        <f t="shared" ca="1" si="458"/>
        <v/>
      </c>
      <c r="DE113" s="11" t="str">
        <f t="shared" ca="1" si="459"/>
        <v/>
      </c>
      <c r="DF113" s="22" t="str">
        <f t="shared" ca="1" si="460"/>
        <v/>
      </c>
      <c r="DG113" s="22" t="str">
        <f t="shared" ca="1" si="461"/>
        <v/>
      </c>
      <c r="DI113" s="1">
        <f t="shared" ca="1" si="462"/>
        <v>0</v>
      </c>
      <c r="DJ113" s="22" t="str">
        <f t="shared" ca="1" si="463"/>
        <v/>
      </c>
      <c r="DK113" s="11" t="str">
        <f t="shared" ca="1" si="464"/>
        <v/>
      </c>
      <c r="DL113" s="22" t="str">
        <f t="shared" ca="1" si="465"/>
        <v/>
      </c>
      <c r="DM113" s="22" t="str">
        <f t="shared" ca="1" si="466"/>
        <v/>
      </c>
      <c r="DO113" s="1">
        <f t="shared" ca="1" si="467"/>
        <v>0</v>
      </c>
      <c r="DP113" s="22" t="str">
        <f t="shared" ca="1" si="468"/>
        <v/>
      </c>
      <c r="DQ113" s="11" t="str">
        <f t="shared" ca="1" si="469"/>
        <v/>
      </c>
      <c r="DR113" s="22" t="str">
        <f t="shared" ca="1" si="470"/>
        <v/>
      </c>
      <c r="DS113" s="22" t="str">
        <f t="shared" ca="1" si="471"/>
        <v/>
      </c>
      <c r="DU113" s="1">
        <f t="shared" ca="1" si="472"/>
        <v>0</v>
      </c>
      <c r="DV113" s="22" t="str">
        <f t="shared" ca="1" si="473"/>
        <v/>
      </c>
      <c r="DW113" s="11" t="str">
        <f t="shared" ca="1" si="474"/>
        <v/>
      </c>
      <c r="DX113" s="22" t="str">
        <f t="shared" ca="1" si="475"/>
        <v/>
      </c>
      <c r="DY113" s="22" t="str">
        <f t="shared" ca="1" si="476"/>
        <v/>
      </c>
      <c r="EA113" s="1">
        <f t="shared" ca="1" si="477"/>
        <v>0</v>
      </c>
      <c r="EB113" s="22" t="str">
        <f t="shared" ca="1" si="478"/>
        <v/>
      </c>
      <c r="EC113" s="11" t="str">
        <f t="shared" ca="1" si="479"/>
        <v/>
      </c>
      <c r="ED113" s="22" t="str">
        <f t="shared" ca="1" si="480"/>
        <v/>
      </c>
      <c r="EE113" s="22" t="str">
        <f t="shared" ca="1" si="481"/>
        <v/>
      </c>
      <c r="EG113" s="1">
        <f t="shared" ca="1" si="482"/>
        <v>0</v>
      </c>
      <c r="EH113" s="22" t="str">
        <f t="shared" ca="1" si="483"/>
        <v/>
      </c>
      <c r="EI113" s="11" t="str">
        <f t="shared" ca="1" si="484"/>
        <v/>
      </c>
      <c r="EJ113" s="22" t="str">
        <f t="shared" ca="1" si="485"/>
        <v/>
      </c>
      <c r="EK113" s="22" t="str">
        <f t="shared" ca="1" si="486"/>
        <v/>
      </c>
      <c r="EM113" s="1">
        <f t="shared" ca="1" si="487"/>
        <v>0</v>
      </c>
      <c r="EN113" s="22" t="str">
        <f t="shared" ca="1" si="488"/>
        <v/>
      </c>
      <c r="EO113" s="11" t="str">
        <f t="shared" ca="1" si="489"/>
        <v/>
      </c>
      <c r="EP113" s="22" t="str">
        <f t="shared" ca="1" si="490"/>
        <v/>
      </c>
      <c r="EQ113" s="22" t="str">
        <f t="shared" ca="1" si="491"/>
        <v/>
      </c>
      <c r="ES113" s="1">
        <f t="shared" ca="1" si="492"/>
        <v>0</v>
      </c>
      <c r="ET113" s="22" t="str">
        <f t="shared" ca="1" si="493"/>
        <v/>
      </c>
      <c r="EU113" s="11" t="str">
        <f t="shared" ca="1" si="494"/>
        <v/>
      </c>
      <c r="EV113" s="22" t="str">
        <f t="shared" ca="1" si="495"/>
        <v/>
      </c>
      <c r="EW113" s="22" t="str">
        <f t="shared" ca="1" si="496"/>
        <v/>
      </c>
      <c r="EY113" s="1">
        <f t="shared" ca="1" si="497"/>
        <v>0</v>
      </c>
      <c r="EZ113" s="22" t="str">
        <f t="shared" ca="1" si="498"/>
        <v/>
      </c>
      <c r="FA113" s="11" t="str">
        <f t="shared" ca="1" si="499"/>
        <v/>
      </c>
      <c r="FB113" s="22" t="str">
        <f t="shared" ca="1" si="500"/>
        <v/>
      </c>
      <c r="FC113" s="22" t="str">
        <f t="shared" ca="1" si="501"/>
        <v/>
      </c>
      <c r="FE113" s="1">
        <f t="shared" ca="1" si="502"/>
        <v>0</v>
      </c>
      <c r="FF113" s="22" t="str">
        <f t="shared" ca="1" si="503"/>
        <v/>
      </c>
      <c r="FG113" s="11" t="str">
        <f t="shared" ca="1" si="504"/>
        <v/>
      </c>
      <c r="FH113" s="22" t="str">
        <f t="shared" ca="1" si="505"/>
        <v/>
      </c>
      <c r="FI113" s="22" t="str">
        <f t="shared" ca="1" si="506"/>
        <v/>
      </c>
      <c r="FK113" s="1">
        <f t="shared" ca="1" si="507"/>
        <v>0</v>
      </c>
      <c r="FL113" s="22" t="str">
        <f t="shared" ca="1" si="508"/>
        <v/>
      </c>
      <c r="FM113" s="11" t="str">
        <f t="shared" ca="1" si="509"/>
        <v/>
      </c>
      <c r="FN113" s="22" t="str">
        <f t="shared" ca="1" si="510"/>
        <v/>
      </c>
      <c r="FO113" s="22" t="str">
        <f t="shared" ca="1" si="511"/>
        <v/>
      </c>
    </row>
    <row r="114" spans="5:171" x14ac:dyDescent="0.2">
      <c r="E114" s="1">
        <f t="shared" ca="1" si="372"/>
        <v>1</v>
      </c>
      <c r="F114" s="22">
        <f t="shared" ca="1" si="373"/>
        <v>9</v>
      </c>
      <c r="G114" s="11" t="str">
        <f t="shared" ca="1" si="374"/>
        <v>Bolivia</v>
      </c>
      <c r="H114" s="22">
        <f t="shared" ca="1" si="375"/>
        <v>6.9456878227985897</v>
      </c>
      <c r="I114" s="22">
        <f t="shared" ca="1" si="376"/>
        <v>2012</v>
      </c>
      <c r="K114" s="1">
        <f t="shared" ca="1" si="377"/>
        <v>1</v>
      </c>
      <c r="L114" s="22">
        <f t="shared" ca="1" si="378"/>
        <v>9</v>
      </c>
      <c r="M114" s="11" t="str">
        <f t="shared" ca="1" si="379"/>
        <v>Ecuador</v>
      </c>
      <c r="N114" s="22">
        <f t="shared" ca="1" si="380"/>
        <v>14.867371</v>
      </c>
      <c r="O114" s="22">
        <f t="shared" ca="1" si="381"/>
        <v>2012</v>
      </c>
      <c r="Q114" s="1">
        <f t="shared" ca="1" si="382"/>
        <v>1</v>
      </c>
      <c r="R114" s="22">
        <f t="shared" ca="1" si="383"/>
        <v>9</v>
      </c>
      <c r="S114" s="11" t="str">
        <f t="shared" ca="1" si="384"/>
        <v>Paraguay</v>
      </c>
      <c r="T114" s="22">
        <f t="shared" ca="1" si="385"/>
        <v>406750</v>
      </c>
      <c r="U114" s="22">
        <f t="shared" ca="1" si="386"/>
        <v>2012</v>
      </c>
      <c r="W114" s="1">
        <f t="shared" ca="1" si="387"/>
        <v>1</v>
      </c>
      <c r="X114" s="22">
        <f t="shared" ca="1" si="388"/>
        <v>9</v>
      </c>
      <c r="Y114" s="11" t="str">
        <f t="shared" ca="1" si="389"/>
        <v>Dominican Republic</v>
      </c>
      <c r="Z114" s="22">
        <f t="shared" ca="1" si="390"/>
        <v>58.996000000000002</v>
      </c>
      <c r="AA114" s="22">
        <f t="shared" ca="1" si="391"/>
        <v>2012</v>
      </c>
      <c r="AC114" s="1">
        <f t="shared" ca="1" si="392"/>
        <v>1</v>
      </c>
      <c r="AD114" s="22">
        <f t="shared" ca="1" si="393"/>
        <v>9</v>
      </c>
      <c r="AE114" s="11" t="str">
        <f t="shared" ca="1" si="394"/>
        <v>Dominican Republic</v>
      </c>
      <c r="AF114" s="22">
        <f t="shared" ca="1" si="395"/>
        <v>98.747</v>
      </c>
      <c r="AG114" s="22">
        <f t="shared" ca="1" si="396"/>
        <v>2012</v>
      </c>
      <c r="AI114" s="1">
        <f t="shared" ca="1" si="397"/>
        <v>1</v>
      </c>
      <c r="AJ114" s="22">
        <f t="shared" ca="1" si="398"/>
        <v>9</v>
      </c>
      <c r="AK114" s="11" t="str">
        <f t="shared" ca="1" si="399"/>
        <v>Panamá</v>
      </c>
      <c r="AL114" s="22">
        <f t="shared" ca="1" si="400"/>
        <v>1.9410000000000001</v>
      </c>
      <c r="AM114" s="22">
        <f t="shared" ca="1" si="401"/>
        <v>2012</v>
      </c>
      <c r="AO114" s="1">
        <f t="shared" ca="1" si="402"/>
        <v>1</v>
      </c>
      <c r="AP114" s="22">
        <f t="shared" ca="1" si="403"/>
        <v>9</v>
      </c>
      <c r="AQ114" s="11" t="str">
        <f t="shared" ca="1" si="404"/>
        <v>México</v>
      </c>
      <c r="AR114" s="22">
        <f t="shared" ca="1" si="405"/>
        <v>0.63758579999999998</v>
      </c>
      <c r="AS114" s="22">
        <f t="shared" ca="1" si="406"/>
        <v>2012</v>
      </c>
      <c r="AU114" s="1">
        <f t="shared" ca="1" si="407"/>
        <v>1</v>
      </c>
      <c r="AV114" s="22">
        <f t="shared" ca="1" si="408"/>
        <v>9</v>
      </c>
      <c r="AW114" s="11" t="str">
        <f t="shared" ca="1" si="409"/>
        <v>Panamá</v>
      </c>
      <c r="AX114" s="22">
        <f t="shared" ca="1" si="410"/>
        <v>18.024983800000001</v>
      </c>
      <c r="AY114" s="22">
        <f t="shared" ca="1" si="411"/>
        <v>2012</v>
      </c>
      <c r="BA114" s="1">
        <f t="shared" ca="1" si="412"/>
        <v>1</v>
      </c>
      <c r="BB114" s="22">
        <f t="shared" ca="1" si="413"/>
        <v>9</v>
      </c>
      <c r="BC114" s="11" t="str">
        <f t="shared" ca="1" si="414"/>
        <v>Trinidad and Tobago</v>
      </c>
      <c r="BD114" s="22">
        <f t="shared" ca="1" si="415"/>
        <v>25518635.283</v>
      </c>
      <c r="BE114" s="22">
        <f t="shared" ca="1" si="416"/>
        <v>2012</v>
      </c>
      <c r="BG114" s="1">
        <f t="shared" ca="1" si="417"/>
        <v>1</v>
      </c>
      <c r="BH114" s="22">
        <f t="shared" ca="1" si="418"/>
        <v>9</v>
      </c>
      <c r="BI114" s="11" t="str">
        <f t="shared" ca="1" si="419"/>
        <v>Panamá</v>
      </c>
      <c r="BJ114" s="22">
        <f t="shared" ca="1" si="420"/>
        <v>24.321147100000001</v>
      </c>
      <c r="BK114" s="22">
        <f t="shared" ca="1" si="421"/>
        <v>2012</v>
      </c>
      <c r="BM114" s="1">
        <f t="shared" ca="1" si="422"/>
        <v>1</v>
      </c>
      <c r="BN114" s="22">
        <f t="shared" ca="1" si="423"/>
        <v>9</v>
      </c>
      <c r="BO114" s="11" t="str">
        <f t="shared" ca="1" si="424"/>
        <v>Costa Rica</v>
      </c>
      <c r="BP114" s="22">
        <f t="shared" ca="1" si="425"/>
        <v>13140756.194470899</v>
      </c>
      <c r="BQ114" s="22">
        <f t="shared" ca="1" si="426"/>
        <v>2012</v>
      </c>
      <c r="BS114" s="1">
        <f t="shared" ca="1" si="427"/>
        <v>0</v>
      </c>
      <c r="BT114" s="22" t="str">
        <f t="shared" ca="1" si="428"/>
        <v/>
      </c>
      <c r="BU114" s="11" t="str">
        <f t="shared" ca="1" si="429"/>
        <v/>
      </c>
      <c r="BV114" s="22" t="str">
        <f t="shared" ca="1" si="430"/>
        <v/>
      </c>
      <c r="BW114" s="22" t="str">
        <f t="shared" ca="1" si="431"/>
        <v/>
      </c>
      <c r="BY114" s="1">
        <f t="shared" ca="1" si="432"/>
        <v>0</v>
      </c>
      <c r="BZ114" s="22" t="str">
        <f t="shared" ca="1" si="433"/>
        <v/>
      </c>
      <c r="CA114" s="11" t="str">
        <f t="shared" ca="1" si="434"/>
        <v/>
      </c>
      <c r="CB114" s="22" t="str">
        <f t="shared" ca="1" si="435"/>
        <v/>
      </c>
      <c r="CC114" s="22" t="str">
        <f t="shared" ca="1" si="436"/>
        <v/>
      </c>
      <c r="CE114" s="1">
        <f t="shared" ca="1" si="437"/>
        <v>0</v>
      </c>
      <c r="CF114" s="22" t="str">
        <f t="shared" ca="1" si="438"/>
        <v/>
      </c>
      <c r="CG114" s="11" t="str">
        <f t="shared" ca="1" si="439"/>
        <v/>
      </c>
      <c r="CH114" s="22" t="str">
        <f t="shared" ca="1" si="440"/>
        <v/>
      </c>
      <c r="CI114" s="22" t="str">
        <f t="shared" ca="1" si="441"/>
        <v/>
      </c>
      <c r="CK114" s="1">
        <f t="shared" ca="1" si="442"/>
        <v>0</v>
      </c>
      <c r="CL114" s="22" t="str">
        <f t="shared" ca="1" si="443"/>
        <v/>
      </c>
      <c r="CM114" s="11" t="str">
        <f t="shared" ca="1" si="444"/>
        <v/>
      </c>
      <c r="CN114" s="22" t="str">
        <f t="shared" ca="1" si="445"/>
        <v/>
      </c>
      <c r="CO114" s="22" t="str">
        <f t="shared" ca="1" si="446"/>
        <v/>
      </c>
      <c r="CP114" s="73"/>
      <c r="CQ114" s="1">
        <f t="shared" ca="1" si="447"/>
        <v>0</v>
      </c>
      <c r="CR114" s="22" t="str">
        <f t="shared" ca="1" si="448"/>
        <v/>
      </c>
      <c r="CS114" s="11" t="str">
        <f t="shared" ca="1" si="449"/>
        <v/>
      </c>
      <c r="CT114" s="22" t="str">
        <f t="shared" ca="1" si="450"/>
        <v/>
      </c>
      <c r="CU114" s="22" t="str">
        <f t="shared" ca="1" si="451"/>
        <v/>
      </c>
      <c r="CW114" s="1">
        <f t="shared" ca="1" si="452"/>
        <v>0</v>
      </c>
      <c r="CX114" s="22" t="str">
        <f t="shared" ca="1" si="453"/>
        <v/>
      </c>
      <c r="CY114" s="11" t="str">
        <f t="shared" ca="1" si="454"/>
        <v/>
      </c>
      <c r="CZ114" s="22" t="str">
        <f t="shared" ca="1" si="455"/>
        <v/>
      </c>
      <c r="DA114" s="22" t="str">
        <f t="shared" ca="1" si="456"/>
        <v/>
      </c>
      <c r="DC114" s="1">
        <f t="shared" ca="1" si="457"/>
        <v>0</v>
      </c>
      <c r="DD114" s="22" t="str">
        <f t="shared" ca="1" si="458"/>
        <v/>
      </c>
      <c r="DE114" s="11" t="str">
        <f t="shared" ca="1" si="459"/>
        <v/>
      </c>
      <c r="DF114" s="22" t="str">
        <f t="shared" ca="1" si="460"/>
        <v/>
      </c>
      <c r="DG114" s="22" t="str">
        <f t="shared" ca="1" si="461"/>
        <v/>
      </c>
      <c r="DI114" s="1">
        <f t="shared" ca="1" si="462"/>
        <v>0</v>
      </c>
      <c r="DJ114" s="22" t="str">
        <f t="shared" ca="1" si="463"/>
        <v/>
      </c>
      <c r="DK114" s="11" t="str">
        <f t="shared" ca="1" si="464"/>
        <v/>
      </c>
      <c r="DL114" s="22" t="str">
        <f t="shared" ca="1" si="465"/>
        <v/>
      </c>
      <c r="DM114" s="22" t="str">
        <f t="shared" ca="1" si="466"/>
        <v/>
      </c>
      <c r="DO114" s="1">
        <f t="shared" ca="1" si="467"/>
        <v>0</v>
      </c>
      <c r="DP114" s="22" t="str">
        <f t="shared" ca="1" si="468"/>
        <v/>
      </c>
      <c r="DQ114" s="11" t="str">
        <f t="shared" ca="1" si="469"/>
        <v/>
      </c>
      <c r="DR114" s="22" t="str">
        <f t="shared" ca="1" si="470"/>
        <v/>
      </c>
      <c r="DS114" s="22" t="str">
        <f t="shared" ca="1" si="471"/>
        <v/>
      </c>
      <c r="DU114" s="1">
        <f t="shared" ca="1" si="472"/>
        <v>0</v>
      </c>
      <c r="DV114" s="22" t="str">
        <f t="shared" ca="1" si="473"/>
        <v/>
      </c>
      <c r="DW114" s="11" t="str">
        <f t="shared" ca="1" si="474"/>
        <v/>
      </c>
      <c r="DX114" s="22" t="str">
        <f t="shared" ca="1" si="475"/>
        <v/>
      </c>
      <c r="DY114" s="22" t="str">
        <f t="shared" ca="1" si="476"/>
        <v/>
      </c>
      <c r="EA114" s="1">
        <f t="shared" ca="1" si="477"/>
        <v>0</v>
      </c>
      <c r="EB114" s="22" t="str">
        <f t="shared" ca="1" si="478"/>
        <v/>
      </c>
      <c r="EC114" s="11" t="str">
        <f t="shared" ca="1" si="479"/>
        <v/>
      </c>
      <c r="ED114" s="22" t="str">
        <f t="shared" ca="1" si="480"/>
        <v/>
      </c>
      <c r="EE114" s="22" t="str">
        <f t="shared" ca="1" si="481"/>
        <v/>
      </c>
      <c r="EG114" s="1">
        <f t="shared" ca="1" si="482"/>
        <v>0</v>
      </c>
      <c r="EH114" s="22" t="str">
        <f t="shared" ca="1" si="483"/>
        <v/>
      </c>
      <c r="EI114" s="11" t="str">
        <f t="shared" ca="1" si="484"/>
        <v/>
      </c>
      <c r="EJ114" s="22" t="str">
        <f t="shared" ca="1" si="485"/>
        <v/>
      </c>
      <c r="EK114" s="22" t="str">
        <f t="shared" ca="1" si="486"/>
        <v/>
      </c>
      <c r="EM114" s="1">
        <f t="shared" ca="1" si="487"/>
        <v>0</v>
      </c>
      <c r="EN114" s="22" t="str">
        <f t="shared" ca="1" si="488"/>
        <v/>
      </c>
      <c r="EO114" s="11" t="str">
        <f t="shared" ca="1" si="489"/>
        <v/>
      </c>
      <c r="EP114" s="22" t="str">
        <f t="shared" ca="1" si="490"/>
        <v/>
      </c>
      <c r="EQ114" s="22" t="str">
        <f t="shared" ca="1" si="491"/>
        <v/>
      </c>
      <c r="ES114" s="1">
        <f t="shared" ca="1" si="492"/>
        <v>0</v>
      </c>
      <c r="ET114" s="22" t="str">
        <f t="shared" ca="1" si="493"/>
        <v/>
      </c>
      <c r="EU114" s="11" t="str">
        <f t="shared" ca="1" si="494"/>
        <v/>
      </c>
      <c r="EV114" s="22" t="str">
        <f t="shared" ca="1" si="495"/>
        <v/>
      </c>
      <c r="EW114" s="22" t="str">
        <f t="shared" ca="1" si="496"/>
        <v/>
      </c>
      <c r="EY114" s="1">
        <f t="shared" ca="1" si="497"/>
        <v>0</v>
      </c>
      <c r="EZ114" s="22" t="str">
        <f t="shared" ca="1" si="498"/>
        <v/>
      </c>
      <c r="FA114" s="11" t="str">
        <f t="shared" ca="1" si="499"/>
        <v/>
      </c>
      <c r="FB114" s="22" t="str">
        <f t="shared" ca="1" si="500"/>
        <v/>
      </c>
      <c r="FC114" s="22" t="str">
        <f t="shared" ca="1" si="501"/>
        <v/>
      </c>
      <c r="FE114" s="1">
        <f t="shared" ca="1" si="502"/>
        <v>0</v>
      </c>
      <c r="FF114" s="22" t="str">
        <f t="shared" ca="1" si="503"/>
        <v/>
      </c>
      <c r="FG114" s="11" t="str">
        <f t="shared" ca="1" si="504"/>
        <v/>
      </c>
      <c r="FH114" s="22" t="str">
        <f t="shared" ca="1" si="505"/>
        <v/>
      </c>
      <c r="FI114" s="22" t="str">
        <f t="shared" ca="1" si="506"/>
        <v/>
      </c>
      <c r="FK114" s="1">
        <f t="shared" ca="1" si="507"/>
        <v>0</v>
      </c>
      <c r="FL114" s="22" t="str">
        <f t="shared" ca="1" si="508"/>
        <v/>
      </c>
      <c r="FM114" s="11" t="str">
        <f t="shared" ca="1" si="509"/>
        <v/>
      </c>
      <c r="FN114" s="22" t="str">
        <f t="shared" ca="1" si="510"/>
        <v/>
      </c>
      <c r="FO114" s="22" t="str">
        <f t="shared" ca="1" si="511"/>
        <v/>
      </c>
    </row>
    <row r="115" spans="5:171" x14ac:dyDescent="0.2">
      <c r="E115" s="1">
        <f t="shared" ref="E115:E131" ca="1" si="512">IF(E$100=0,0,OFFSET($M46,0,(E$99-1)*$B$98))</f>
        <v>1</v>
      </c>
      <c r="F115" s="22">
        <f t="shared" ref="F115:F131" ca="1" si="513">IF(E$100=0,"",OFFSET($M46,0,F$101+(E$99-1)*$B$98))</f>
        <v>10</v>
      </c>
      <c r="G115" s="11" t="str">
        <f t="shared" ref="G115:G131" ca="1" si="514">IF(E$100=0,"",OFFSET($M46,0,G$101+(E$99-1)*$B$98))</f>
        <v>Costa Rica</v>
      </c>
      <c r="H115" s="22">
        <f t="shared" ref="H115:H131" ca="1" si="515">IF(E$100=0,"",OFFSET($M46,0,H$101+(E$99-1)*$B$98))</f>
        <v>6.8641640540997191</v>
      </c>
      <c r="I115" s="22">
        <f t="shared" ref="I115:I131" ca="1" si="516">IF(E$100=0,"",OFFSET($M46,0,I$101+(E$99-1)*$B$98))</f>
        <v>2012</v>
      </c>
      <c r="K115" s="1">
        <f t="shared" ref="K115:K131" ca="1" si="517">IF(K$100=0,0,OFFSET($M46,0,(K$99-1)*$B$98))</f>
        <v>1</v>
      </c>
      <c r="L115" s="22">
        <f t="shared" ref="L115:L131" ca="1" si="518">IF(K$100=0,"",OFFSET($M46,0,L$101+(K$99-1)*$B$98))</f>
        <v>10</v>
      </c>
      <c r="M115" s="11" t="str">
        <f t="shared" ref="M115:M131" ca="1" si="519">IF(K$100=0,"",OFFSET($M46,0,M$101+(K$99-1)*$B$98))</f>
        <v>Haiti</v>
      </c>
      <c r="N115" s="22">
        <f t="shared" ref="N115:N131" ca="1" si="520">IF(K$100=0,"",OFFSET($M46,0,N$101+(K$99-1)*$B$98))</f>
        <v>10.254327</v>
      </c>
      <c r="O115" s="22">
        <f t="shared" ref="O115:O131" ca="1" si="521">IF(K$100=0,"",OFFSET($M46,0,O$101+(K$99-1)*$B$98))</f>
        <v>2012</v>
      </c>
      <c r="Q115" s="1">
        <f t="shared" ref="Q115:Q131" ca="1" si="522">IF(Q$100=0,0,OFFSET($M46,0,(Q$99-1)*$B$98))</f>
        <v>1</v>
      </c>
      <c r="R115" s="22">
        <f t="shared" ref="R115:R131" ca="1" si="523">IF(Q$100=0,"",OFFSET($M46,0,R$101+(Q$99-1)*$B$98))</f>
        <v>10</v>
      </c>
      <c r="S115" s="11" t="str">
        <f t="shared" ref="S115:S131" ca="1" si="524">IF(Q$100=0,"",OFFSET($M46,0,S$101+(Q$99-1)*$B$98))</f>
        <v>Ecuador</v>
      </c>
      <c r="T115" s="22">
        <f t="shared" ref="T115:T131" ca="1" si="525">IF(Q$100=0,"",OFFSET($M46,0,T$101+(Q$99-1)*$B$98))</f>
        <v>256370</v>
      </c>
      <c r="U115" s="22">
        <f t="shared" ref="U115:U131" ca="1" si="526">IF(Q$100=0,"",OFFSET($M46,0,U$101+(Q$99-1)*$B$98))</f>
        <v>2012</v>
      </c>
      <c r="W115" s="1">
        <f t="shared" ref="W115:W131" ca="1" si="527">IF(W$100=0,0,OFFSET($M46,0,(W$99-1)*$B$98))</f>
        <v>1</v>
      </c>
      <c r="X115" s="22">
        <f t="shared" ref="X115:X131" ca="1" si="528">IF(W$100=0,"",OFFSET($M46,0,X$101+(W$99-1)*$B$98))</f>
        <v>10</v>
      </c>
      <c r="Y115" s="11" t="str">
        <f t="shared" ref="Y115:Y131" ca="1" si="529">IF(W$100=0,"",OFFSET($M46,0,Y$101+(W$99-1)*$B$98))</f>
        <v>Guatemala</v>
      </c>
      <c r="Z115" s="22">
        <f t="shared" ref="Z115:Z131" ca="1" si="530">IF(W$100=0,"",OFFSET($M46,0,Z$101+(W$99-1)*$B$98))</f>
        <v>49.88</v>
      </c>
      <c r="AA115" s="22">
        <f t="shared" ref="AA115:AA131" ca="1" si="531">IF(W$100=0,"",OFFSET($M46,0,AA$101+(W$99-1)*$B$98))</f>
        <v>2012</v>
      </c>
      <c r="AC115" s="1">
        <f t="shared" ref="AC115:AC131" ca="1" si="532">IF(AC$100=0,0,OFFSET($M46,0,(AC$99-1)*$B$98))</f>
        <v>1</v>
      </c>
      <c r="AD115" s="22">
        <f t="shared" ref="AD115:AD131" ca="1" si="533">IF(AC$100=0,"",OFFSET($M46,0,AD$101+(AC$99-1)*$B$98))</f>
        <v>10</v>
      </c>
      <c r="AE115" s="11" t="str">
        <f t="shared" ref="AE115:AE131" ca="1" si="534">IF(AC$100=0,"",OFFSET($M46,0,AE$101+(AC$99-1)*$B$98))</f>
        <v>Guatemala</v>
      </c>
      <c r="AF115" s="22">
        <f t="shared" ref="AF115:AF131" ca="1" si="535">IF(AC$100=0,"",OFFSET($M46,0,AF$101+(AC$99-1)*$B$98))</f>
        <v>78.680999999999997</v>
      </c>
      <c r="AG115" s="22">
        <f t="shared" ref="AG115:AG131" ca="1" si="536">IF(AC$100=0,"",OFFSET($M46,0,AG$101+(AC$99-1)*$B$98))</f>
        <v>2012</v>
      </c>
      <c r="AI115" s="1">
        <f t="shared" ref="AI115:AI131" ca="1" si="537">IF(AI$100=0,0,OFFSET($M46,0,(AI$99-1)*$B$98))</f>
        <v>1</v>
      </c>
      <c r="AJ115" s="22">
        <f t="shared" ref="AJ115:AJ131" ca="1" si="538">IF(AI$100=0,"",OFFSET($M46,0,AJ$101+(AI$99-1)*$B$98))</f>
        <v>10</v>
      </c>
      <c r="AK115" s="11" t="str">
        <f t="shared" ref="AK115:AK131" ca="1" si="539">IF(AI$100=0,"",OFFSET($M46,0,AK$101+(AI$99-1)*$B$98))</f>
        <v>Guatemala</v>
      </c>
      <c r="AL115" s="22">
        <f t="shared" ref="AL115:AL131" ca="1" si="540">IF(AI$100=0,"",OFFSET($M46,0,AL$101+(AI$99-1)*$B$98))</f>
        <v>1.28566</v>
      </c>
      <c r="AM115" s="22">
        <f t="shared" ref="AM115:AM131" ca="1" si="541">IF(AI$100=0,"",OFFSET($M46,0,AM$101+(AI$99-1)*$B$98))</f>
        <v>2012</v>
      </c>
      <c r="AO115" s="1">
        <f t="shared" ref="AO115:AO131" ca="1" si="542">IF(AO$100=0,0,OFFSET($M46,0,(AO$99-1)*$B$98))</f>
        <v>1</v>
      </c>
      <c r="AP115" s="22">
        <f t="shared" ref="AP115:AP131" ca="1" si="543">IF(AO$100=0,"",OFFSET($M46,0,AP$101+(AO$99-1)*$B$98))</f>
        <v>10</v>
      </c>
      <c r="AQ115" s="11" t="str">
        <f t="shared" ref="AQ115:AQ131" ca="1" si="544">IF(AO$100=0,"",OFFSET($M46,0,AQ$101+(AO$99-1)*$B$98))</f>
        <v>Costa Rica</v>
      </c>
      <c r="AR115" s="22">
        <f t="shared" ref="AR115:AR131" ca="1" si="545">IF(AO$100=0,"",OFFSET($M46,0,AR$101+(AO$99-1)*$B$98))</f>
        <v>0.452263928883467</v>
      </c>
      <c r="AS115" s="22">
        <f t="shared" ref="AS115:AS131" ca="1" si="546">IF(AO$100=0,"",OFFSET($M46,0,AS$101+(AO$99-1)*$B$98))</f>
        <v>2012</v>
      </c>
      <c r="AU115" s="1">
        <f t="shared" ref="AU115:AU131" ca="1" si="547">IF(AU$100=0,0,OFFSET($M46,0,(AU$99-1)*$B$98))</f>
        <v>1</v>
      </c>
      <c r="AV115" s="22">
        <f t="shared" ref="AV115:AV131" ca="1" si="548">IF(AU$100=0,"",OFFSET($M46,0,AV$101+(AU$99-1)*$B$98))</f>
        <v>10</v>
      </c>
      <c r="AW115" s="11" t="str">
        <f t="shared" ref="AW115:AW131" ca="1" si="549">IF(AU$100=0,"",OFFSET($M46,0,AW$101+(AU$99-1)*$B$98))</f>
        <v>Trinidad and Tobago</v>
      </c>
      <c r="AX115" s="22">
        <f t="shared" ref="AX115:AX131" ca="1" si="550">IF(AU$100=0,"",OFFSET($M46,0,AX$101+(AU$99-1)*$B$98))</f>
        <v>14.235201399999999</v>
      </c>
      <c r="AY115" s="22">
        <f t="shared" ref="AY115:AY131" ca="1" si="551">IF(AU$100=0,"",OFFSET($M46,0,AY$101+(AU$99-1)*$B$98))</f>
        <v>2012</v>
      </c>
      <c r="BA115" s="1">
        <f t="shared" ref="BA115:BA131" ca="1" si="552">IF(BA$100=0,0,OFFSET($M46,0,(BA$99-1)*$B$98))</f>
        <v>1</v>
      </c>
      <c r="BB115" s="22">
        <f t="shared" ref="BB115:BB131" ca="1" si="553">IF(BA$100=0,"",OFFSET($M46,0,BB$101+(BA$99-1)*$B$98))</f>
        <v>10</v>
      </c>
      <c r="BC115" s="11" t="str">
        <f t="shared" ref="BC115:BC131" ca="1" si="554">IF(BA$100=0,"",OFFSET($M46,0,BC$101+(BA$99-1)*$B$98))</f>
        <v>Bolivia</v>
      </c>
      <c r="BD115" s="22">
        <f t="shared" ref="BD115:BD131" ca="1" si="555">IF(BA$100=0,"",OFFSET($M46,0,BD$101+(BA$99-1)*$B$98))</f>
        <v>15599157.466</v>
      </c>
      <c r="BE115" s="22">
        <f t="shared" ref="BE115:BE131" ca="1" si="556">IF(BA$100=0,"",OFFSET($M46,0,BE$101+(BA$99-1)*$B$98))</f>
        <v>2012</v>
      </c>
      <c r="BG115" s="1">
        <f t="shared" ref="BG115:BG131" ca="1" si="557">IF(BG$100=0,0,OFFSET($M46,0,(BG$99-1)*$B$98))</f>
        <v>1</v>
      </c>
      <c r="BH115" s="22">
        <f t="shared" ref="BH115:BH131" ca="1" si="558">IF(BG$100=0,"",OFFSET($M46,0,BH$101+(BG$99-1)*$B$98))</f>
        <v>10</v>
      </c>
      <c r="BI115" s="11" t="str">
        <f t="shared" ref="BI115:BI131" ca="1" si="559">IF(BG$100=0,"",OFFSET($M46,0,BI$101+(BG$99-1)*$B$98))</f>
        <v>Dominican Republic</v>
      </c>
      <c r="BJ115" s="22">
        <f t="shared" ref="BJ115:BJ131" ca="1" si="560">IF(BG$100=0,"",OFFSET($M46,0,BJ$101+(BG$99-1)*$B$98))</f>
        <v>17.811321400000001</v>
      </c>
      <c r="BK115" s="22">
        <f t="shared" ref="BK115:BK131" ca="1" si="561">IF(BG$100=0,"",OFFSET($M46,0,BK$101+(BG$99-1)*$B$98))</f>
        <v>2012</v>
      </c>
      <c r="BM115" s="1">
        <f t="shared" ref="BM115:BM131" ca="1" si="562">IF(BM$100=0,0,OFFSET($M46,0,(BM$99-1)*$B$98))</f>
        <v>1</v>
      </c>
      <c r="BN115" s="22">
        <f t="shared" ref="BN115:BN131" ca="1" si="563">IF(BM$100=0,"",OFFSET($M46,0,BN$101+(BM$99-1)*$B$98))</f>
        <v>10</v>
      </c>
      <c r="BO115" s="11" t="str">
        <f t="shared" ref="BO115:BO131" ca="1" si="564">IF(BM$100=0,"",OFFSET($M46,0,BO$101+(BM$99-1)*$B$98))</f>
        <v>Guatemala</v>
      </c>
      <c r="BP115" s="22">
        <f t="shared" ref="BP115:BP131" ca="1" si="565">IF(BM$100=0,"",OFFSET($M46,0,BP$101+(BM$99-1)*$B$98))</f>
        <v>12275771.696</v>
      </c>
      <c r="BQ115" s="22">
        <f t="shared" ref="BQ115:BQ131" ca="1" si="566">IF(BM$100=0,"",OFFSET($M46,0,BQ$101+(BM$99-1)*$B$98))</f>
        <v>2012</v>
      </c>
      <c r="BS115" s="1">
        <f t="shared" ref="BS115:BS131" ca="1" si="567">IF(BS$100=0,0,OFFSET($M46,0,(BS$99-1)*$B$98))</f>
        <v>0</v>
      </c>
      <c r="BT115" s="22" t="str">
        <f t="shared" ref="BT115:BT131" ca="1" si="568">IF(BS$100=0,"",OFFSET($M46,0,BT$101+(BS$99-1)*$B$98))</f>
        <v/>
      </c>
      <c r="BU115" s="11" t="str">
        <f t="shared" ref="BU115:BU131" ca="1" si="569">IF(BS$100=0,"",OFFSET($M46,0,BU$101+(BS$99-1)*$B$98))</f>
        <v/>
      </c>
      <c r="BV115" s="22" t="str">
        <f t="shared" ref="BV115:BV131" ca="1" si="570">IF(BS$100=0,"",OFFSET($M46,0,BV$101+(BS$99-1)*$B$98))</f>
        <v/>
      </c>
      <c r="BW115" s="22" t="str">
        <f t="shared" ref="BW115:BW131" ca="1" si="571">IF(BS$100=0,"",OFFSET($M46,0,BW$101+(BS$99-1)*$B$98))</f>
        <v/>
      </c>
      <c r="BY115" s="1">
        <f t="shared" ref="BY115:BY131" ca="1" si="572">IF(BY$100=0,0,OFFSET($M46,0,(BY$99-1)*$B$98))</f>
        <v>0</v>
      </c>
      <c r="BZ115" s="22" t="str">
        <f t="shared" ref="BZ115:BZ131" ca="1" si="573">IF(BY$100=0,"",OFFSET($M46,0,BZ$101+(BY$99-1)*$B$98))</f>
        <v/>
      </c>
      <c r="CA115" s="11" t="str">
        <f t="shared" ref="CA115:CA131" ca="1" si="574">IF(BY$100=0,"",OFFSET($M46,0,CA$101+(BY$99-1)*$B$98))</f>
        <v/>
      </c>
      <c r="CB115" s="22" t="str">
        <f t="shared" ref="CB115:CB131" ca="1" si="575">IF(BY$100=0,"",OFFSET($M46,0,CB$101+(BY$99-1)*$B$98))</f>
        <v/>
      </c>
      <c r="CC115" s="22" t="str">
        <f t="shared" ref="CC115:CC131" ca="1" si="576">IF(BY$100=0,"",OFFSET($M46,0,CC$101+(BY$99-1)*$B$98))</f>
        <v/>
      </c>
      <c r="CE115" s="1">
        <f t="shared" ref="CE115:CE131" ca="1" si="577">IF(CE$100=0,0,OFFSET($M46,0,(CE$99-1)*$B$98))</f>
        <v>0</v>
      </c>
      <c r="CF115" s="22" t="str">
        <f t="shared" ref="CF115:CF131" ca="1" si="578">IF(CE$100=0,"",OFFSET($M46,0,CF$101+(CE$99-1)*$B$98))</f>
        <v/>
      </c>
      <c r="CG115" s="11" t="str">
        <f t="shared" ref="CG115:CG131" ca="1" si="579">IF(CE$100=0,"",OFFSET($M46,0,CG$101+(CE$99-1)*$B$98))</f>
        <v/>
      </c>
      <c r="CH115" s="22" t="str">
        <f t="shared" ref="CH115:CH131" ca="1" si="580">IF(CE$100=0,"",OFFSET($M46,0,CH$101+(CE$99-1)*$B$98))</f>
        <v/>
      </c>
      <c r="CI115" s="22" t="str">
        <f t="shared" ref="CI115:CI131" ca="1" si="581">IF(CE$100=0,"",OFFSET($M46,0,CI$101+(CE$99-1)*$B$98))</f>
        <v/>
      </c>
      <c r="CK115" s="1">
        <f t="shared" ref="CK115:CK131" ca="1" si="582">IF(CK$100=0,0,OFFSET($M46,0,(CK$99-1)*$B$98))</f>
        <v>0</v>
      </c>
      <c r="CL115" s="22" t="str">
        <f t="shared" ref="CL115:CL131" ca="1" si="583">IF(CK$100=0,"",OFFSET($M46,0,CL$101+(CK$99-1)*$B$98))</f>
        <v/>
      </c>
      <c r="CM115" s="11" t="str">
        <f t="shared" ref="CM115:CM131" ca="1" si="584">IF(CK$100=0,"",OFFSET($M46,0,CM$101+(CK$99-1)*$B$98))</f>
        <v/>
      </c>
      <c r="CN115" s="22" t="str">
        <f t="shared" ref="CN115:CN131" ca="1" si="585">IF(CK$100=0,"",OFFSET($M46,0,CN$101+(CK$99-1)*$B$98))</f>
        <v/>
      </c>
      <c r="CO115" s="22" t="str">
        <f t="shared" ref="CO115:CO131" ca="1" si="586">IF(CK$100=0,"",OFFSET($M46,0,CO$101+(CK$99-1)*$B$98))</f>
        <v/>
      </c>
      <c r="CP115" s="73"/>
      <c r="CQ115" s="1">
        <f t="shared" ref="CQ115:CQ131" ca="1" si="587">IF(CQ$100=0,0,OFFSET($M77,0,(CQ$99-16)*$B$98))</f>
        <v>0</v>
      </c>
      <c r="CR115" s="22" t="str">
        <f t="shared" ref="CR115:CR131" ca="1" si="588">IF(CQ$100=0,"",OFFSET($M77,0,CR$101+(CQ$99-16)*$B$98))</f>
        <v/>
      </c>
      <c r="CS115" s="11" t="str">
        <f t="shared" ref="CS115:CS131" ca="1" si="589">IF(CQ$100=0,"",OFFSET($M77,0,CS$101+(CQ$99-16)*$B$98))</f>
        <v/>
      </c>
      <c r="CT115" s="22" t="str">
        <f t="shared" ref="CT115:CT131" ca="1" si="590">IF(CQ$100=0,"",OFFSET($M77,0,CT$101+(CQ$99-16)*$B$98))</f>
        <v/>
      </c>
      <c r="CU115" s="22" t="str">
        <f t="shared" ref="CU115:CU131" ca="1" si="591">IF(CQ$100=0,"",OFFSET($M77,0,CU$101+(CQ$99-16)*$B$98))</f>
        <v/>
      </c>
      <c r="CW115" s="1">
        <f t="shared" ref="CW115:CW131" ca="1" si="592">IF(CW$100=0,0,OFFSET($M77,0,(CW$99-16)*$B$98))</f>
        <v>0</v>
      </c>
      <c r="CX115" s="22" t="str">
        <f t="shared" ref="CX115:CX131" ca="1" si="593">IF(CW$100=0,"",OFFSET($M77,0,CX$101+(CW$99-16)*$B$98))</f>
        <v/>
      </c>
      <c r="CY115" s="11" t="str">
        <f t="shared" ref="CY115:CY131" ca="1" si="594">IF(CW$100=0,"",OFFSET($M77,0,CY$101+(CW$99-16)*$B$98))</f>
        <v/>
      </c>
      <c r="CZ115" s="22" t="str">
        <f t="shared" ref="CZ115:CZ131" ca="1" si="595">IF(CW$100=0,"",OFFSET($M77,0,CZ$101+(CW$99-16)*$B$98))</f>
        <v/>
      </c>
      <c r="DA115" s="22" t="str">
        <f t="shared" ref="DA115:DA131" ca="1" si="596">IF(CW$100=0,"",OFFSET($M46,0,DA$101+(CW$99-1)*$B$98))</f>
        <v/>
      </c>
      <c r="DC115" s="1">
        <f t="shared" ref="DC115:DC131" ca="1" si="597">IF(DC$100=0,0,OFFSET($M77,0,(DC$99-16)*$B$98))</f>
        <v>0</v>
      </c>
      <c r="DD115" s="22" t="str">
        <f t="shared" ref="DD115:DD131" ca="1" si="598">IF(DC$100=0,"",OFFSET($M77,0,DD$101+(DC$99-16)*$B$98))</f>
        <v/>
      </c>
      <c r="DE115" s="11" t="str">
        <f t="shared" ref="DE115:DE131" ca="1" si="599">IF(DC$100=0,"",OFFSET($M77,0,DE$101+(DC$99-16)*$B$98))</f>
        <v/>
      </c>
      <c r="DF115" s="22" t="str">
        <f t="shared" ref="DF115:DF131" ca="1" si="600">IF(DC$100=0,"",OFFSET($M77,0,DF$101+(DC$99-16)*$B$98))</f>
        <v/>
      </c>
      <c r="DG115" s="22" t="str">
        <f t="shared" ref="DG115:DG131" ca="1" si="601">IF(DC$100=0,"",OFFSET($M46,0,DG$101+(DC$99-1)*$B$98))</f>
        <v/>
      </c>
      <c r="DI115" s="1">
        <f t="shared" ref="DI115:DI131" ca="1" si="602">IF(DI$100=0,0,OFFSET($M77,0,(DI$99-16)*$B$98))</f>
        <v>0</v>
      </c>
      <c r="DJ115" s="22" t="str">
        <f t="shared" ref="DJ115:DJ131" ca="1" si="603">IF(DI$100=0,"",OFFSET($M77,0,DJ$101+(DI$99-16)*$B$98))</f>
        <v/>
      </c>
      <c r="DK115" s="11" t="str">
        <f t="shared" ref="DK115:DK131" ca="1" si="604">IF(DI$100=0,"",OFFSET($M77,0,DK$101+(DI$99-16)*$B$98))</f>
        <v/>
      </c>
      <c r="DL115" s="22" t="str">
        <f t="shared" ref="DL115:DL131" ca="1" si="605">IF(DI$100=0,"",OFFSET($M77,0,DL$101+(DI$99-16)*$B$98))</f>
        <v/>
      </c>
      <c r="DM115" s="22" t="str">
        <f t="shared" ref="DM115:DM131" ca="1" si="606">IF(DI$100=0,"",OFFSET($M46,0,DM$101+(DI$99-1)*$B$98))</f>
        <v/>
      </c>
      <c r="DO115" s="1">
        <f t="shared" ref="DO115:DO131" ca="1" si="607">IF(DO$100=0,0,OFFSET($M77,0,(DO$99-16)*$B$98))</f>
        <v>0</v>
      </c>
      <c r="DP115" s="22" t="str">
        <f t="shared" ref="DP115:DP131" ca="1" si="608">IF(DO$100=0,"",OFFSET($M77,0,DP$101+(DO$99-16)*$B$98))</f>
        <v/>
      </c>
      <c r="DQ115" s="11" t="str">
        <f t="shared" ref="DQ115:DQ131" ca="1" si="609">IF(DO$100=0,"",OFFSET($M77,0,DQ$101+(DO$99-16)*$B$98))</f>
        <v/>
      </c>
      <c r="DR115" s="22" t="str">
        <f t="shared" ref="DR115:DR131" ca="1" si="610">IF(DO$100=0,"",OFFSET($M77,0,DR$101+(DO$99-16)*$B$98))</f>
        <v/>
      </c>
      <c r="DS115" s="22" t="str">
        <f t="shared" ref="DS115:DS131" ca="1" si="611">IF(DO$100=0,"",OFFSET($M46,0,DS$101+(DO$99-1)*$B$98))</f>
        <v/>
      </c>
      <c r="DU115" s="1">
        <f t="shared" ca="1" si="472"/>
        <v>0</v>
      </c>
      <c r="DV115" s="22" t="str">
        <f t="shared" ca="1" si="473"/>
        <v/>
      </c>
      <c r="DW115" s="11" t="str">
        <f t="shared" ca="1" si="474"/>
        <v/>
      </c>
      <c r="DX115" s="22" t="str">
        <f t="shared" ca="1" si="475"/>
        <v/>
      </c>
      <c r="DY115" s="22" t="str">
        <f t="shared" ca="1" si="476"/>
        <v/>
      </c>
      <c r="EA115" s="1">
        <f t="shared" ca="1" si="477"/>
        <v>0</v>
      </c>
      <c r="EB115" s="22" t="str">
        <f t="shared" ca="1" si="478"/>
        <v/>
      </c>
      <c r="EC115" s="11" t="str">
        <f t="shared" ca="1" si="479"/>
        <v/>
      </c>
      <c r="ED115" s="22" t="str">
        <f t="shared" ca="1" si="480"/>
        <v/>
      </c>
      <c r="EE115" s="22" t="str">
        <f t="shared" ca="1" si="481"/>
        <v/>
      </c>
      <c r="EG115" s="1">
        <f t="shared" ca="1" si="482"/>
        <v>0</v>
      </c>
      <c r="EH115" s="22" t="str">
        <f t="shared" ca="1" si="483"/>
        <v/>
      </c>
      <c r="EI115" s="11" t="str">
        <f t="shared" ca="1" si="484"/>
        <v/>
      </c>
      <c r="EJ115" s="22" t="str">
        <f t="shared" ca="1" si="485"/>
        <v/>
      </c>
      <c r="EK115" s="22" t="str">
        <f t="shared" ca="1" si="486"/>
        <v/>
      </c>
      <c r="EM115" s="1">
        <f t="shared" ca="1" si="487"/>
        <v>0</v>
      </c>
      <c r="EN115" s="22" t="str">
        <f t="shared" ca="1" si="488"/>
        <v/>
      </c>
      <c r="EO115" s="11" t="str">
        <f t="shared" ca="1" si="489"/>
        <v/>
      </c>
      <c r="EP115" s="22" t="str">
        <f t="shared" ca="1" si="490"/>
        <v/>
      </c>
      <c r="EQ115" s="22" t="str">
        <f t="shared" ca="1" si="491"/>
        <v/>
      </c>
      <c r="ES115" s="1">
        <f t="shared" ca="1" si="492"/>
        <v>0</v>
      </c>
      <c r="ET115" s="22" t="str">
        <f t="shared" ca="1" si="493"/>
        <v/>
      </c>
      <c r="EU115" s="11" t="str">
        <f t="shared" ca="1" si="494"/>
        <v/>
      </c>
      <c r="EV115" s="22" t="str">
        <f t="shared" ca="1" si="495"/>
        <v/>
      </c>
      <c r="EW115" s="22" t="str">
        <f t="shared" ca="1" si="496"/>
        <v/>
      </c>
      <c r="EY115" s="1">
        <f t="shared" ca="1" si="497"/>
        <v>0</v>
      </c>
      <c r="EZ115" s="22" t="str">
        <f t="shared" ca="1" si="498"/>
        <v/>
      </c>
      <c r="FA115" s="11" t="str">
        <f t="shared" ca="1" si="499"/>
        <v/>
      </c>
      <c r="FB115" s="22" t="str">
        <f t="shared" ca="1" si="500"/>
        <v/>
      </c>
      <c r="FC115" s="22" t="str">
        <f t="shared" ca="1" si="501"/>
        <v/>
      </c>
      <c r="FE115" s="1">
        <f t="shared" ca="1" si="502"/>
        <v>0</v>
      </c>
      <c r="FF115" s="22" t="str">
        <f t="shared" ca="1" si="503"/>
        <v/>
      </c>
      <c r="FG115" s="11" t="str">
        <f t="shared" ca="1" si="504"/>
        <v/>
      </c>
      <c r="FH115" s="22" t="str">
        <f t="shared" ca="1" si="505"/>
        <v/>
      </c>
      <c r="FI115" s="22" t="str">
        <f t="shared" ca="1" si="506"/>
        <v/>
      </c>
      <c r="FK115" s="1">
        <f t="shared" ca="1" si="507"/>
        <v>0</v>
      </c>
      <c r="FL115" s="22" t="str">
        <f t="shared" ca="1" si="508"/>
        <v/>
      </c>
      <c r="FM115" s="11" t="str">
        <f t="shared" ca="1" si="509"/>
        <v/>
      </c>
      <c r="FN115" s="22" t="str">
        <f t="shared" ca="1" si="510"/>
        <v/>
      </c>
      <c r="FO115" s="22" t="str">
        <f t="shared" ca="1" si="511"/>
        <v/>
      </c>
    </row>
    <row r="116" spans="5:171" x14ac:dyDescent="0.2">
      <c r="E116" s="1">
        <f t="shared" ca="1" si="512"/>
        <v>1</v>
      </c>
      <c r="F116" s="22">
        <f t="shared" ca="1" si="513"/>
        <v>11</v>
      </c>
      <c r="G116" s="11" t="str">
        <f t="shared" ca="1" si="514"/>
        <v>Barbados</v>
      </c>
      <c r="H116" s="22">
        <f t="shared" ca="1" si="515"/>
        <v>6.6200117764503199</v>
      </c>
      <c r="I116" s="22">
        <f t="shared" ca="1" si="516"/>
        <v>2012</v>
      </c>
      <c r="K116" s="1">
        <f t="shared" ca="1" si="517"/>
        <v>1</v>
      </c>
      <c r="L116" s="22">
        <f t="shared" ca="1" si="518"/>
        <v>11</v>
      </c>
      <c r="M116" s="11" t="str">
        <f t="shared" ca="1" si="519"/>
        <v>Dominican Republic</v>
      </c>
      <c r="N116" s="22">
        <f t="shared" ca="1" si="520"/>
        <v>10.237</v>
      </c>
      <c r="O116" s="22">
        <f t="shared" ca="1" si="521"/>
        <v>2012</v>
      </c>
      <c r="Q116" s="1">
        <f t="shared" ca="1" si="522"/>
        <v>1</v>
      </c>
      <c r="R116" s="22">
        <f t="shared" ca="1" si="523"/>
        <v>11</v>
      </c>
      <c r="S116" s="11" t="str">
        <f t="shared" ca="1" si="524"/>
        <v>Guyana</v>
      </c>
      <c r="T116" s="22">
        <f t="shared" ca="1" si="525"/>
        <v>214970</v>
      </c>
      <c r="U116" s="22">
        <f t="shared" ca="1" si="526"/>
        <v>2012</v>
      </c>
      <c r="W116" s="1">
        <f t="shared" ca="1" si="527"/>
        <v>1</v>
      </c>
      <c r="X116" s="22">
        <f t="shared" ca="1" si="528"/>
        <v>11</v>
      </c>
      <c r="Y116" s="11" t="str">
        <f t="shared" ca="1" si="529"/>
        <v>Uruguay</v>
      </c>
      <c r="Z116" s="22">
        <f t="shared" ca="1" si="530"/>
        <v>49.404000000000003</v>
      </c>
      <c r="AA116" s="22">
        <f t="shared" ca="1" si="531"/>
        <v>2012</v>
      </c>
      <c r="AC116" s="1">
        <f t="shared" ca="1" si="532"/>
        <v>1</v>
      </c>
      <c r="AD116" s="22">
        <f t="shared" ca="1" si="533"/>
        <v>11</v>
      </c>
      <c r="AE116" s="11" t="str">
        <f t="shared" ca="1" si="534"/>
        <v>Costa Rica</v>
      </c>
      <c r="AF116" s="22">
        <f t="shared" ca="1" si="535"/>
        <v>58.822000000000003</v>
      </c>
      <c r="AG116" s="22">
        <f t="shared" ca="1" si="536"/>
        <v>2012</v>
      </c>
      <c r="AI116" s="1">
        <f t="shared" ca="1" si="537"/>
        <v>1</v>
      </c>
      <c r="AJ116" s="22">
        <f t="shared" ca="1" si="538"/>
        <v>11</v>
      </c>
      <c r="AK116" s="11" t="str">
        <f t="shared" ca="1" si="539"/>
        <v>Dominican Republic</v>
      </c>
      <c r="AL116" s="22">
        <f t="shared" ca="1" si="540"/>
        <v>0.97430000000000005</v>
      </c>
      <c r="AM116" s="22">
        <f t="shared" ca="1" si="541"/>
        <v>2012</v>
      </c>
      <c r="AO116" s="1">
        <f t="shared" ca="1" si="542"/>
        <v>1</v>
      </c>
      <c r="AP116" s="22">
        <f t="shared" ca="1" si="543"/>
        <v>11</v>
      </c>
      <c r="AQ116" s="11" t="str">
        <f t="shared" ca="1" si="544"/>
        <v>El Salvador</v>
      </c>
      <c r="AR116" s="22">
        <f t="shared" ca="1" si="545"/>
        <v>0.41239999999999999</v>
      </c>
      <c r="AS116" s="22">
        <f t="shared" ca="1" si="546"/>
        <v>2012</v>
      </c>
      <c r="AU116" s="1">
        <f t="shared" ca="1" si="547"/>
        <v>1</v>
      </c>
      <c r="AV116" s="22">
        <f t="shared" ca="1" si="548"/>
        <v>11</v>
      </c>
      <c r="AW116" s="11" t="str">
        <f t="shared" ca="1" si="549"/>
        <v>Costa Rica</v>
      </c>
      <c r="AX116" s="22">
        <f t="shared" ca="1" si="550"/>
        <v>11.4573</v>
      </c>
      <c r="AY116" s="22">
        <f t="shared" ca="1" si="551"/>
        <v>2012</v>
      </c>
      <c r="BA116" s="1">
        <f t="shared" ca="1" si="552"/>
        <v>1</v>
      </c>
      <c r="BB116" s="22">
        <f t="shared" ca="1" si="553"/>
        <v>11</v>
      </c>
      <c r="BC116" s="11" t="str">
        <f t="shared" ca="1" si="554"/>
        <v>Costa Rica</v>
      </c>
      <c r="BD116" s="22">
        <f t="shared" ca="1" si="555"/>
        <v>14320485.425000001</v>
      </c>
      <c r="BE116" s="22">
        <f t="shared" ca="1" si="556"/>
        <v>2012</v>
      </c>
      <c r="BG116" s="1">
        <f t="shared" ca="1" si="557"/>
        <v>1</v>
      </c>
      <c r="BH116" s="22">
        <f t="shared" ca="1" si="558"/>
        <v>11</v>
      </c>
      <c r="BI116" s="11" t="str">
        <f t="shared" ca="1" si="559"/>
        <v>Costa Rica</v>
      </c>
      <c r="BJ116" s="22">
        <f t="shared" ca="1" si="560"/>
        <v>17.590800000000002</v>
      </c>
      <c r="BK116" s="22">
        <f t="shared" ca="1" si="561"/>
        <v>2012</v>
      </c>
      <c r="BM116" s="1">
        <f t="shared" ca="1" si="562"/>
        <v>1</v>
      </c>
      <c r="BN116" s="22">
        <f t="shared" ca="1" si="563"/>
        <v>11</v>
      </c>
      <c r="BO116" s="11" t="str">
        <f t="shared" ca="1" si="564"/>
        <v>Panamá</v>
      </c>
      <c r="BP116" s="22">
        <f t="shared" ca="1" si="565"/>
        <v>8243321.2489999998</v>
      </c>
      <c r="BQ116" s="22">
        <f t="shared" ca="1" si="566"/>
        <v>2012</v>
      </c>
      <c r="BS116" s="1">
        <f t="shared" ca="1" si="567"/>
        <v>0</v>
      </c>
      <c r="BT116" s="22" t="str">
        <f t="shared" ca="1" si="568"/>
        <v/>
      </c>
      <c r="BU116" s="11" t="str">
        <f t="shared" ca="1" si="569"/>
        <v/>
      </c>
      <c r="BV116" s="22" t="str">
        <f t="shared" ca="1" si="570"/>
        <v/>
      </c>
      <c r="BW116" s="22" t="str">
        <f t="shared" ca="1" si="571"/>
        <v/>
      </c>
      <c r="BY116" s="1">
        <f t="shared" ca="1" si="572"/>
        <v>0</v>
      </c>
      <c r="BZ116" s="22" t="str">
        <f t="shared" ca="1" si="573"/>
        <v/>
      </c>
      <c r="CA116" s="11" t="str">
        <f t="shared" ca="1" si="574"/>
        <v/>
      </c>
      <c r="CB116" s="22" t="str">
        <f t="shared" ca="1" si="575"/>
        <v/>
      </c>
      <c r="CC116" s="22" t="str">
        <f t="shared" ca="1" si="576"/>
        <v/>
      </c>
      <c r="CE116" s="1">
        <f t="shared" ca="1" si="577"/>
        <v>0</v>
      </c>
      <c r="CF116" s="22" t="str">
        <f t="shared" ca="1" si="578"/>
        <v/>
      </c>
      <c r="CG116" s="11" t="str">
        <f t="shared" ca="1" si="579"/>
        <v/>
      </c>
      <c r="CH116" s="22" t="str">
        <f t="shared" ca="1" si="580"/>
        <v/>
      </c>
      <c r="CI116" s="22" t="str">
        <f t="shared" ca="1" si="581"/>
        <v/>
      </c>
      <c r="CK116" s="1">
        <f t="shared" ca="1" si="582"/>
        <v>0</v>
      </c>
      <c r="CL116" s="22" t="str">
        <f t="shared" ca="1" si="583"/>
        <v/>
      </c>
      <c r="CM116" s="11" t="str">
        <f t="shared" ca="1" si="584"/>
        <v/>
      </c>
      <c r="CN116" s="22" t="str">
        <f t="shared" ca="1" si="585"/>
        <v/>
      </c>
      <c r="CO116" s="22" t="str">
        <f t="shared" ca="1" si="586"/>
        <v/>
      </c>
      <c r="CP116" s="73"/>
      <c r="CQ116" s="1">
        <f t="shared" ca="1" si="587"/>
        <v>0</v>
      </c>
      <c r="CR116" s="22" t="str">
        <f t="shared" ca="1" si="588"/>
        <v/>
      </c>
      <c r="CS116" s="11" t="str">
        <f t="shared" ca="1" si="589"/>
        <v/>
      </c>
      <c r="CT116" s="22" t="str">
        <f t="shared" ca="1" si="590"/>
        <v/>
      </c>
      <c r="CU116" s="22" t="str">
        <f t="shared" ca="1" si="591"/>
        <v/>
      </c>
      <c r="CW116" s="1">
        <f t="shared" ca="1" si="592"/>
        <v>0</v>
      </c>
      <c r="CX116" s="22" t="str">
        <f t="shared" ca="1" si="593"/>
        <v/>
      </c>
      <c r="CY116" s="11" t="str">
        <f t="shared" ca="1" si="594"/>
        <v/>
      </c>
      <c r="CZ116" s="22" t="str">
        <f t="shared" ca="1" si="595"/>
        <v/>
      </c>
      <c r="DA116" s="22" t="str">
        <f t="shared" ca="1" si="596"/>
        <v/>
      </c>
      <c r="DC116" s="1">
        <f t="shared" ca="1" si="597"/>
        <v>0</v>
      </c>
      <c r="DD116" s="22" t="str">
        <f t="shared" ca="1" si="598"/>
        <v/>
      </c>
      <c r="DE116" s="11" t="str">
        <f t="shared" ca="1" si="599"/>
        <v/>
      </c>
      <c r="DF116" s="22" t="str">
        <f t="shared" ca="1" si="600"/>
        <v/>
      </c>
      <c r="DG116" s="22" t="str">
        <f t="shared" ca="1" si="601"/>
        <v/>
      </c>
      <c r="DI116" s="1">
        <f t="shared" ca="1" si="602"/>
        <v>0</v>
      </c>
      <c r="DJ116" s="22" t="str">
        <f t="shared" ca="1" si="603"/>
        <v/>
      </c>
      <c r="DK116" s="11" t="str">
        <f t="shared" ca="1" si="604"/>
        <v/>
      </c>
      <c r="DL116" s="22" t="str">
        <f t="shared" ca="1" si="605"/>
        <v/>
      </c>
      <c r="DM116" s="22" t="str">
        <f t="shared" ca="1" si="606"/>
        <v/>
      </c>
      <c r="DO116" s="1">
        <f t="shared" ca="1" si="607"/>
        <v>0</v>
      </c>
      <c r="DP116" s="22" t="str">
        <f t="shared" ca="1" si="608"/>
        <v/>
      </c>
      <c r="DQ116" s="11" t="str">
        <f t="shared" ca="1" si="609"/>
        <v/>
      </c>
      <c r="DR116" s="22" t="str">
        <f t="shared" ca="1" si="610"/>
        <v/>
      </c>
      <c r="DS116" s="22" t="str">
        <f t="shared" ca="1" si="611"/>
        <v/>
      </c>
      <c r="DU116" s="1">
        <f t="shared" ca="1" si="472"/>
        <v>0</v>
      </c>
      <c r="DV116" s="22" t="str">
        <f t="shared" ca="1" si="473"/>
        <v/>
      </c>
      <c r="DW116" s="11" t="str">
        <f t="shared" ca="1" si="474"/>
        <v/>
      </c>
      <c r="DX116" s="22" t="str">
        <f t="shared" ca="1" si="475"/>
        <v/>
      </c>
      <c r="DY116" s="22" t="str">
        <f t="shared" ca="1" si="476"/>
        <v/>
      </c>
      <c r="EA116" s="1">
        <f t="shared" ca="1" si="477"/>
        <v>0</v>
      </c>
      <c r="EB116" s="22" t="str">
        <f t="shared" ca="1" si="478"/>
        <v/>
      </c>
      <c r="EC116" s="11" t="str">
        <f t="shared" ca="1" si="479"/>
        <v/>
      </c>
      <c r="ED116" s="22" t="str">
        <f t="shared" ca="1" si="480"/>
        <v/>
      </c>
      <c r="EE116" s="22" t="str">
        <f t="shared" ca="1" si="481"/>
        <v/>
      </c>
      <c r="EG116" s="1">
        <f t="shared" ca="1" si="482"/>
        <v>0</v>
      </c>
      <c r="EH116" s="22" t="str">
        <f t="shared" ca="1" si="483"/>
        <v/>
      </c>
      <c r="EI116" s="11" t="str">
        <f t="shared" ca="1" si="484"/>
        <v/>
      </c>
      <c r="EJ116" s="22" t="str">
        <f t="shared" ca="1" si="485"/>
        <v/>
      </c>
      <c r="EK116" s="22" t="str">
        <f t="shared" ca="1" si="486"/>
        <v/>
      </c>
      <c r="EM116" s="1">
        <f t="shared" ca="1" si="487"/>
        <v>0</v>
      </c>
      <c r="EN116" s="22" t="str">
        <f t="shared" ca="1" si="488"/>
        <v/>
      </c>
      <c r="EO116" s="11" t="str">
        <f t="shared" ca="1" si="489"/>
        <v/>
      </c>
      <c r="EP116" s="22" t="str">
        <f t="shared" ca="1" si="490"/>
        <v/>
      </c>
      <c r="EQ116" s="22" t="str">
        <f t="shared" ca="1" si="491"/>
        <v/>
      </c>
      <c r="ES116" s="1">
        <f t="shared" ca="1" si="492"/>
        <v>0</v>
      </c>
      <c r="ET116" s="22" t="str">
        <f t="shared" ca="1" si="493"/>
        <v/>
      </c>
      <c r="EU116" s="11" t="str">
        <f t="shared" ca="1" si="494"/>
        <v/>
      </c>
      <c r="EV116" s="22" t="str">
        <f t="shared" ca="1" si="495"/>
        <v/>
      </c>
      <c r="EW116" s="22" t="str">
        <f t="shared" ca="1" si="496"/>
        <v/>
      </c>
      <c r="EY116" s="1">
        <f t="shared" ca="1" si="497"/>
        <v>0</v>
      </c>
      <c r="EZ116" s="22" t="str">
        <f t="shared" ca="1" si="498"/>
        <v/>
      </c>
      <c r="FA116" s="11" t="str">
        <f t="shared" ca="1" si="499"/>
        <v/>
      </c>
      <c r="FB116" s="22" t="str">
        <f t="shared" ca="1" si="500"/>
        <v/>
      </c>
      <c r="FC116" s="22" t="str">
        <f t="shared" ca="1" si="501"/>
        <v/>
      </c>
      <c r="FE116" s="1">
        <f t="shared" ca="1" si="502"/>
        <v>0</v>
      </c>
      <c r="FF116" s="22" t="str">
        <f t="shared" ca="1" si="503"/>
        <v/>
      </c>
      <c r="FG116" s="11" t="str">
        <f t="shared" ca="1" si="504"/>
        <v/>
      </c>
      <c r="FH116" s="22" t="str">
        <f t="shared" ca="1" si="505"/>
        <v/>
      </c>
      <c r="FI116" s="22" t="str">
        <f t="shared" ca="1" si="506"/>
        <v/>
      </c>
      <c r="FK116" s="1">
        <f t="shared" ca="1" si="507"/>
        <v>0</v>
      </c>
      <c r="FL116" s="22" t="str">
        <f t="shared" ca="1" si="508"/>
        <v/>
      </c>
      <c r="FM116" s="11" t="str">
        <f t="shared" ca="1" si="509"/>
        <v/>
      </c>
      <c r="FN116" s="22" t="str">
        <f t="shared" ca="1" si="510"/>
        <v/>
      </c>
      <c r="FO116" s="22" t="str">
        <f t="shared" ca="1" si="511"/>
        <v/>
      </c>
    </row>
    <row r="117" spans="5:171" x14ac:dyDescent="0.2">
      <c r="E117" s="1">
        <f t="shared" ca="1" si="512"/>
        <v>1</v>
      </c>
      <c r="F117" s="22">
        <f t="shared" ca="1" si="513"/>
        <v>12</v>
      </c>
      <c r="G117" s="11" t="str">
        <f t="shared" ca="1" si="514"/>
        <v>Guyana</v>
      </c>
      <c r="H117" s="22">
        <f t="shared" ca="1" si="515"/>
        <v>6.2970213381781504</v>
      </c>
      <c r="I117" s="22">
        <f t="shared" ca="1" si="516"/>
        <v>2012</v>
      </c>
      <c r="K117" s="1">
        <f t="shared" ca="1" si="517"/>
        <v>1</v>
      </c>
      <c r="L117" s="22">
        <f t="shared" ca="1" si="518"/>
        <v>12</v>
      </c>
      <c r="M117" s="11" t="str">
        <f t="shared" ca="1" si="519"/>
        <v>Bolivia</v>
      </c>
      <c r="N117" s="22">
        <f t="shared" ca="1" si="520"/>
        <v>10.029999999999999</v>
      </c>
      <c r="O117" s="22">
        <f t="shared" ca="1" si="521"/>
        <v>2012</v>
      </c>
      <c r="Q117" s="1">
        <f t="shared" ca="1" si="522"/>
        <v>1</v>
      </c>
      <c r="R117" s="22">
        <f t="shared" ca="1" si="523"/>
        <v>12</v>
      </c>
      <c r="S117" s="11" t="str">
        <f t="shared" ca="1" si="524"/>
        <v>Uruguay</v>
      </c>
      <c r="T117" s="22">
        <f t="shared" ca="1" si="525"/>
        <v>176220</v>
      </c>
      <c r="U117" s="22">
        <f t="shared" ca="1" si="526"/>
        <v>2012</v>
      </c>
      <c r="W117" s="1">
        <f t="shared" ca="1" si="527"/>
        <v>1</v>
      </c>
      <c r="X117" s="22">
        <f t="shared" ca="1" si="528"/>
        <v>12</v>
      </c>
      <c r="Y117" s="11" t="str">
        <f t="shared" ca="1" si="529"/>
        <v>Costa Rica</v>
      </c>
      <c r="Z117" s="22">
        <f t="shared" ca="1" si="530"/>
        <v>45.107420042450002</v>
      </c>
      <c r="AA117" s="22">
        <f t="shared" ca="1" si="531"/>
        <v>2012</v>
      </c>
      <c r="AC117" s="1">
        <f t="shared" ca="1" si="532"/>
        <v>1</v>
      </c>
      <c r="AD117" s="22">
        <f t="shared" ca="1" si="533"/>
        <v>12</v>
      </c>
      <c r="AE117" s="11" t="str">
        <f t="shared" ca="1" si="534"/>
        <v>Panamá</v>
      </c>
      <c r="AF117" s="22">
        <f t="shared" ca="1" si="535"/>
        <v>57.079000000000001</v>
      </c>
      <c r="AG117" s="22">
        <f t="shared" ca="1" si="536"/>
        <v>2012</v>
      </c>
      <c r="AI117" s="1">
        <f t="shared" ca="1" si="537"/>
        <v>1</v>
      </c>
      <c r="AJ117" s="22">
        <f t="shared" ca="1" si="538"/>
        <v>12</v>
      </c>
      <c r="AK117" s="11" t="str">
        <f t="shared" ca="1" si="539"/>
        <v>Jamaica</v>
      </c>
      <c r="AL117" s="22">
        <f t="shared" ca="1" si="540"/>
        <v>0.97197560000000005</v>
      </c>
      <c r="AM117" s="22">
        <f t="shared" ca="1" si="541"/>
        <v>2012</v>
      </c>
      <c r="AO117" s="1">
        <f t="shared" ca="1" si="542"/>
        <v>1</v>
      </c>
      <c r="AP117" s="22">
        <f t="shared" ca="1" si="543"/>
        <v>12</v>
      </c>
      <c r="AQ117" s="11" t="str">
        <f t="shared" ca="1" si="544"/>
        <v>Paraguay</v>
      </c>
      <c r="AR117" s="22">
        <f t="shared" ca="1" si="545"/>
        <v>0.35527150000000002</v>
      </c>
      <c r="AS117" s="22">
        <f t="shared" ca="1" si="546"/>
        <v>2012</v>
      </c>
      <c r="AU117" s="1">
        <f t="shared" ca="1" si="547"/>
        <v>1</v>
      </c>
      <c r="AV117" s="22">
        <f t="shared" ca="1" si="548"/>
        <v>12</v>
      </c>
      <c r="AW117" s="11" t="str">
        <f t="shared" ca="1" si="549"/>
        <v>Guatemala</v>
      </c>
      <c r="AX117" s="22">
        <f t="shared" ca="1" si="550"/>
        <v>10.6265</v>
      </c>
      <c r="AY117" s="22">
        <f t="shared" ca="1" si="551"/>
        <v>2012</v>
      </c>
      <c r="BA117" s="1">
        <f t="shared" ca="1" si="552"/>
        <v>1</v>
      </c>
      <c r="BB117" s="22">
        <f t="shared" ca="1" si="553"/>
        <v>12</v>
      </c>
      <c r="BC117" s="11" t="str">
        <f t="shared" ca="1" si="554"/>
        <v>Uruguay</v>
      </c>
      <c r="BD117" s="22">
        <f t="shared" ca="1" si="555"/>
        <v>11953003.3525899</v>
      </c>
      <c r="BE117" s="22">
        <f t="shared" ca="1" si="556"/>
        <v>2012</v>
      </c>
      <c r="BG117" s="1">
        <f t="shared" ca="1" si="557"/>
        <v>1</v>
      </c>
      <c r="BH117" s="22">
        <f t="shared" ca="1" si="558"/>
        <v>12</v>
      </c>
      <c r="BI117" s="11" t="str">
        <f t="shared" ca="1" si="559"/>
        <v>Guatemala</v>
      </c>
      <c r="BJ117" s="22">
        <f t="shared" ca="1" si="560"/>
        <v>16.174189999999999</v>
      </c>
      <c r="BK117" s="22">
        <f t="shared" ca="1" si="561"/>
        <v>2012</v>
      </c>
      <c r="BM117" s="1">
        <f t="shared" ca="1" si="562"/>
        <v>1</v>
      </c>
      <c r="BN117" s="22">
        <f t="shared" ca="1" si="563"/>
        <v>12</v>
      </c>
      <c r="BO117" s="11" t="str">
        <f t="shared" ca="1" si="564"/>
        <v>Trinidad and Tobago</v>
      </c>
      <c r="BP117" s="22">
        <f t="shared" ca="1" si="565"/>
        <v>7706328.2539999997</v>
      </c>
      <c r="BQ117" s="22">
        <f t="shared" ca="1" si="566"/>
        <v>2012</v>
      </c>
      <c r="BS117" s="1">
        <f t="shared" ca="1" si="567"/>
        <v>0</v>
      </c>
      <c r="BT117" s="22" t="str">
        <f t="shared" ca="1" si="568"/>
        <v/>
      </c>
      <c r="BU117" s="11" t="str">
        <f t="shared" ca="1" si="569"/>
        <v/>
      </c>
      <c r="BV117" s="22" t="str">
        <f t="shared" ca="1" si="570"/>
        <v/>
      </c>
      <c r="BW117" s="22" t="str">
        <f t="shared" ca="1" si="571"/>
        <v/>
      </c>
      <c r="BY117" s="1">
        <f t="shared" ca="1" si="572"/>
        <v>0</v>
      </c>
      <c r="BZ117" s="22" t="str">
        <f t="shared" ca="1" si="573"/>
        <v/>
      </c>
      <c r="CA117" s="11" t="str">
        <f t="shared" ca="1" si="574"/>
        <v/>
      </c>
      <c r="CB117" s="22" t="str">
        <f t="shared" ca="1" si="575"/>
        <v/>
      </c>
      <c r="CC117" s="22" t="str">
        <f t="shared" ca="1" si="576"/>
        <v/>
      </c>
      <c r="CE117" s="1">
        <f t="shared" ca="1" si="577"/>
        <v>0</v>
      </c>
      <c r="CF117" s="22" t="str">
        <f t="shared" ca="1" si="578"/>
        <v/>
      </c>
      <c r="CG117" s="11" t="str">
        <f t="shared" ca="1" si="579"/>
        <v/>
      </c>
      <c r="CH117" s="22" t="str">
        <f t="shared" ca="1" si="580"/>
        <v/>
      </c>
      <c r="CI117" s="22" t="str">
        <f t="shared" ca="1" si="581"/>
        <v/>
      </c>
      <c r="CK117" s="1">
        <f t="shared" ca="1" si="582"/>
        <v>0</v>
      </c>
      <c r="CL117" s="22" t="str">
        <f t="shared" ca="1" si="583"/>
        <v/>
      </c>
      <c r="CM117" s="11" t="str">
        <f t="shared" ca="1" si="584"/>
        <v/>
      </c>
      <c r="CN117" s="22" t="str">
        <f t="shared" ca="1" si="585"/>
        <v/>
      </c>
      <c r="CO117" s="22" t="str">
        <f t="shared" ca="1" si="586"/>
        <v/>
      </c>
      <c r="CP117" s="73"/>
      <c r="CQ117" s="1">
        <f t="shared" ca="1" si="587"/>
        <v>0</v>
      </c>
      <c r="CR117" s="22" t="str">
        <f t="shared" ca="1" si="588"/>
        <v/>
      </c>
      <c r="CS117" s="11" t="str">
        <f t="shared" ca="1" si="589"/>
        <v/>
      </c>
      <c r="CT117" s="22" t="str">
        <f t="shared" ca="1" si="590"/>
        <v/>
      </c>
      <c r="CU117" s="22" t="str">
        <f t="shared" ca="1" si="591"/>
        <v/>
      </c>
      <c r="CW117" s="1">
        <f t="shared" ca="1" si="592"/>
        <v>0</v>
      </c>
      <c r="CX117" s="22" t="str">
        <f t="shared" ca="1" si="593"/>
        <v/>
      </c>
      <c r="CY117" s="11" t="str">
        <f t="shared" ca="1" si="594"/>
        <v/>
      </c>
      <c r="CZ117" s="22" t="str">
        <f t="shared" ca="1" si="595"/>
        <v/>
      </c>
      <c r="DA117" s="22" t="str">
        <f t="shared" ca="1" si="596"/>
        <v/>
      </c>
      <c r="DC117" s="1">
        <f t="shared" ca="1" si="597"/>
        <v>0</v>
      </c>
      <c r="DD117" s="22" t="str">
        <f t="shared" ca="1" si="598"/>
        <v/>
      </c>
      <c r="DE117" s="11" t="str">
        <f t="shared" ca="1" si="599"/>
        <v/>
      </c>
      <c r="DF117" s="22" t="str">
        <f t="shared" ca="1" si="600"/>
        <v/>
      </c>
      <c r="DG117" s="22" t="str">
        <f t="shared" ca="1" si="601"/>
        <v/>
      </c>
      <c r="DI117" s="1">
        <f t="shared" ca="1" si="602"/>
        <v>0</v>
      </c>
      <c r="DJ117" s="22" t="str">
        <f t="shared" ca="1" si="603"/>
        <v/>
      </c>
      <c r="DK117" s="11" t="str">
        <f t="shared" ca="1" si="604"/>
        <v/>
      </c>
      <c r="DL117" s="22" t="str">
        <f t="shared" ca="1" si="605"/>
        <v/>
      </c>
      <c r="DM117" s="22" t="str">
        <f t="shared" ca="1" si="606"/>
        <v/>
      </c>
      <c r="DO117" s="1">
        <f t="shared" ca="1" si="607"/>
        <v>0</v>
      </c>
      <c r="DP117" s="22" t="str">
        <f t="shared" ca="1" si="608"/>
        <v/>
      </c>
      <c r="DQ117" s="11" t="str">
        <f t="shared" ca="1" si="609"/>
        <v/>
      </c>
      <c r="DR117" s="22" t="str">
        <f t="shared" ca="1" si="610"/>
        <v/>
      </c>
      <c r="DS117" s="22" t="str">
        <f t="shared" ca="1" si="611"/>
        <v/>
      </c>
      <c r="DU117" s="1">
        <f t="shared" ca="1" si="472"/>
        <v>0</v>
      </c>
      <c r="DV117" s="22" t="str">
        <f t="shared" ca="1" si="473"/>
        <v/>
      </c>
      <c r="DW117" s="11" t="str">
        <f t="shared" ca="1" si="474"/>
        <v/>
      </c>
      <c r="DX117" s="22" t="str">
        <f t="shared" ca="1" si="475"/>
        <v/>
      </c>
      <c r="DY117" s="22" t="str">
        <f t="shared" ca="1" si="476"/>
        <v/>
      </c>
      <c r="EA117" s="1">
        <f t="shared" ca="1" si="477"/>
        <v>0</v>
      </c>
      <c r="EB117" s="22" t="str">
        <f t="shared" ca="1" si="478"/>
        <v/>
      </c>
      <c r="EC117" s="11" t="str">
        <f t="shared" ca="1" si="479"/>
        <v/>
      </c>
      <c r="ED117" s="22" t="str">
        <f t="shared" ca="1" si="480"/>
        <v/>
      </c>
      <c r="EE117" s="22" t="str">
        <f t="shared" ca="1" si="481"/>
        <v/>
      </c>
      <c r="EG117" s="1">
        <f t="shared" ca="1" si="482"/>
        <v>0</v>
      </c>
      <c r="EH117" s="22" t="str">
        <f t="shared" ca="1" si="483"/>
        <v/>
      </c>
      <c r="EI117" s="11" t="str">
        <f t="shared" ca="1" si="484"/>
        <v/>
      </c>
      <c r="EJ117" s="22" t="str">
        <f t="shared" ca="1" si="485"/>
        <v/>
      </c>
      <c r="EK117" s="22" t="str">
        <f t="shared" ca="1" si="486"/>
        <v/>
      </c>
      <c r="EM117" s="1">
        <f t="shared" ca="1" si="487"/>
        <v>0</v>
      </c>
      <c r="EN117" s="22" t="str">
        <f t="shared" ca="1" si="488"/>
        <v/>
      </c>
      <c r="EO117" s="11" t="str">
        <f t="shared" ca="1" si="489"/>
        <v/>
      </c>
      <c r="EP117" s="22" t="str">
        <f t="shared" ca="1" si="490"/>
        <v/>
      </c>
      <c r="EQ117" s="22" t="str">
        <f t="shared" ca="1" si="491"/>
        <v/>
      </c>
      <c r="ES117" s="1">
        <f t="shared" ca="1" si="492"/>
        <v>0</v>
      </c>
      <c r="ET117" s="22" t="str">
        <f t="shared" ca="1" si="493"/>
        <v/>
      </c>
      <c r="EU117" s="11" t="str">
        <f t="shared" ca="1" si="494"/>
        <v/>
      </c>
      <c r="EV117" s="22" t="str">
        <f t="shared" ca="1" si="495"/>
        <v/>
      </c>
      <c r="EW117" s="22" t="str">
        <f t="shared" ca="1" si="496"/>
        <v/>
      </c>
      <c r="EY117" s="1">
        <f t="shared" ca="1" si="497"/>
        <v>0</v>
      </c>
      <c r="EZ117" s="22" t="str">
        <f t="shared" ca="1" si="498"/>
        <v/>
      </c>
      <c r="FA117" s="11" t="str">
        <f t="shared" ca="1" si="499"/>
        <v/>
      </c>
      <c r="FB117" s="22" t="str">
        <f t="shared" ca="1" si="500"/>
        <v/>
      </c>
      <c r="FC117" s="22" t="str">
        <f t="shared" ca="1" si="501"/>
        <v/>
      </c>
      <c r="FE117" s="1">
        <f t="shared" ca="1" si="502"/>
        <v>0</v>
      </c>
      <c r="FF117" s="22" t="str">
        <f t="shared" ca="1" si="503"/>
        <v/>
      </c>
      <c r="FG117" s="11" t="str">
        <f t="shared" ca="1" si="504"/>
        <v/>
      </c>
      <c r="FH117" s="22" t="str">
        <f t="shared" ca="1" si="505"/>
        <v/>
      </c>
      <c r="FI117" s="22" t="str">
        <f t="shared" ca="1" si="506"/>
        <v/>
      </c>
      <c r="FK117" s="1">
        <f t="shared" ca="1" si="507"/>
        <v>0</v>
      </c>
      <c r="FL117" s="22" t="str">
        <f t="shared" ca="1" si="508"/>
        <v/>
      </c>
      <c r="FM117" s="11" t="str">
        <f t="shared" ca="1" si="509"/>
        <v/>
      </c>
      <c r="FN117" s="22" t="str">
        <f t="shared" ca="1" si="510"/>
        <v/>
      </c>
      <c r="FO117" s="22" t="str">
        <f t="shared" ca="1" si="511"/>
        <v/>
      </c>
    </row>
    <row r="118" spans="5:171" x14ac:dyDescent="0.2">
      <c r="E118" s="1">
        <f t="shared" ca="1" si="512"/>
        <v>1</v>
      </c>
      <c r="F118" s="22">
        <f t="shared" ca="1" si="513"/>
        <v>13</v>
      </c>
      <c r="G118" s="11" t="str">
        <f t="shared" ca="1" si="514"/>
        <v>Suriname</v>
      </c>
      <c r="H118" s="22">
        <f t="shared" ca="1" si="515"/>
        <v>6.0552171063273095</v>
      </c>
      <c r="I118" s="22">
        <f t="shared" ca="1" si="516"/>
        <v>2012</v>
      </c>
      <c r="K118" s="1">
        <f t="shared" ca="1" si="517"/>
        <v>1</v>
      </c>
      <c r="L118" s="22">
        <f t="shared" ca="1" si="518"/>
        <v>13</v>
      </c>
      <c r="M118" s="11" t="str">
        <f t="shared" ca="1" si="519"/>
        <v>Honduras</v>
      </c>
      <c r="N118" s="22">
        <f t="shared" ca="1" si="520"/>
        <v>8.2010000000000005</v>
      </c>
      <c r="O118" s="22">
        <f t="shared" ca="1" si="521"/>
        <v>2012</v>
      </c>
      <c r="Q118" s="1">
        <f t="shared" ca="1" si="522"/>
        <v>1</v>
      </c>
      <c r="R118" s="22">
        <f t="shared" ca="1" si="523"/>
        <v>13</v>
      </c>
      <c r="S118" s="11" t="str">
        <f t="shared" ca="1" si="524"/>
        <v>Suriname</v>
      </c>
      <c r="T118" s="22">
        <f t="shared" ca="1" si="525"/>
        <v>163820</v>
      </c>
      <c r="U118" s="22">
        <f t="shared" ca="1" si="526"/>
        <v>2012</v>
      </c>
      <c r="W118" s="1">
        <f t="shared" ca="1" si="527"/>
        <v>1</v>
      </c>
      <c r="X118" s="22">
        <f t="shared" ca="1" si="528"/>
        <v>13</v>
      </c>
      <c r="Y118" s="11" t="str">
        <f t="shared" ca="1" si="529"/>
        <v>Panamá</v>
      </c>
      <c r="Z118" s="22">
        <f t="shared" ca="1" si="530"/>
        <v>36.253</v>
      </c>
      <c r="AA118" s="22">
        <f t="shared" ca="1" si="531"/>
        <v>2012</v>
      </c>
      <c r="AC118" s="1">
        <f t="shared" ca="1" si="532"/>
        <v>1</v>
      </c>
      <c r="AD118" s="22">
        <f t="shared" ca="1" si="533"/>
        <v>13</v>
      </c>
      <c r="AE118" s="11" t="str">
        <f t="shared" ca="1" si="534"/>
        <v>Bolivia</v>
      </c>
      <c r="AF118" s="22">
        <f t="shared" ca="1" si="535"/>
        <v>54.360999999999997</v>
      </c>
      <c r="AG118" s="22">
        <f t="shared" ca="1" si="536"/>
        <v>2012</v>
      </c>
      <c r="AI118" s="1">
        <f t="shared" ca="1" si="537"/>
        <v>1</v>
      </c>
      <c r="AJ118" s="22">
        <f t="shared" ca="1" si="538"/>
        <v>13</v>
      </c>
      <c r="AK118" s="11" t="str">
        <f t="shared" ca="1" si="539"/>
        <v>Costa Rica</v>
      </c>
      <c r="AL118" s="22">
        <f t="shared" ca="1" si="540"/>
        <v>0.88429171746711699</v>
      </c>
      <c r="AM118" s="22">
        <f t="shared" ca="1" si="541"/>
        <v>2012</v>
      </c>
      <c r="AO118" s="1">
        <f t="shared" ca="1" si="542"/>
        <v>1</v>
      </c>
      <c r="AP118" s="22">
        <f t="shared" ca="1" si="543"/>
        <v>13</v>
      </c>
      <c r="AQ118" s="11" t="str">
        <f t="shared" ca="1" si="544"/>
        <v>Guatemala</v>
      </c>
      <c r="AR118" s="22">
        <f t="shared" ca="1" si="545"/>
        <v>0.33935999999999999</v>
      </c>
      <c r="AS118" s="22">
        <f t="shared" ca="1" si="546"/>
        <v>2012</v>
      </c>
      <c r="AU118" s="1">
        <f t="shared" ca="1" si="547"/>
        <v>1</v>
      </c>
      <c r="AV118" s="22">
        <f t="shared" ca="1" si="548"/>
        <v>13</v>
      </c>
      <c r="AW118" s="11" t="str">
        <f t="shared" ca="1" si="549"/>
        <v>Uruguay</v>
      </c>
      <c r="AX118" s="22">
        <f t="shared" ca="1" si="550"/>
        <v>9.9065930590204303</v>
      </c>
      <c r="AY118" s="22">
        <f t="shared" ca="1" si="551"/>
        <v>2012</v>
      </c>
      <c r="BA118" s="1">
        <f t="shared" ca="1" si="552"/>
        <v>1</v>
      </c>
      <c r="BB118" s="22">
        <f t="shared" ca="1" si="553"/>
        <v>13</v>
      </c>
      <c r="BC118" s="11" t="str">
        <f t="shared" ca="1" si="554"/>
        <v>Paraguay</v>
      </c>
      <c r="BD118" s="22">
        <f t="shared" ca="1" si="555"/>
        <v>11816765.481977999</v>
      </c>
      <c r="BE118" s="22">
        <f t="shared" ca="1" si="556"/>
        <v>2012</v>
      </c>
      <c r="BG118" s="1">
        <f t="shared" ca="1" si="557"/>
        <v>1</v>
      </c>
      <c r="BH118" s="22">
        <f t="shared" ca="1" si="558"/>
        <v>13</v>
      </c>
      <c r="BI118" s="11" t="str">
        <f t="shared" ca="1" si="559"/>
        <v>Uruguay</v>
      </c>
      <c r="BJ118" s="22">
        <f t="shared" ca="1" si="560"/>
        <v>12.217000623701001</v>
      </c>
      <c r="BK118" s="22">
        <f t="shared" ca="1" si="561"/>
        <v>2012</v>
      </c>
      <c r="BM118" s="1">
        <f t="shared" ca="1" si="562"/>
        <v>1</v>
      </c>
      <c r="BN118" s="22">
        <f t="shared" ca="1" si="563"/>
        <v>13</v>
      </c>
      <c r="BO118" s="11" t="str">
        <f t="shared" ca="1" si="564"/>
        <v>El Salvador</v>
      </c>
      <c r="BP118" s="22">
        <f t="shared" ca="1" si="565"/>
        <v>7574949.6176000005</v>
      </c>
      <c r="BQ118" s="22">
        <f t="shared" ca="1" si="566"/>
        <v>2012</v>
      </c>
      <c r="BS118" s="1">
        <f t="shared" ca="1" si="567"/>
        <v>0</v>
      </c>
      <c r="BT118" s="22" t="str">
        <f t="shared" ca="1" si="568"/>
        <v/>
      </c>
      <c r="BU118" s="11" t="str">
        <f t="shared" ca="1" si="569"/>
        <v/>
      </c>
      <c r="BV118" s="22" t="str">
        <f t="shared" ca="1" si="570"/>
        <v/>
      </c>
      <c r="BW118" s="22" t="str">
        <f t="shared" ca="1" si="571"/>
        <v/>
      </c>
      <c r="BY118" s="1">
        <f t="shared" ca="1" si="572"/>
        <v>0</v>
      </c>
      <c r="BZ118" s="22" t="str">
        <f t="shared" ca="1" si="573"/>
        <v/>
      </c>
      <c r="CA118" s="11" t="str">
        <f t="shared" ca="1" si="574"/>
        <v/>
      </c>
      <c r="CB118" s="22" t="str">
        <f t="shared" ca="1" si="575"/>
        <v/>
      </c>
      <c r="CC118" s="22" t="str">
        <f t="shared" ca="1" si="576"/>
        <v/>
      </c>
      <c r="CE118" s="1">
        <f t="shared" ca="1" si="577"/>
        <v>0</v>
      </c>
      <c r="CF118" s="22" t="str">
        <f t="shared" ca="1" si="578"/>
        <v/>
      </c>
      <c r="CG118" s="11" t="str">
        <f t="shared" ca="1" si="579"/>
        <v/>
      </c>
      <c r="CH118" s="22" t="str">
        <f t="shared" ca="1" si="580"/>
        <v/>
      </c>
      <c r="CI118" s="22" t="str">
        <f t="shared" ca="1" si="581"/>
        <v/>
      </c>
      <c r="CK118" s="1">
        <f t="shared" ca="1" si="582"/>
        <v>0</v>
      </c>
      <c r="CL118" s="22" t="str">
        <f t="shared" ca="1" si="583"/>
        <v/>
      </c>
      <c r="CM118" s="11" t="str">
        <f t="shared" ca="1" si="584"/>
        <v/>
      </c>
      <c r="CN118" s="22" t="str">
        <f t="shared" ca="1" si="585"/>
        <v/>
      </c>
      <c r="CO118" s="22" t="str">
        <f t="shared" ca="1" si="586"/>
        <v/>
      </c>
      <c r="CP118" s="73"/>
      <c r="CQ118" s="1">
        <f t="shared" ca="1" si="587"/>
        <v>0</v>
      </c>
      <c r="CR118" s="22" t="str">
        <f t="shared" ca="1" si="588"/>
        <v/>
      </c>
      <c r="CS118" s="11" t="str">
        <f t="shared" ca="1" si="589"/>
        <v/>
      </c>
      <c r="CT118" s="22" t="str">
        <f t="shared" ca="1" si="590"/>
        <v/>
      </c>
      <c r="CU118" s="22" t="str">
        <f t="shared" ca="1" si="591"/>
        <v/>
      </c>
      <c r="CW118" s="1">
        <f t="shared" ca="1" si="592"/>
        <v>0</v>
      </c>
      <c r="CX118" s="22" t="str">
        <f t="shared" ca="1" si="593"/>
        <v/>
      </c>
      <c r="CY118" s="11" t="str">
        <f t="shared" ca="1" si="594"/>
        <v/>
      </c>
      <c r="CZ118" s="22" t="str">
        <f t="shared" ca="1" si="595"/>
        <v/>
      </c>
      <c r="DA118" s="22" t="str">
        <f t="shared" ca="1" si="596"/>
        <v/>
      </c>
      <c r="DC118" s="1">
        <f t="shared" ca="1" si="597"/>
        <v>0</v>
      </c>
      <c r="DD118" s="22" t="str">
        <f t="shared" ca="1" si="598"/>
        <v/>
      </c>
      <c r="DE118" s="11" t="str">
        <f t="shared" ca="1" si="599"/>
        <v/>
      </c>
      <c r="DF118" s="22" t="str">
        <f t="shared" ca="1" si="600"/>
        <v/>
      </c>
      <c r="DG118" s="22" t="str">
        <f t="shared" ca="1" si="601"/>
        <v/>
      </c>
      <c r="DI118" s="1">
        <f t="shared" ca="1" si="602"/>
        <v>0</v>
      </c>
      <c r="DJ118" s="22" t="str">
        <f t="shared" ca="1" si="603"/>
        <v/>
      </c>
      <c r="DK118" s="11" t="str">
        <f t="shared" ca="1" si="604"/>
        <v/>
      </c>
      <c r="DL118" s="22" t="str">
        <f t="shared" ca="1" si="605"/>
        <v/>
      </c>
      <c r="DM118" s="22" t="str">
        <f t="shared" ca="1" si="606"/>
        <v/>
      </c>
      <c r="DO118" s="1">
        <f t="shared" ca="1" si="607"/>
        <v>0</v>
      </c>
      <c r="DP118" s="22" t="str">
        <f t="shared" ca="1" si="608"/>
        <v/>
      </c>
      <c r="DQ118" s="11" t="str">
        <f t="shared" ca="1" si="609"/>
        <v/>
      </c>
      <c r="DR118" s="22" t="str">
        <f t="shared" ca="1" si="610"/>
        <v/>
      </c>
      <c r="DS118" s="22" t="str">
        <f t="shared" ca="1" si="611"/>
        <v/>
      </c>
      <c r="DU118" s="1">
        <f t="shared" ca="1" si="472"/>
        <v>0</v>
      </c>
      <c r="DV118" s="22" t="str">
        <f t="shared" ca="1" si="473"/>
        <v/>
      </c>
      <c r="DW118" s="11" t="str">
        <f t="shared" ca="1" si="474"/>
        <v/>
      </c>
      <c r="DX118" s="22" t="str">
        <f t="shared" ca="1" si="475"/>
        <v/>
      </c>
      <c r="DY118" s="22" t="str">
        <f t="shared" ca="1" si="476"/>
        <v/>
      </c>
      <c r="EA118" s="1">
        <f t="shared" ca="1" si="477"/>
        <v>0</v>
      </c>
      <c r="EB118" s="22" t="str">
        <f t="shared" ca="1" si="478"/>
        <v/>
      </c>
      <c r="EC118" s="11" t="str">
        <f t="shared" ca="1" si="479"/>
        <v/>
      </c>
      <c r="ED118" s="22" t="str">
        <f t="shared" ca="1" si="480"/>
        <v/>
      </c>
      <c r="EE118" s="22" t="str">
        <f t="shared" ca="1" si="481"/>
        <v/>
      </c>
      <c r="EG118" s="1">
        <f t="shared" ca="1" si="482"/>
        <v>0</v>
      </c>
      <c r="EH118" s="22" t="str">
        <f t="shared" ca="1" si="483"/>
        <v/>
      </c>
      <c r="EI118" s="11" t="str">
        <f t="shared" ca="1" si="484"/>
        <v/>
      </c>
      <c r="EJ118" s="22" t="str">
        <f t="shared" ca="1" si="485"/>
        <v/>
      </c>
      <c r="EK118" s="22" t="str">
        <f t="shared" ca="1" si="486"/>
        <v/>
      </c>
      <c r="EM118" s="1">
        <f t="shared" ca="1" si="487"/>
        <v>0</v>
      </c>
      <c r="EN118" s="22" t="str">
        <f t="shared" ca="1" si="488"/>
        <v/>
      </c>
      <c r="EO118" s="11" t="str">
        <f t="shared" ca="1" si="489"/>
        <v/>
      </c>
      <c r="EP118" s="22" t="str">
        <f t="shared" ca="1" si="490"/>
        <v/>
      </c>
      <c r="EQ118" s="22" t="str">
        <f t="shared" ca="1" si="491"/>
        <v/>
      </c>
      <c r="ES118" s="1">
        <f t="shared" ca="1" si="492"/>
        <v>0</v>
      </c>
      <c r="ET118" s="22" t="str">
        <f t="shared" ca="1" si="493"/>
        <v/>
      </c>
      <c r="EU118" s="11" t="str">
        <f t="shared" ca="1" si="494"/>
        <v/>
      </c>
      <c r="EV118" s="22" t="str">
        <f t="shared" ca="1" si="495"/>
        <v/>
      </c>
      <c r="EW118" s="22" t="str">
        <f t="shared" ca="1" si="496"/>
        <v/>
      </c>
      <c r="EY118" s="1">
        <f t="shared" ca="1" si="497"/>
        <v>0</v>
      </c>
      <c r="EZ118" s="22" t="str">
        <f t="shared" ca="1" si="498"/>
        <v/>
      </c>
      <c r="FA118" s="11" t="str">
        <f t="shared" ca="1" si="499"/>
        <v/>
      </c>
      <c r="FB118" s="22" t="str">
        <f t="shared" ca="1" si="500"/>
        <v/>
      </c>
      <c r="FC118" s="22" t="str">
        <f t="shared" ca="1" si="501"/>
        <v/>
      </c>
      <c r="FE118" s="1">
        <f t="shared" ca="1" si="502"/>
        <v>0</v>
      </c>
      <c r="FF118" s="22" t="str">
        <f t="shared" ca="1" si="503"/>
        <v/>
      </c>
      <c r="FG118" s="11" t="str">
        <f t="shared" ca="1" si="504"/>
        <v/>
      </c>
      <c r="FH118" s="22" t="str">
        <f t="shared" ca="1" si="505"/>
        <v/>
      </c>
      <c r="FI118" s="22" t="str">
        <f t="shared" ca="1" si="506"/>
        <v/>
      </c>
      <c r="FK118" s="1">
        <f t="shared" ca="1" si="507"/>
        <v>0</v>
      </c>
      <c r="FL118" s="22" t="str">
        <f t="shared" ca="1" si="508"/>
        <v/>
      </c>
      <c r="FM118" s="11" t="str">
        <f t="shared" ca="1" si="509"/>
        <v/>
      </c>
      <c r="FN118" s="22" t="str">
        <f t="shared" ca="1" si="510"/>
        <v/>
      </c>
      <c r="FO118" s="22" t="str">
        <f t="shared" ca="1" si="511"/>
        <v/>
      </c>
    </row>
    <row r="119" spans="5:171" x14ac:dyDescent="0.2">
      <c r="E119" s="1">
        <f t="shared" ca="1" si="512"/>
        <v>1</v>
      </c>
      <c r="F119" s="22">
        <f t="shared" ca="1" si="513"/>
        <v>14</v>
      </c>
      <c r="G119" s="11" t="str">
        <f t="shared" ca="1" si="514"/>
        <v>México</v>
      </c>
      <c r="H119" s="22">
        <f t="shared" ca="1" si="515"/>
        <v>5.9218808907268796</v>
      </c>
      <c r="I119" s="22">
        <f t="shared" ca="1" si="516"/>
        <v>2012</v>
      </c>
      <c r="K119" s="1">
        <f t="shared" ca="1" si="517"/>
        <v>1</v>
      </c>
      <c r="L119" s="22">
        <f t="shared" ca="1" si="518"/>
        <v>14</v>
      </c>
      <c r="M119" s="11" t="str">
        <f t="shared" ca="1" si="519"/>
        <v>Paraguay</v>
      </c>
      <c r="N119" s="22">
        <f t="shared" ca="1" si="520"/>
        <v>6.6820320000000004</v>
      </c>
      <c r="O119" s="22">
        <f t="shared" ca="1" si="521"/>
        <v>2012</v>
      </c>
      <c r="Q119" s="1">
        <f t="shared" ca="1" si="522"/>
        <v>1</v>
      </c>
      <c r="R119" s="22">
        <f t="shared" ca="1" si="523"/>
        <v>14</v>
      </c>
      <c r="S119" s="11" t="str">
        <f t="shared" ca="1" si="524"/>
        <v>Nicaragua</v>
      </c>
      <c r="T119" s="22">
        <f t="shared" ca="1" si="525"/>
        <v>130370</v>
      </c>
      <c r="U119" s="22">
        <f t="shared" ca="1" si="526"/>
        <v>2012</v>
      </c>
      <c r="W119" s="1">
        <f t="shared" ca="1" si="527"/>
        <v>1</v>
      </c>
      <c r="X119" s="22">
        <f t="shared" ca="1" si="528"/>
        <v>14</v>
      </c>
      <c r="Y119" s="11" t="str">
        <f t="shared" ca="1" si="529"/>
        <v>Bolivia</v>
      </c>
      <c r="Z119" s="22">
        <f t="shared" ca="1" si="530"/>
        <v>27.04</v>
      </c>
      <c r="AA119" s="22">
        <f t="shared" ca="1" si="531"/>
        <v>2012</v>
      </c>
      <c r="AC119" s="1">
        <f t="shared" ca="1" si="532"/>
        <v>1</v>
      </c>
      <c r="AD119" s="22">
        <f t="shared" ca="1" si="533"/>
        <v>14</v>
      </c>
      <c r="AE119" s="11" t="str">
        <f t="shared" ca="1" si="534"/>
        <v>Uruguay</v>
      </c>
      <c r="AF119" s="22">
        <f t="shared" ca="1" si="535"/>
        <v>53.786999999999999</v>
      </c>
      <c r="AG119" s="22">
        <f t="shared" ca="1" si="536"/>
        <v>2012</v>
      </c>
      <c r="AI119" s="1">
        <f t="shared" ca="1" si="537"/>
        <v>1</v>
      </c>
      <c r="AJ119" s="22">
        <f t="shared" ca="1" si="538"/>
        <v>14</v>
      </c>
      <c r="AK119" s="11" t="str">
        <f t="shared" ca="1" si="539"/>
        <v>Honduras</v>
      </c>
      <c r="AL119" s="22">
        <f t="shared" ca="1" si="540"/>
        <v>0.80289999999999995</v>
      </c>
      <c r="AM119" s="22">
        <f t="shared" ca="1" si="541"/>
        <v>2012</v>
      </c>
      <c r="AO119" s="1">
        <f t="shared" ca="1" si="542"/>
        <v>1</v>
      </c>
      <c r="AP119" s="22">
        <f t="shared" ca="1" si="543"/>
        <v>14</v>
      </c>
      <c r="AQ119" s="11" t="str">
        <f t="shared" ca="1" si="544"/>
        <v>Jamaica</v>
      </c>
      <c r="AR119" s="22">
        <f t="shared" ca="1" si="545"/>
        <v>0.29434460000000001</v>
      </c>
      <c r="AS119" s="22">
        <f t="shared" ca="1" si="546"/>
        <v>2012</v>
      </c>
      <c r="AU119" s="1">
        <f t="shared" ca="1" si="547"/>
        <v>1</v>
      </c>
      <c r="AV119" s="22">
        <f t="shared" ca="1" si="548"/>
        <v>14</v>
      </c>
      <c r="AW119" s="11" t="str">
        <f t="shared" ca="1" si="549"/>
        <v>Bolivia</v>
      </c>
      <c r="AX119" s="22">
        <f t="shared" ca="1" si="550"/>
        <v>9.6820997999999996</v>
      </c>
      <c r="AY119" s="22">
        <f t="shared" ca="1" si="551"/>
        <v>2012</v>
      </c>
      <c r="BA119" s="1">
        <f t="shared" ca="1" si="552"/>
        <v>1</v>
      </c>
      <c r="BB119" s="22">
        <f t="shared" ca="1" si="553"/>
        <v>14</v>
      </c>
      <c r="BC119" s="11" t="str">
        <f t="shared" ca="1" si="554"/>
        <v>Guatemala</v>
      </c>
      <c r="BD119" s="22">
        <f t="shared" ca="1" si="555"/>
        <v>9525017.4810000006</v>
      </c>
      <c r="BE119" s="22">
        <f t="shared" ca="1" si="556"/>
        <v>2012</v>
      </c>
      <c r="BG119" s="1">
        <f t="shared" ca="1" si="557"/>
        <v>1</v>
      </c>
      <c r="BH119" s="22">
        <f t="shared" ca="1" si="558"/>
        <v>14</v>
      </c>
      <c r="BI119" s="11" t="str">
        <f t="shared" ca="1" si="559"/>
        <v>Paraguay</v>
      </c>
      <c r="BJ119" s="22">
        <f t="shared" ca="1" si="560"/>
        <v>11.1228345</v>
      </c>
      <c r="BK119" s="22">
        <f t="shared" ca="1" si="561"/>
        <v>2012</v>
      </c>
      <c r="BM119" s="1">
        <f t="shared" ca="1" si="562"/>
        <v>1</v>
      </c>
      <c r="BN119" s="22">
        <f t="shared" ca="1" si="563"/>
        <v>14</v>
      </c>
      <c r="BO119" s="11" t="str">
        <f t="shared" ca="1" si="564"/>
        <v>Jamaica</v>
      </c>
      <c r="BP119" s="22">
        <f t="shared" ca="1" si="565"/>
        <v>6850561.3870000001</v>
      </c>
      <c r="BQ119" s="22">
        <f t="shared" ca="1" si="566"/>
        <v>2012</v>
      </c>
      <c r="BS119" s="1">
        <f t="shared" ca="1" si="567"/>
        <v>0</v>
      </c>
      <c r="BT119" s="22" t="str">
        <f t="shared" ca="1" si="568"/>
        <v/>
      </c>
      <c r="BU119" s="11" t="str">
        <f t="shared" ca="1" si="569"/>
        <v/>
      </c>
      <c r="BV119" s="22" t="str">
        <f t="shared" ca="1" si="570"/>
        <v/>
      </c>
      <c r="BW119" s="22" t="str">
        <f t="shared" ca="1" si="571"/>
        <v/>
      </c>
      <c r="BY119" s="1">
        <f t="shared" ca="1" si="572"/>
        <v>0</v>
      </c>
      <c r="BZ119" s="22" t="str">
        <f t="shared" ca="1" si="573"/>
        <v/>
      </c>
      <c r="CA119" s="11" t="str">
        <f t="shared" ca="1" si="574"/>
        <v/>
      </c>
      <c r="CB119" s="22" t="str">
        <f t="shared" ca="1" si="575"/>
        <v/>
      </c>
      <c r="CC119" s="22" t="str">
        <f t="shared" ca="1" si="576"/>
        <v/>
      </c>
      <c r="CE119" s="1">
        <f t="shared" ca="1" si="577"/>
        <v>0</v>
      </c>
      <c r="CF119" s="22" t="str">
        <f t="shared" ca="1" si="578"/>
        <v/>
      </c>
      <c r="CG119" s="11" t="str">
        <f t="shared" ca="1" si="579"/>
        <v/>
      </c>
      <c r="CH119" s="22" t="str">
        <f t="shared" ca="1" si="580"/>
        <v/>
      </c>
      <c r="CI119" s="22" t="str">
        <f t="shared" ca="1" si="581"/>
        <v/>
      </c>
      <c r="CK119" s="1">
        <f t="shared" ca="1" si="582"/>
        <v>0</v>
      </c>
      <c r="CL119" s="22" t="str">
        <f t="shared" ca="1" si="583"/>
        <v/>
      </c>
      <c r="CM119" s="11" t="str">
        <f t="shared" ca="1" si="584"/>
        <v/>
      </c>
      <c r="CN119" s="22" t="str">
        <f t="shared" ca="1" si="585"/>
        <v/>
      </c>
      <c r="CO119" s="22" t="str">
        <f t="shared" ca="1" si="586"/>
        <v/>
      </c>
      <c r="CP119" s="73"/>
      <c r="CQ119" s="1">
        <f t="shared" ca="1" si="587"/>
        <v>0</v>
      </c>
      <c r="CR119" s="22" t="str">
        <f t="shared" ca="1" si="588"/>
        <v/>
      </c>
      <c r="CS119" s="11" t="str">
        <f t="shared" ca="1" si="589"/>
        <v/>
      </c>
      <c r="CT119" s="22" t="str">
        <f t="shared" ca="1" si="590"/>
        <v/>
      </c>
      <c r="CU119" s="22" t="str">
        <f t="shared" ca="1" si="591"/>
        <v/>
      </c>
      <c r="CW119" s="1">
        <f t="shared" ca="1" si="592"/>
        <v>0</v>
      </c>
      <c r="CX119" s="22" t="str">
        <f t="shared" ca="1" si="593"/>
        <v/>
      </c>
      <c r="CY119" s="11" t="str">
        <f t="shared" ca="1" si="594"/>
        <v/>
      </c>
      <c r="CZ119" s="22" t="str">
        <f t="shared" ca="1" si="595"/>
        <v/>
      </c>
      <c r="DA119" s="22" t="str">
        <f t="shared" ca="1" si="596"/>
        <v/>
      </c>
      <c r="DC119" s="1">
        <f t="shared" ca="1" si="597"/>
        <v>0</v>
      </c>
      <c r="DD119" s="22" t="str">
        <f t="shared" ca="1" si="598"/>
        <v/>
      </c>
      <c r="DE119" s="11" t="str">
        <f t="shared" ca="1" si="599"/>
        <v/>
      </c>
      <c r="DF119" s="22" t="str">
        <f t="shared" ca="1" si="600"/>
        <v/>
      </c>
      <c r="DG119" s="22" t="str">
        <f t="shared" ca="1" si="601"/>
        <v/>
      </c>
      <c r="DI119" s="1">
        <f t="shared" ca="1" si="602"/>
        <v>0</v>
      </c>
      <c r="DJ119" s="22" t="str">
        <f t="shared" ca="1" si="603"/>
        <v/>
      </c>
      <c r="DK119" s="11" t="str">
        <f t="shared" ca="1" si="604"/>
        <v/>
      </c>
      <c r="DL119" s="22" t="str">
        <f t="shared" ca="1" si="605"/>
        <v/>
      </c>
      <c r="DM119" s="22" t="str">
        <f t="shared" ca="1" si="606"/>
        <v/>
      </c>
      <c r="DO119" s="1">
        <f t="shared" ca="1" si="607"/>
        <v>0</v>
      </c>
      <c r="DP119" s="22" t="str">
        <f t="shared" ca="1" si="608"/>
        <v/>
      </c>
      <c r="DQ119" s="11" t="str">
        <f t="shared" ca="1" si="609"/>
        <v/>
      </c>
      <c r="DR119" s="22" t="str">
        <f t="shared" ca="1" si="610"/>
        <v/>
      </c>
      <c r="DS119" s="22" t="str">
        <f t="shared" ca="1" si="611"/>
        <v/>
      </c>
      <c r="DU119" s="1">
        <f t="shared" ca="1" si="472"/>
        <v>0</v>
      </c>
      <c r="DV119" s="22" t="str">
        <f t="shared" ca="1" si="473"/>
        <v/>
      </c>
      <c r="DW119" s="11" t="str">
        <f t="shared" ca="1" si="474"/>
        <v/>
      </c>
      <c r="DX119" s="22" t="str">
        <f t="shared" ca="1" si="475"/>
        <v/>
      </c>
      <c r="DY119" s="22" t="str">
        <f t="shared" ca="1" si="476"/>
        <v/>
      </c>
      <c r="EA119" s="1">
        <f t="shared" ca="1" si="477"/>
        <v>0</v>
      </c>
      <c r="EB119" s="22" t="str">
        <f t="shared" ca="1" si="478"/>
        <v/>
      </c>
      <c r="EC119" s="11" t="str">
        <f t="shared" ca="1" si="479"/>
        <v/>
      </c>
      <c r="ED119" s="22" t="str">
        <f t="shared" ca="1" si="480"/>
        <v/>
      </c>
      <c r="EE119" s="22" t="str">
        <f t="shared" ca="1" si="481"/>
        <v/>
      </c>
      <c r="EG119" s="1">
        <f t="shared" ca="1" si="482"/>
        <v>0</v>
      </c>
      <c r="EH119" s="22" t="str">
        <f t="shared" ca="1" si="483"/>
        <v/>
      </c>
      <c r="EI119" s="11" t="str">
        <f t="shared" ca="1" si="484"/>
        <v/>
      </c>
      <c r="EJ119" s="22" t="str">
        <f t="shared" ca="1" si="485"/>
        <v/>
      </c>
      <c r="EK119" s="22" t="str">
        <f t="shared" ca="1" si="486"/>
        <v/>
      </c>
      <c r="EM119" s="1">
        <f t="shared" ca="1" si="487"/>
        <v>0</v>
      </c>
      <c r="EN119" s="22" t="str">
        <f t="shared" ca="1" si="488"/>
        <v/>
      </c>
      <c r="EO119" s="11" t="str">
        <f t="shared" ca="1" si="489"/>
        <v/>
      </c>
      <c r="EP119" s="22" t="str">
        <f t="shared" ca="1" si="490"/>
        <v/>
      </c>
      <c r="EQ119" s="22" t="str">
        <f t="shared" ca="1" si="491"/>
        <v/>
      </c>
      <c r="ES119" s="1">
        <f t="shared" ca="1" si="492"/>
        <v>0</v>
      </c>
      <c r="ET119" s="22" t="str">
        <f t="shared" ca="1" si="493"/>
        <v/>
      </c>
      <c r="EU119" s="11" t="str">
        <f t="shared" ca="1" si="494"/>
        <v/>
      </c>
      <c r="EV119" s="22" t="str">
        <f t="shared" ca="1" si="495"/>
        <v/>
      </c>
      <c r="EW119" s="22" t="str">
        <f t="shared" ca="1" si="496"/>
        <v/>
      </c>
      <c r="EY119" s="1">
        <f t="shared" ca="1" si="497"/>
        <v>0</v>
      </c>
      <c r="EZ119" s="22" t="str">
        <f t="shared" ca="1" si="498"/>
        <v/>
      </c>
      <c r="FA119" s="11" t="str">
        <f t="shared" ca="1" si="499"/>
        <v/>
      </c>
      <c r="FB119" s="22" t="str">
        <f t="shared" ca="1" si="500"/>
        <v/>
      </c>
      <c r="FC119" s="22" t="str">
        <f t="shared" ca="1" si="501"/>
        <v/>
      </c>
      <c r="FE119" s="1">
        <f t="shared" ca="1" si="502"/>
        <v>0</v>
      </c>
      <c r="FF119" s="22" t="str">
        <f t="shared" ca="1" si="503"/>
        <v/>
      </c>
      <c r="FG119" s="11" t="str">
        <f t="shared" ca="1" si="504"/>
        <v/>
      </c>
      <c r="FH119" s="22" t="str">
        <f t="shared" ca="1" si="505"/>
        <v/>
      </c>
      <c r="FI119" s="22" t="str">
        <f t="shared" ca="1" si="506"/>
        <v/>
      </c>
      <c r="FK119" s="1">
        <f t="shared" ca="1" si="507"/>
        <v>0</v>
      </c>
      <c r="FL119" s="22" t="str">
        <f t="shared" ca="1" si="508"/>
        <v/>
      </c>
      <c r="FM119" s="11" t="str">
        <f t="shared" ca="1" si="509"/>
        <v/>
      </c>
      <c r="FN119" s="22" t="str">
        <f t="shared" ca="1" si="510"/>
        <v/>
      </c>
      <c r="FO119" s="22" t="str">
        <f t="shared" ca="1" si="511"/>
        <v/>
      </c>
    </row>
    <row r="120" spans="5:171" x14ac:dyDescent="0.2">
      <c r="E120" s="1">
        <f t="shared" ca="1" si="512"/>
        <v>1</v>
      </c>
      <c r="F120" s="22">
        <f t="shared" ca="1" si="513"/>
        <v>15</v>
      </c>
      <c r="G120" s="11" t="str">
        <f t="shared" ca="1" si="514"/>
        <v>El Salvador</v>
      </c>
      <c r="H120" s="22">
        <f t="shared" ca="1" si="515"/>
        <v>5.6016158710687201</v>
      </c>
      <c r="I120" s="22">
        <f t="shared" ca="1" si="516"/>
        <v>2012</v>
      </c>
      <c r="K120" s="1">
        <f t="shared" ca="1" si="517"/>
        <v>1</v>
      </c>
      <c r="L120" s="22">
        <f t="shared" ca="1" si="518"/>
        <v>15</v>
      </c>
      <c r="M120" s="11" t="str">
        <f t="shared" ca="1" si="519"/>
        <v>El Salvador</v>
      </c>
      <c r="N120" s="22">
        <f t="shared" ca="1" si="520"/>
        <v>6.2492619999999999</v>
      </c>
      <c r="O120" s="22">
        <f t="shared" ca="1" si="521"/>
        <v>2012</v>
      </c>
      <c r="Q120" s="1">
        <f t="shared" ca="1" si="522"/>
        <v>1</v>
      </c>
      <c r="R120" s="22">
        <f t="shared" ca="1" si="523"/>
        <v>15</v>
      </c>
      <c r="S120" s="11" t="str">
        <f t="shared" ca="1" si="524"/>
        <v>Honduras</v>
      </c>
      <c r="T120" s="22">
        <f t="shared" ca="1" si="525"/>
        <v>112490</v>
      </c>
      <c r="U120" s="22">
        <f t="shared" ca="1" si="526"/>
        <v>2012</v>
      </c>
      <c r="W120" s="1">
        <f t="shared" ca="1" si="527"/>
        <v>1</v>
      </c>
      <c r="X120" s="22">
        <f t="shared" ca="1" si="528"/>
        <v>15</v>
      </c>
      <c r="Y120" s="11" t="str">
        <f t="shared" ca="1" si="529"/>
        <v>Paraguay</v>
      </c>
      <c r="Z120" s="22">
        <f t="shared" ca="1" si="530"/>
        <v>26.088999999999999</v>
      </c>
      <c r="AA120" s="22">
        <f t="shared" ca="1" si="531"/>
        <v>2012</v>
      </c>
      <c r="AC120" s="1">
        <f t="shared" ca="1" si="532"/>
        <v>1</v>
      </c>
      <c r="AD120" s="22">
        <f t="shared" ca="1" si="533"/>
        <v>15</v>
      </c>
      <c r="AE120" s="11" t="str">
        <f t="shared" ca="1" si="534"/>
        <v>El Salvador</v>
      </c>
      <c r="AF120" s="22">
        <f t="shared" ca="1" si="535"/>
        <v>46.329000000000001</v>
      </c>
      <c r="AG120" s="22">
        <f t="shared" ca="1" si="536"/>
        <v>2012</v>
      </c>
      <c r="AI120" s="1">
        <f t="shared" ca="1" si="537"/>
        <v>1</v>
      </c>
      <c r="AJ120" s="22">
        <f t="shared" ca="1" si="538"/>
        <v>15</v>
      </c>
      <c r="AK120" s="11" t="str">
        <f t="shared" ca="1" si="539"/>
        <v>Paraguay</v>
      </c>
      <c r="AL120" s="22">
        <f t="shared" ca="1" si="540"/>
        <v>0.70270149999999998</v>
      </c>
      <c r="AM120" s="22">
        <f t="shared" ca="1" si="541"/>
        <v>2012</v>
      </c>
      <c r="AO120" s="1">
        <f t="shared" ca="1" si="542"/>
        <v>1</v>
      </c>
      <c r="AP120" s="22">
        <f t="shared" ca="1" si="543"/>
        <v>15</v>
      </c>
      <c r="AQ120" s="11" t="str">
        <f t="shared" ca="1" si="544"/>
        <v>Venezuela</v>
      </c>
      <c r="AR120" s="22">
        <f t="shared" ca="1" si="545"/>
        <v>0.28100000000000003</v>
      </c>
      <c r="AS120" s="22">
        <f t="shared" ca="1" si="546"/>
        <v>2012</v>
      </c>
      <c r="AU120" s="1">
        <f t="shared" ca="1" si="547"/>
        <v>1</v>
      </c>
      <c r="AV120" s="22">
        <f t="shared" ca="1" si="548"/>
        <v>15</v>
      </c>
      <c r="AW120" s="11" t="str">
        <f t="shared" ca="1" si="549"/>
        <v>Paraguay</v>
      </c>
      <c r="AX120" s="22">
        <f t="shared" ca="1" si="550"/>
        <v>9.2874298</v>
      </c>
      <c r="AY120" s="22">
        <f t="shared" ca="1" si="551"/>
        <v>2012</v>
      </c>
      <c r="BA120" s="1">
        <f t="shared" ca="1" si="552"/>
        <v>1</v>
      </c>
      <c r="BB120" s="22">
        <f t="shared" ca="1" si="553"/>
        <v>15</v>
      </c>
      <c r="BC120" s="11" t="str">
        <f t="shared" ca="1" si="554"/>
        <v>Jamaica</v>
      </c>
      <c r="BD120" s="22">
        <f t="shared" ca="1" si="555"/>
        <v>7537315.4819999998</v>
      </c>
      <c r="BE120" s="22">
        <f t="shared" ca="1" si="556"/>
        <v>2012</v>
      </c>
      <c r="BG120" s="1">
        <f t="shared" ca="1" si="557"/>
        <v>1</v>
      </c>
      <c r="BH120" s="22">
        <f t="shared" ca="1" si="558"/>
        <v>15</v>
      </c>
      <c r="BI120" s="11" t="str">
        <f t="shared" ca="1" si="559"/>
        <v>Honduras</v>
      </c>
      <c r="BJ120" s="22">
        <f t="shared" ca="1" si="560"/>
        <v>10.882300000000001</v>
      </c>
      <c r="BK120" s="22">
        <f t="shared" ca="1" si="561"/>
        <v>2012</v>
      </c>
      <c r="BM120" s="1">
        <f t="shared" ca="1" si="562"/>
        <v>1</v>
      </c>
      <c r="BN120" s="22">
        <f t="shared" ca="1" si="563"/>
        <v>15</v>
      </c>
      <c r="BO120" s="11" t="str">
        <f t="shared" ca="1" si="564"/>
        <v>Paraguay</v>
      </c>
      <c r="BP120" s="22">
        <f t="shared" ca="1" si="565"/>
        <v>6752616.1527020195</v>
      </c>
      <c r="BQ120" s="22">
        <f t="shared" ca="1" si="566"/>
        <v>2012</v>
      </c>
      <c r="BS120" s="1">
        <f t="shared" ca="1" si="567"/>
        <v>0</v>
      </c>
      <c r="BT120" s="22" t="str">
        <f t="shared" ca="1" si="568"/>
        <v/>
      </c>
      <c r="BU120" s="11" t="str">
        <f t="shared" ca="1" si="569"/>
        <v/>
      </c>
      <c r="BV120" s="22" t="str">
        <f t="shared" ca="1" si="570"/>
        <v/>
      </c>
      <c r="BW120" s="22" t="str">
        <f t="shared" ca="1" si="571"/>
        <v/>
      </c>
      <c r="BY120" s="1">
        <f t="shared" ca="1" si="572"/>
        <v>0</v>
      </c>
      <c r="BZ120" s="22" t="str">
        <f t="shared" ca="1" si="573"/>
        <v/>
      </c>
      <c r="CA120" s="11" t="str">
        <f t="shared" ca="1" si="574"/>
        <v/>
      </c>
      <c r="CB120" s="22" t="str">
        <f t="shared" ca="1" si="575"/>
        <v/>
      </c>
      <c r="CC120" s="22" t="str">
        <f t="shared" ca="1" si="576"/>
        <v/>
      </c>
      <c r="CE120" s="1">
        <f t="shared" ca="1" si="577"/>
        <v>0</v>
      </c>
      <c r="CF120" s="22" t="str">
        <f t="shared" ca="1" si="578"/>
        <v/>
      </c>
      <c r="CG120" s="11" t="str">
        <f t="shared" ca="1" si="579"/>
        <v/>
      </c>
      <c r="CH120" s="22" t="str">
        <f t="shared" ca="1" si="580"/>
        <v/>
      </c>
      <c r="CI120" s="22" t="str">
        <f t="shared" ca="1" si="581"/>
        <v/>
      </c>
      <c r="CK120" s="1">
        <f t="shared" ca="1" si="582"/>
        <v>0</v>
      </c>
      <c r="CL120" s="22" t="str">
        <f t="shared" ca="1" si="583"/>
        <v/>
      </c>
      <c r="CM120" s="11" t="str">
        <f t="shared" ca="1" si="584"/>
        <v/>
      </c>
      <c r="CN120" s="22" t="str">
        <f t="shared" ca="1" si="585"/>
        <v/>
      </c>
      <c r="CO120" s="22" t="str">
        <f t="shared" ca="1" si="586"/>
        <v/>
      </c>
      <c r="CP120" s="73"/>
      <c r="CQ120" s="1">
        <f t="shared" ca="1" si="587"/>
        <v>0</v>
      </c>
      <c r="CR120" s="22" t="str">
        <f t="shared" ca="1" si="588"/>
        <v/>
      </c>
      <c r="CS120" s="11" t="str">
        <f t="shared" ca="1" si="589"/>
        <v/>
      </c>
      <c r="CT120" s="22" t="str">
        <f t="shared" ca="1" si="590"/>
        <v/>
      </c>
      <c r="CU120" s="22" t="str">
        <f t="shared" ca="1" si="591"/>
        <v/>
      </c>
      <c r="CW120" s="1">
        <f t="shared" ca="1" si="592"/>
        <v>0</v>
      </c>
      <c r="CX120" s="22" t="str">
        <f t="shared" ca="1" si="593"/>
        <v/>
      </c>
      <c r="CY120" s="11" t="str">
        <f t="shared" ca="1" si="594"/>
        <v/>
      </c>
      <c r="CZ120" s="22" t="str">
        <f t="shared" ca="1" si="595"/>
        <v/>
      </c>
      <c r="DA120" s="22" t="str">
        <f t="shared" ca="1" si="596"/>
        <v/>
      </c>
      <c r="DC120" s="1">
        <f t="shared" ca="1" si="597"/>
        <v>0</v>
      </c>
      <c r="DD120" s="22" t="str">
        <f t="shared" ca="1" si="598"/>
        <v/>
      </c>
      <c r="DE120" s="11" t="str">
        <f t="shared" ca="1" si="599"/>
        <v/>
      </c>
      <c r="DF120" s="22" t="str">
        <f t="shared" ca="1" si="600"/>
        <v/>
      </c>
      <c r="DG120" s="22" t="str">
        <f t="shared" ca="1" si="601"/>
        <v/>
      </c>
      <c r="DI120" s="1">
        <f t="shared" ca="1" si="602"/>
        <v>0</v>
      </c>
      <c r="DJ120" s="22" t="str">
        <f t="shared" ca="1" si="603"/>
        <v/>
      </c>
      <c r="DK120" s="11" t="str">
        <f t="shared" ca="1" si="604"/>
        <v/>
      </c>
      <c r="DL120" s="22" t="str">
        <f t="shared" ca="1" si="605"/>
        <v/>
      </c>
      <c r="DM120" s="22" t="str">
        <f t="shared" ca="1" si="606"/>
        <v/>
      </c>
      <c r="DO120" s="1">
        <f t="shared" ca="1" si="607"/>
        <v>0</v>
      </c>
      <c r="DP120" s="22" t="str">
        <f t="shared" ca="1" si="608"/>
        <v/>
      </c>
      <c r="DQ120" s="11" t="str">
        <f t="shared" ca="1" si="609"/>
        <v/>
      </c>
      <c r="DR120" s="22" t="str">
        <f t="shared" ca="1" si="610"/>
        <v/>
      </c>
      <c r="DS120" s="22" t="str">
        <f t="shared" ca="1" si="611"/>
        <v/>
      </c>
      <c r="DU120" s="1">
        <f t="shared" ca="1" si="472"/>
        <v>0</v>
      </c>
      <c r="DV120" s="22" t="str">
        <f t="shared" ca="1" si="473"/>
        <v/>
      </c>
      <c r="DW120" s="11" t="str">
        <f t="shared" ca="1" si="474"/>
        <v/>
      </c>
      <c r="DX120" s="22" t="str">
        <f t="shared" ca="1" si="475"/>
        <v/>
      </c>
      <c r="DY120" s="22" t="str">
        <f t="shared" ca="1" si="476"/>
        <v/>
      </c>
      <c r="EA120" s="1">
        <f t="shared" ca="1" si="477"/>
        <v>0</v>
      </c>
      <c r="EB120" s="22" t="str">
        <f t="shared" ca="1" si="478"/>
        <v/>
      </c>
      <c r="EC120" s="11" t="str">
        <f t="shared" ca="1" si="479"/>
        <v/>
      </c>
      <c r="ED120" s="22" t="str">
        <f t="shared" ca="1" si="480"/>
        <v/>
      </c>
      <c r="EE120" s="22" t="str">
        <f t="shared" ca="1" si="481"/>
        <v/>
      </c>
      <c r="EG120" s="1">
        <f t="shared" ca="1" si="482"/>
        <v>0</v>
      </c>
      <c r="EH120" s="22" t="str">
        <f t="shared" ca="1" si="483"/>
        <v/>
      </c>
      <c r="EI120" s="11" t="str">
        <f t="shared" ca="1" si="484"/>
        <v/>
      </c>
      <c r="EJ120" s="22" t="str">
        <f t="shared" ca="1" si="485"/>
        <v/>
      </c>
      <c r="EK120" s="22" t="str">
        <f t="shared" ca="1" si="486"/>
        <v/>
      </c>
      <c r="EM120" s="1">
        <f t="shared" ca="1" si="487"/>
        <v>0</v>
      </c>
      <c r="EN120" s="22" t="str">
        <f t="shared" ca="1" si="488"/>
        <v/>
      </c>
      <c r="EO120" s="11" t="str">
        <f t="shared" ca="1" si="489"/>
        <v/>
      </c>
      <c r="EP120" s="22" t="str">
        <f t="shared" ca="1" si="490"/>
        <v/>
      </c>
      <c r="EQ120" s="22" t="str">
        <f t="shared" ca="1" si="491"/>
        <v/>
      </c>
      <c r="ES120" s="1">
        <f t="shared" ca="1" si="492"/>
        <v>0</v>
      </c>
      <c r="ET120" s="22" t="str">
        <f t="shared" ca="1" si="493"/>
        <v/>
      </c>
      <c r="EU120" s="11" t="str">
        <f t="shared" ca="1" si="494"/>
        <v/>
      </c>
      <c r="EV120" s="22" t="str">
        <f t="shared" ca="1" si="495"/>
        <v/>
      </c>
      <c r="EW120" s="22" t="str">
        <f t="shared" ca="1" si="496"/>
        <v/>
      </c>
      <c r="EY120" s="1">
        <f t="shared" ca="1" si="497"/>
        <v>0</v>
      </c>
      <c r="EZ120" s="22" t="str">
        <f t="shared" ca="1" si="498"/>
        <v/>
      </c>
      <c r="FA120" s="11" t="str">
        <f t="shared" ca="1" si="499"/>
        <v/>
      </c>
      <c r="FB120" s="22" t="str">
        <f t="shared" ca="1" si="500"/>
        <v/>
      </c>
      <c r="FC120" s="22" t="str">
        <f t="shared" ca="1" si="501"/>
        <v/>
      </c>
      <c r="FE120" s="1">
        <f t="shared" ca="1" si="502"/>
        <v>0</v>
      </c>
      <c r="FF120" s="22" t="str">
        <f t="shared" ca="1" si="503"/>
        <v/>
      </c>
      <c r="FG120" s="11" t="str">
        <f t="shared" ca="1" si="504"/>
        <v/>
      </c>
      <c r="FH120" s="22" t="str">
        <f t="shared" ca="1" si="505"/>
        <v/>
      </c>
      <c r="FI120" s="22" t="str">
        <f t="shared" ca="1" si="506"/>
        <v/>
      </c>
      <c r="FK120" s="1">
        <f t="shared" ca="1" si="507"/>
        <v>0</v>
      </c>
      <c r="FL120" s="22" t="str">
        <f t="shared" ca="1" si="508"/>
        <v/>
      </c>
      <c r="FM120" s="11" t="str">
        <f t="shared" ca="1" si="509"/>
        <v/>
      </c>
      <c r="FN120" s="22" t="str">
        <f t="shared" ca="1" si="510"/>
        <v/>
      </c>
      <c r="FO120" s="22" t="str">
        <f t="shared" ca="1" si="511"/>
        <v/>
      </c>
    </row>
    <row r="121" spans="5:171" x14ac:dyDescent="0.2">
      <c r="E121" s="1">
        <f t="shared" ca="1" si="512"/>
        <v>1</v>
      </c>
      <c r="F121" s="22">
        <f t="shared" ca="1" si="513"/>
        <v>16</v>
      </c>
      <c r="G121" s="11" t="str">
        <f t="shared" ca="1" si="514"/>
        <v>Trinidad and Tobago</v>
      </c>
      <c r="H121" s="22">
        <f t="shared" ca="1" si="515"/>
        <v>5.3618877032470706</v>
      </c>
      <c r="I121" s="22">
        <f t="shared" ca="1" si="516"/>
        <v>2012</v>
      </c>
      <c r="K121" s="1">
        <f t="shared" ca="1" si="517"/>
        <v>1</v>
      </c>
      <c r="L121" s="22">
        <f t="shared" ca="1" si="518"/>
        <v>16</v>
      </c>
      <c r="M121" s="11" t="str">
        <f t="shared" ca="1" si="519"/>
        <v>Nicaragua</v>
      </c>
      <c r="N121" s="22">
        <f t="shared" ca="1" si="520"/>
        <v>5.9809999999999999</v>
      </c>
      <c r="O121" s="22">
        <f t="shared" ca="1" si="521"/>
        <v>2012</v>
      </c>
      <c r="Q121" s="1">
        <f t="shared" ca="1" si="522"/>
        <v>1</v>
      </c>
      <c r="R121" s="22">
        <f t="shared" ca="1" si="523"/>
        <v>16</v>
      </c>
      <c r="S121" s="11" t="str">
        <f t="shared" ca="1" si="524"/>
        <v>Guatemala</v>
      </c>
      <c r="T121" s="22">
        <f t="shared" ca="1" si="525"/>
        <v>108890</v>
      </c>
      <c r="U121" s="22">
        <f t="shared" ca="1" si="526"/>
        <v>2012</v>
      </c>
      <c r="W121" s="1">
        <f t="shared" ca="1" si="527"/>
        <v>1</v>
      </c>
      <c r="X121" s="22">
        <f t="shared" ca="1" si="528"/>
        <v>16</v>
      </c>
      <c r="Y121" s="11" t="str">
        <f t="shared" ca="1" si="529"/>
        <v>Trinidad and Tobago</v>
      </c>
      <c r="Z121" s="22">
        <f t="shared" ca="1" si="530"/>
        <v>25.277000000000001</v>
      </c>
      <c r="AA121" s="22">
        <f t="shared" ca="1" si="531"/>
        <v>2012</v>
      </c>
      <c r="AC121" s="1">
        <f t="shared" ca="1" si="532"/>
        <v>1</v>
      </c>
      <c r="AD121" s="22">
        <f t="shared" ca="1" si="533"/>
        <v>16</v>
      </c>
      <c r="AE121" s="11" t="str">
        <f t="shared" ca="1" si="534"/>
        <v>Paraguay</v>
      </c>
      <c r="AF121" s="22">
        <f t="shared" ca="1" si="535"/>
        <v>40.685000000000002</v>
      </c>
      <c r="AG121" s="22">
        <f t="shared" ca="1" si="536"/>
        <v>2012</v>
      </c>
      <c r="AI121" s="1">
        <f t="shared" ca="1" si="537"/>
        <v>1</v>
      </c>
      <c r="AJ121" s="22">
        <f t="shared" ca="1" si="538"/>
        <v>16</v>
      </c>
      <c r="AK121" s="11" t="str">
        <f t="shared" ca="1" si="539"/>
        <v>Haiti</v>
      </c>
      <c r="AL121" s="22">
        <f t="shared" ca="1" si="540"/>
        <v>0.69539200000000001</v>
      </c>
      <c r="AM121" s="22">
        <f t="shared" ca="1" si="541"/>
        <v>2012</v>
      </c>
      <c r="AO121" s="1">
        <f t="shared" ca="1" si="542"/>
        <v>1</v>
      </c>
      <c r="AP121" s="22">
        <f t="shared" ca="1" si="543"/>
        <v>16</v>
      </c>
      <c r="AQ121" s="11" t="str">
        <f t="shared" ca="1" si="544"/>
        <v>Trinidad and Tobago</v>
      </c>
      <c r="AR121" s="22">
        <f t="shared" ca="1" si="545"/>
        <v>0.23949999999999999</v>
      </c>
      <c r="AS121" s="22">
        <f t="shared" ca="1" si="546"/>
        <v>2012</v>
      </c>
      <c r="AU121" s="1">
        <f t="shared" ca="1" si="547"/>
        <v>1</v>
      </c>
      <c r="AV121" s="22">
        <f t="shared" ca="1" si="548"/>
        <v>16</v>
      </c>
      <c r="AW121" s="11" t="str">
        <f t="shared" ca="1" si="549"/>
        <v>Dominican Republic</v>
      </c>
      <c r="AX121" s="22">
        <f t="shared" ca="1" si="550"/>
        <v>9.0161134999999994</v>
      </c>
      <c r="AY121" s="22">
        <f t="shared" ca="1" si="551"/>
        <v>2012</v>
      </c>
      <c r="BA121" s="1">
        <f t="shared" ca="1" si="552"/>
        <v>1</v>
      </c>
      <c r="BB121" s="22">
        <f t="shared" ca="1" si="553"/>
        <v>16</v>
      </c>
      <c r="BC121" s="11" t="str">
        <f t="shared" ca="1" si="554"/>
        <v>Dominican Republic</v>
      </c>
      <c r="BD121" s="22">
        <f t="shared" ca="1" si="555"/>
        <v>5487326.78623203</v>
      </c>
      <c r="BE121" s="22">
        <f t="shared" ca="1" si="556"/>
        <v>2012</v>
      </c>
      <c r="BG121" s="1">
        <f t="shared" ca="1" si="557"/>
        <v>1</v>
      </c>
      <c r="BH121" s="22">
        <f t="shared" ca="1" si="558"/>
        <v>16</v>
      </c>
      <c r="BI121" s="11" t="str">
        <f t="shared" ca="1" si="559"/>
        <v>El Salvador</v>
      </c>
      <c r="BJ121" s="22">
        <f t="shared" ca="1" si="560"/>
        <v>10.26962660621</v>
      </c>
      <c r="BK121" s="22">
        <f t="shared" ca="1" si="561"/>
        <v>2012</v>
      </c>
      <c r="BM121" s="1">
        <f t="shared" ca="1" si="562"/>
        <v>1</v>
      </c>
      <c r="BN121" s="22">
        <f t="shared" ca="1" si="563"/>
        <v>16</v>
      </c>
      <c r="BO121" s="11" t="str">
        <f t="shared" ca="1" si="564"/>
        <v>Uruguay</v>
      </c>
      <c r="BP121" s="22">
        <f t="shared" ca="1" si="565"/>
        <v>5859956.7151799798</v>
      </c>
      <c r="BQ121" s="22">
        <f t="shared" ca="1" si="566"/>
        <v>2012</v>
      </c>
      <c r="BS121" s="1">
        <f t="shared" ca="1" si="567"/>
        <v>0</v>
      </c>
      <c r="BT121" s="22" t="str">
        <f t="shared" ca="1" si="568"/>
        <v/>
      </c>
      <c r="BU121" s="11" t="str">
        <f t="shared" ca="1" si="569"/>
        <v/>
      </c>
      <c r="BV121" s="22" t="str">
        <f t="shared" ca="1" si="570"/>
        <v/>
      </c>
      <c r="BW121" s="22" t="str">
        <f t="shared" ca="1" si="571"/>
        <v/>
      </c>
      <c r="BY121" s="1">
        <f t="shared" ca="1" si="572"/>
        <v>0</v>
      </c>
      <c r="BZ121" s="22" t="str">
        <f t="shared" ca="1" si="573"/>
        <v/>
      </c>
      <c r="CA121" s="11" t="str">
        <f t="shared" ca="1" si="574"/>
        <v/>
      </c>
      <c r="CB121" s="22" t="str">
        <f t="shared" ca="1" si="575"/>
        <v/>
      </c>
      <c r="CC121" s="22" t="str">
        <f t="shared" ca="1" si="576"/>
        <v/>
      </c>
      <c r="CE121" s="1">
        <f t="shared" ca="1" si="577"/>
        <v>0</v>
      </c>
      <c r="CF121" s="22" t="str">
        <f t="shared" ca="1" si="578"/>
        <v/>
      </c>
      <c r="CG121" s="11" t="str">
        <f t="shared" ca="1" si="579"/>
        <v/>
      </c>
      <c r="CH121" s="22" t="str">
        <f t="shared" ca="1" si="580"/>
        <v/>
      </c>
      <c r="CI121" s="22" t="str">
        <f t="shared" ca="1" si="581"/>
        <v/>
      </c>
      <c r="CK121" s="1">
        <f t="shared" ca="1" si="582"/>
        <v>0</v>
      </c>
      <c r="CL121" s="22" t="str">
        <f t="shared" ca="1" si="583"/>
        <v/>
      </c>
      <c r="CM121" s="11" t="str">
        <f t="shared" ca="1" si="584"/>
        <v/>
      </c>
      <c r="CN121" s="22" t="str">
        <f t="shared" ca="1" si="585"/>
        <v/>
      </c>
      <c r="CO121" s="22" t="str">
        <f t="shared" ca="1" si="586"/>
        <v/>
      </c>
      <c r="CP121" s="73"/>
      <c r="CQ121" s="1">
        <f t="shared" ca="1" si="587"/>
        <v>0</v>
      </c>
      <c r="CR121" s="22" t="str">
        <f t="shared" ca="1" si="588"/>
        <v/>
      </c>
      <c r="CS121" s="11" t="str">
        <f t="shared" ca="1" si="589"/>
        <v/>
      </c>
      <c r="CT121" s="22" t="str">
        <f t="shared" ca="1" si="590"/>
        <v/>
      </c>
      <c r="CU121" s="22" t="str">
        <f t="shared" ca="1" si="591"/>
        <v/>
      </c>
      <c r="CW121" s="1">
        <f t="shared" ca="1" si="592"/>
        <v>0</v>
      </c>
      <c r="CX121" s="22" t="str">
        <f t="shared" ca="1" si="593"/>
        <v/>
      </c>
      <c r="CY121" s="11" t="str">
        <f t="shared" ca="1" si="594"/>
        <v/>
      </c>
      <c r="CZ121" s="22" t="str">
        <f t="shared" ca="1" si="595"/>
        <v/>
      </c>
      <c r="DA121" s="22" t="str">
        <f t="shared" ca="1" si="596"/>
        <v/>
      </c>
      <c r="DC121" s="1">
        <f t="shared" ca="1" si="597"/>
        <v>0</v>
      </c>
      <c r="DD121" s="22" t="str">
        <f t="shared" ca="1" si="598"/>
        <v/>
      </c>
      <c r="DE121" s="11" t="str">
        <f t="shared" ca="1" si="599"/>
        <v/>
      </c>
      <c r="DF121" s="22" t="str">
        <f t="shared" ca="1" si="600"/>
        <v/>
      </c>
      <c r="DG121" s="22" t="str">
        <f t="shared" ca="1" si="601"/>
        <v/>
      </c>
      <c r="DI121" s="1">
        <f t="shared" ca="1" si="602"/>
        <v>0</v>
      </c>
      <c r="DJ121" s="22" t="str">
        <f t="shared" ca="1" si="603"/>
        <v/>
      </c>
      <c r="DK121" s="11" t="str">
        <f t="shared" ca="1" si="604"/>
        <v/>
      </c>
      <c r="DL121" s="22" t="str">
        <f t="shared" ca="1" si="605"/>
        <v/>
      </c>
      <c r="DM121" s="22" t="str">
        <f t="shared" ca="1" si="606"/>
        <v/>
      </c>
      <c r="DO121" s="1">
        <f t="shared" ca="1" si="607"/>
        <v>0</v>
      </c>
      <c r="DP121" s="22" t="str">
        <f t="shared" ca="1" si="608"/>
        <v/>
      </c>
      <c r="DQ121" s="11" t="str">
        <f t="shared" ca="1" si="609"/>
        <v/>
      </c>
      <c r="DR121" s="22" t="str">
        <f t="shared" ca="1" si="610"/>
        <v/>
      </c>
      <c r="DS121" s="22" t="str">
        <f t="shared" ca="1" si="611"/>
        <v/>
      </c>
      <c r="DU121" s="1">
        <f t="shared" ca="1" si="472"/>
        <v>0</v>
      </c>
      <c r="DV121" s="22" t="str">
        <f t="shared" ca="1" si="473"/>
        <v/>
      </c>
      <c r="DW121" s="11" t="str">
        <f t="shared" ca="1" si="474"/>
        <v/>
      </c>
      <c r="DX121" s="22" t="str">
        <f t="shared" ca="1" si="475"/>
        <v/>
      </c>
      <c r="DY121" s="22" t="str">
        <f t="shared" ca="1" si="476"/>
        <v/>
      </c>
      <c r="EA121" s="1">
        <f t="shared" ca="1" si="477"/>
        <v>0</v>
      </c>
      <c r="EB121" s="22" t="str">
        <f t="shared" ca="1" si="478"/>
        <v/>
      </c>
      <c r="EC121" s="11" t="str">
        <f t="shared" ca="1" si="479"/>
        <v/>
      </c>
      <c r="ED121" s="22" t="str">
        <f t="shared" ca="1" si="480"/>
        <v/>
      </c>
      <c r="EE121" s="22" t="str">
        <f t="shared" ca="1" si="481"/>
        <v/>
      </c>
      <c r="EG121" s="1">
        <f t="shared" ca="1" si="482"/>
        <v>0</v>
      </c>
      <c r="EH121" s="22" t="str">
        <f t="shared" ca="1" si="483"/>
        <v/>
      </c>
      <c r="EI121" s="11" t="str">
        <f t="shared" ca="1" si="484"/>
        <v/>
      </c>
      <c r="EJ121" s="22" t="str">
        <f t="shared" ca="1" si="485"/>
        <v/>
      </c>
      <c r="EK121" s="22" t="str">
        <f t="shared" ca="1" si="486"/>
        <v/>
      </c>
      <c r="EM121" s="1">
        <f t="shared" ca="1" si="487"/>
        <v>0</v>
      </c>
      <c r="EN121" s="22" t="str">
        <f t="shared" ca="1" si="488"/>
        <v/>
      </c>
      <c r="EO121" s="11" t="str">
        <f t="shared" ca="1" si="489"/>
        <v/>
      </c>
      <c r="EP121" s="22" t="str">
        <f t="shared" ca="1" si="490"/>
        <v/>
      </c>
      <c r="EQ121" s="22" t="str">
        <f t="shared" ca="1" si="491"/>
        <v/>
      </c>
      <c r="ES121" s="1">
        <f t="shared" ca="1" si="492"/>
        <v>0</v>
      </c>
      <c r="ET121" s="22" t="str">
        <f t="shared" ca="1" si="493"/>
        <v/>
      </c>
      <c r="EU121" s="11" t="str">
        <f t="shared" ca="1" si="494"/>
        <v/>
      </c>
      <c r="EV121" s="22" t="str">
        <f t="shared" ca="1" si="495"/>
        <v/>
      </c>
      <c r="EW121" s="22" t="str">
        <f t="shared" ca="1" si="496"/>
        <v/>
      </c>
      <c r="EY121" s="1">
        <f t="shared" ca="1" si="497"/>
        <v>0</v>
      </c>
      <c r="EZ121" s="22" t="str">
        <f t="shared" ca="1" si="498"/>
        <v/>
      </c>
      <c r="FA121" s="11" t="str">
        <f t="shared" ca="1" si="499"/>
        <v/>
      </c>
      <c r="FB121" s="22" t="str">
        <f t="shared" ca="1" si="500"/>
        <v/>
      </c>
      <c r="FC121" s="22" t="str">
        <f t="shared" ca="1" si="501"/>
        <v/>
      </c>
      <c r="FE121" s="1">
        <f t="shared" ca="1" si="502"/>
        <v>0</v>
      </c>
      <c r="FF121" s="22" t="str">
        <f t="shared" ca="1" si="503"/>
        <v/>
      </c>
      <c r="FG121" s="11" t="str">
        <f t="shared" ca="1" si="504"/>
        <v/>
      </c>
      <c r="FH121" s="22" t="str">
        <f t="shared" ca="1" si="505"/>
        <v/>
      </c>
      <c r="FI121" s="22" t="str">
        <f t="shared" ca="1" si="506"/>
        <v/>
      </c>
      <c r="FK121" s="1">
        <f t="shared" ca="1" si="507"/>
        <v>0</v>
      </c>
      <c r="FL121" s="22" t="str">
        <f t="shared" ca="1" si="508"/>
        <v/>
      </c>
      <c r="FM121" s="11" t="str">
        <f t="shared" ca="1" si="509"/>
        <v/>
      </c>
      <c r="FN121" s="22" t="str">
        <f t="shared" ca="1" si="510"/>
        <v/>
      </c>
      <c r="FO121" s="22" t="str">
        <f t="shared" ca="1" si="511"/>
        <v/>
      </c>
    </row>
    <row r="122" spans="5:171" x14ac:dyDescent="0.2">
      <c r="E122" s="1">
        <f t="shared" ca="1" si="512"/>
        <v>1</v>
      </c>
      <c r="F122" s="22">
        <f t="shared" ca="1" si="513"/>
        <v>17</v>
      </c>
      <c r="G122" s="11" t="str">
        <f t="shared" ca="1" si="514"/>
        <v>Ecuador</v>
      </c>
      <c r="H122" s="22">
        <f t="shared" ca="1" si="515"/>
        <v>5.26505148816371</v>
      </c>
      <c r="I122" s="22">
        <f t="shared" ca="1" si="516"/>
        <v>2012</v>
      </c>
      <c r="K122" s="1">
        <f t="shared" ca="1" si="517"/>
        <v>1</v>
      </c>
      <c r="L122" s="22">
        <f t="shared" ca="1" si="518"/>
        <v>17</v>
      </c>
      <c r="M122" s="11" t="str">
        <f t="shared" ca="1" si="519"/>
        <v>Costa Rica</v>
      </c>
      <c r="N122" s="22">
        <f t="shared" ca="1" si="520"/>
        <v>4.782</v>
      </c>
      <c r="O122" s="22">
        <f t="shared" ca="1" si="521"/>
        <v>2012</v>
      </c>
      <c r="Q122" s="1">
        <f t="shared" ca="1" si="522"/>
        <v>1</v>
      </c>
      <c r="R122" s="22">
        <f t="shared" ca="1" si="523"/>
        <v>17</v>
      </c>
      <c r="S122" s="11" t="str">
        <f t="shared" ca="1" si="524"/>
        <v>Panamá</v>
      </c>
      <c r="T122" s="22">
        <f t="shared" ca="1" si="525"/>
        <v>75420</v>
      </c>
      <c r="U122" s="22">
        <f t="shared" ca="1" si="526"/>
        <v>2012</v>
      </c>
      <c r="W122" s="1">
        <f t="shared" ca="1" si="527"/>
        <v>1</v>
      </c>
      <c r="X122" s="22">
        <f t="shared" ca="1" si="528"/>
        <v>17</v>
      </c>
      <c r="Y122" s="11" t="str">
        <f t="shared" ca="1" si="529"/>
        <v>El Salvador</v>
      </c>
      <c r="Z122" s="22">
        <f t="shared" ca="1" si="530"/>
        <v>23.8644</v>
      </c>
      <c r="AA122" s="22">
        <f t="shared" ca="1" si="531"/>
        <v>2012</v>
      </c>
      <c r="AC122" s="1">
        <f t="shared" ca="1" si="532"/>
        <v>1</v>
      </c>
      <c r="AD122" s="22">
        <f t="shared" ca="1" si="533"/>
        <v>17</v>
      </c>
      <c r="AE122" s="11" t="str">
        <f t="shared" ca="1" si="534"/>
        <v>Honduras</v>
      </c>
      <c r="AF122" s="22">
        <f t="shared" ca="1" si="535"/>
        <v>37.802</v>
      </c>
      <c r="AG122" s="22">
        <f t="shared" ca="1" si="536"/>
        <v>2012</v>
      </c>
      <c r="AI122" s="1">
        <f t="shared" ca="1" si="537"/>
        <v>1</v>
      </c>
      <c r="AJ122" s="22">
        <f t="shared" ca="1" si="538"/>
        <v>17</v>
      </c>
      <c r="AK122" s="11" t="str">
        <f t="shared" ca="1" si="539"/>
        <v>Bolivia</v>
      </c>
      <c r="AL122" s="22">
        <f t="shared" ca="1" si="540"/>
        <v>0.63114000000000003</v>
      </c>
      <c r="AM122" s="22">
        <f t="shared" ca="1" si="541"/>
        <v>2012</v>
      </c>
      <c r="AO122" s="1">
        <f t="shared" ca="1" si="542"/>
        <v>1</v>
      </c>
      <c r="AP122" s="22">
        <f t="shared" ca="1" si="543"/>
        <v>17</v>
      </c>
      <c r="AQ122" s="11" t="str">
        <f t="shared" ca="1" si="544"/>
        <v>Bahamas</v>
      </c>
      <c r="AR122" s="22">
        <f t="shared" ca="1" si="545"/>
        <v>0.1183715</v>
      </c>
      <c r="AS122" s="22">
        <f t="shared" ca="1" si="546"/>
        <v>2012</v>
      </c>
      <c r="AU122" s="1">
        <f t="shared" ca="1" si="547"/>
        <v>1</v>
      </c>
      <c r="AV122" s="22">
        <f t="shared" ca="1" si="548"/>
        <v>17</v>
      </c>
      <c r="AW122" s="11" t="str">
        <f t="shared" ca="1" si="549"/>
        <v>Honduras</v>
      </c>
      <c r="AX122" s="22">
        <f t="shared" ca="1" si="550"/>
        <v>7.4744000000000002</v>
      </c>
      <c r="AY122" s="22">
        <f t="shared" ca="1" si="551"/>
        <v>2012</v>
      </c>
      <c r="BA122" s="1">
        <f t="shared" ca="1" si="552"/>
        <v>1</v>
      </c>
      <c r="BB122" s="22">
        <f t="shared" ca="1" si="553"/>
        <v>17</v>
      </c>
      <c r="BC122" s="11" t="str">
        <f t="shared" ca="1" si="554"/>
        <v>Honduras</v>
      </c>
      <c r="BD122" s="22">
        <f t="shared" ca="1" si="555"/>
        <v>3286099</v>
      </c>
      <c r="BE122" s="22">
        <f t="shared" ca="1" si="556"/>
        <v>2012</v>
      </c>
      <c r="BG122" s="1">
        <f t="shared" ca="1" si="557"/>
        <v>1</v>
      </c>
      <c r="BH122" s="22">
        <f t="shared" ca="1" si="558"/>
        <v>17</v>
      </c>
      <c r="BI122" s="11" t="str">
        <f t="shared" ca="1" si="559"/>
        <v>Trinidad and Tobago</v>
      </c>
      <c r="BJ122" s="22">
        <f t="shared" ca="1" si="560"/>
        <v>10.04832</v>
      </c>
      <c r="BK122" s="22">
        <f t="shared" ca="1" si="561"/>
        <v>2012</v>
      </c>
      <c r="BM122" s="1">
        <f t="shared" ca="1" si="562"/>
        <v>1</v>
      </c>
      <c r="BN122" s="22">
        <f t="shared" ca="1" si="563"/>
        <v>17</v>
      </c>
      <c r="BO122" s="11" t="str">
        <f t="shared" ca="1" si="564"/>
        <v>Honduras</v>
      </c>
      <c r="BP122" s="22">
        <f t="shared" ca="1" si="565"/>
        <v>5245343.7580000004</v>
      </c>
      <c r="BQ122" s="22">
        <f t="shared" ca="1" si="566"/>
        <v>2012</v>
      </c>
      <c r="BS122" s="1">
        <f t="shared" ca="1" si="567"/>
        <v>0</v>
      </c>
      <c r="BT122" s="22" t="str">
        <f t="shared" ca="1" si="568"/>
        <v/>
      </c>
      <c r="BU122" s="11" t="str">
        <f t="shared" ca="1" si="569"/>
        <v/>
      </c>
      <c r="BV122" s="22" t="str">
        <f t="shared" ca="1" si="570"/>
        <v/>
      </c>
      <c r="BW122" s="22" t="str">
        <f t="shared" ca="1" si="571"/>
        <v/>
      </c>
      <c r="BY122" s="1">
        <f t="shared" ca="1" si="572"/>
        <v>0</v>
      </c>
      <c r="BZ122" s="22" t="str">
        <f t="shared" ca="1" si="573"/>
        <v/>
      </c>
      <c r="CA122" s="11" t="str">
        <f t="shared" ca="1" si="574"/>
        <v/>
      </c>
      <c r="CB122" s="22" t="str">
        <f t="shared" ca="1" si="575"/>
        <v/>
      </c>
      <c r="CC122" s="22" t="str">
        <f t="shared" ca="1" si="576"/>
        <v/>
      </c>
      <c r="CE122" s="1">
        <f t="shared" ca="1" si="577"/>
        <v>0</v>
      </c>
      <c r="CF122" s="22" t="str">
        <f t="shared" ca="1" si="578"/>
        <v/>
      </c>
      <c r="CG122" s="11" t="str">
        <f t="shared" ca="1" si="579"/>
        <v/>
      </c>
      <c r="CH122" s="22" t="str">
        <f t="shared" ca="1" si="580"/>
        <v/>
      </c>
      <c r="CI122" s="22" t="str">
        <f t="shared" ca="1" si="581"/>
        <v/>
      </c>
      <c r="CK122" s="1">
        <f t="shared" ca="1" si="582"/>
        <v>0</v>
      </c>
      <c r="CL122" s="22" t="str">
        <f t="shared" ca="1" si="583"/>
        <v/>
      </c>
      <c r="CM122" s="11" t="str">
        <f t="shared" ca="1" si="584"/>
        <v/>
      </c>
      <c r="CN122" s="22" t="str">
        <f t="shared" ca="1" si="585"/>
        <v/>
      </c>
      <c r="CO122" s="22" t="str">
        <f t="shared" ca="1" si="586"/>
        <v/>
      </c>
      <c r="CP122" s="73"/>
      <c r="CQ122" s="1">
        <f t="shared" ca="1" si="587"/>
        <v>0</v>
      </c>
      <c r="CR122" s="22" t="str">
        <f t="shared" ca="1" si="588"/>
        <v/>
      </c>
      <c r="CS122" s="11" t="str">
        <f t="shared" ca="1" si="589"/>
        <v/>
      </c>
      <c r="CT122" s="22" t="str">
        <f t="shared" ca="1" si="590"/>
        <v/>
      </c>
      <c r="CU122" s="22" t="str">
        <f t="shared" ca="1" si="591"/>
        <v/>
      </c>
      <c r="CW122" s="1">
        <f t="shared" ca="1" si="592"/>
        <v>0</v>
      </c>
      <c r="CX122" s="22" t="str">
        <f t="shared" ca="1" si="593"/>
        <v/>
      </c>
      <c r="CY122" s="11" t="str">
        <f t="shared" ca="1" si="594"/>
        <v/>
      </c>
      <c r="CZ122" s="22" t="str">
        <f t="shared" ca="1" si="595"/>
        <v/>
      </c>
      <c r="DA122" s="22" t="str">
        <f t="shared" ca="1" si="596"/>
        <v/>
      </c>
      <c r="DC122" s="1">
        <f t="shared" ca="1" si="597"/>
        <v>0</v>
      </c>
      <c r="DD122" s="22" t="str">
        <f t="shared" ca="1" si="598"/>
        <v/>
      </c>
      <c r="DE122" s="11" t="str">
        <f t="shared" ca="1" si="599"/>
        <v/>
      </c>
      <c r="DF122" s="22" t="str">
        <f t="shared" ca="1" si="600"/>
        <v/>
      </c>
      <c r="DG122" s="22" t="str">
        <f t="shared" ca="1" si="601"/>
        <v/>
      </c>
      <c r="DI122" s="1">
        <f t="shared" ca="1" si="602"/>
        <v>0</v>
      </c>
      <c r="DJ122" s="22" t="str">
        <f t="shared" ca="1" si="603"/>
        <v/>
      </c>
      <c r="DK122" s="11" t="str">
        <f t="shared" ca="1" si="604"/>
        <v/>
      </c>
      <c r="DL122" s="22" t="str">
        <f t="shared" ca="1" si="605"/>
        <v/>
      </c>
      <c r="DM122" s="22" t="str">
        <f t="shared" ca="1" si="606"/>
        <v/>
      </c>
      <c r="DO122" s="1">
        <f t="shared" ca="1" si="607"/>
        <v>0</v>
      </c>
      <c r="DP122" s="22" t="str">
        <f t="shared" ca="1" si="608"/>
        <v/>
      </c>
      <c r="DQ122" s="11" t="str">
        <f t="shared" ca="1" si="609"/>
        <v/>
      </c>
      <c r="DR122" s="22" t="str">
        <f t="shared" ca="1" si="610"/>
        <v/>
      </c>
      <c r="DS122" s="22" t="str">
        <f t="shared" ca="1" si="611"/>
        <v/>
      </c>
      <c r="DU122" s="1">
        <f t="shared" ca="1" si="472"/>
        <v>0</v>
      </c>
      <c r="DV122" s="22" t="str">
        <f t="shared" ca="1" si="473"/>
        <v/>
      </c>
      <c r="DW122" s="11" t="str">
        <f t="shared" ca="1" si="474"/>
        <v/>
      </c>
      <c r="DX122" s="22" t="str">
        <f t="shared" ca="1" si="475"/>
        <v/>
      </c>
      <c r="DY122" s="22" t="str">
        <f t="shared" ca="1" si="476"/>
        <v/>
      </c>
      <c r="EA122" s="1">
        <f t="shared" ca="1" si="477"/>
        <v>0</v>
      </c>
      <c r="EB122" s="22" t="str">
        <f t="shared" ca="1" si="478"/>
        <v/>
      </c>
      <c r="EC122" s="11" t="str">
        <f t="shared" ca="1" si="479"/>
        <v/>
      </c>
      <c r="ED122" s="22" t="str">
        <f t="shared" ca="1" si="480"/>
        <v/>
      </c>
      <c r="EE122" s="22" t="str">
        <f t="shared" ca="1" si="481"/>
        <v/>
      </c>
      <c r="EG122" s="1">
        <f t="shared" ca="1" si="482"/>
        <v>0</v>
      </c>
      <c r="EH122" s="22" t="str">
        <f t="shared" ca="1" si="483"/>
        <v/>
      </c>
      <c r="EI122" s="11" t="str">
        <f t="shared" ca="1" si="484"/>
        <v/>
      </c>
      <c r="EJ122" s="22" t="str">
        <f t="shared" ca="1" si="485"/>
        <v/>
      </c>
      <c r="EK122" s="22" t="str">
        <f t="shared" ca="1" si="486"/>
        <v/>
      </c>
      <c r="EM122" s="1">
        <f t="shared" ca="1" si="487"/>
        <v>0</v>
      </c>
      <c r="EN122" s="22" t="str">
        <f t="shared" ca="1" si="488"/>
        <v/>
      </c>
      <c r="EO122" s="11" t="str">
        <f t="shared" ca="1" si="489"/>
        <v/>
      </c>
      <c r="EP122" s="22" t="str">
        <f t="shared" ca="1" si="490"/>
        <v/>
      </c>
      <c r="EQ122" s="22" t="str">
        <f t="shared" ca="1" si="491"/>
        <v/>
      </c>
      <c r="ES122" s="1">
        <f t="shared" ca="1" si="492"/>
        <v>0</v>
      </c>
      <c r="ET122" s="22" t="str">
        <f t="shared" ca="1" si="493"/>
        <v/>
      </c>
      <c r="EU122" s="11" t="str">
        <f t="shared" ca="1" si="494"/>
        <v/>
      </c>
      <c r="EV122" s="22" t="str">
        <f t="shared" ca="1" si="495"/>
        <v/>
      </c>
      <c r="EW122" s="22" t="str">
        <f t="shared" ca="1" si="496"/>
        <v/>
      </c>
      <c r="EY122" s="1">
        <f t="shared" ca="1" si="497"/>
        <v>0</v>
      </c>
      <c r="EZ122" s="22" t="str">
        <f t="shared" ca="1" si="498"/>
        <v/>
      </c>
      <c r="FA122" s="11" t="str">
        <f t="shared" ca="1" si="499"/>
        <v/>
      </c>
      <c r="FB122" s="22" t="str">
        <f t="shared" ca="1" si="500"/>
        <v/>
      </c>
      <c r="FC122" s="22" t="str">
        <f t="shared" ca="1" si="501"/>
        <v/>
      </c>
      <c r="FE122" s="1">
        <f t="shared" ca="1" si="502"/>
        <v>0</v>
      </c>
      <c r="FF122" s="22" t="str">
        <f t="shared" ca="1" si="503"/>
        <v/>
      </c>
      <c r="FG122" s="11" t="str">
        <f t="shared" ca="1" si="504"/>
        <v/>
      </c>
      <c r="FH122" s="22" t="str">
        <f t="shared" ca="1" si="505"/>
        <v/>
      </c>
      <c r="FI122" s="22" t="str">
        <f t="shared" ca="1" si="506"/>
        <v/>
      </c>
      <c r="FK122" s="1">
        <f t="shared" ca="1" si="507"/>
        <v>0</v>
      </c>
      <c r="FL122" s="22" t="str">
        <f t="shared" ca="1" si="508"/>
        <v/>
      </c>
      <c r="FM122" s="11" t="str">
        <f t="shared" ca="1" si="509"/>
        <v/>
      </c>
      <c r="FN122" s="22" t="str">
        <f t="shared" ca="1" si="510"/>
        <v/>
      </c>
      <c r="FO122" s="22" t="str">
        <f t="shared" ca="1" si="511"/>
        <v/>
      </c>
    </row>
    <row r="123" spans="5:171" x14ac:dyDescent="0.2">
      <c r="E123" s="1">
        <f t="shared" ca="1" si="512"/>
        <v>1</v>
      </c>
      <c r="F123" s="22">
        <f t="shared" ca="1" si="513"/>
        <v>18</v>
      </c>
      <c r="G123" s="11" t="str">
        <f t="shared" ca="1" si="514"/>
        <v>Nicaragua</v>
      </c>
      <c r="H123" s="22">
        <f t="shared" ca="1" si="515"/>
        <v>5</v>
      </c>
      <c r="I123" s="22">
        <f t="shared" ca="1" si="516"/>
        <v>2012</v>
      </c>
      <c r="K123" s="1">
        <f t="shared" ca="1" si="517"/>
        <v>1</v>
      </c>
      <c r="L123" s="22">
        <f t="shared" ca="1" si="518"/>
        <v>18</v>
      </c>
      <c r="M123" s="11" t="str">
        <f t="shared" ca="1" si="519"/>
        <v>Panamá</v>
      </c>
      <c r="N123" s="22">
        <f t="shared" ca="1" si="520"/>
        <v>3.6549999999999998</v>
      </c>
      <c r="O123" s="22">
        <f t="shared" ca="1" si="521"/>
        <v>2012</v>
      </c>
      <c r="Q123" s="1">
        <f t="shared" ca="1" si="522"/>
        <v>1</v>
      </c>
      <c r="R123" s="22">
        <f t="shared" ca="1" si="523"/>
        <v>18</v>
      </c>
      <c r="S123" s="11" t="str">
        <f t="shared" ca="1" si="524"/>
        <v>Costa Rica</v>
      </c>
      <c r="T123" s="22">
        <f t="shared" ca="1" si="525"/>
        <v>51100</v>
      </c>
      <c r="U123" s="22">
        <f t="shared" ca="1" si="526"/>
        <v>2012</v>
      </c>
      <c r="W123" s="1">
        <f t="shared" ca="1" si="527"/>
        <v>1</v>
      </c>
      <c r="X123" s="22">
        <f t="shared" ca="1" si="528"/>
        <v>18</v>
      </c>
      <c r="Y123" s="11" t="str">
        <f t="shared" ca="1" si="529"/>
        <v>Honduras</v>
      </c>
      <c r="Z123" s="22">
        <f t="shared" ca="1" si="530"/>
        <v>18.388000000000002</v>
      </c>
      <c r="AA123" s="22">
        <f t="shared" ca="1" si="531"/>
        <v>2012</v>
      </c>
      <c r="AC123" s="1">
        <f t="shared" ca="1" si="532"/>
        <v>1</v>
      </c>
      <c r="AD123" s="22">
        <f t="shared" ca="1" si="533"/>
        <v>18</v>
      </c>
      <c r="AE123" s="11" t="str">
        <f t="shared" ca="1" si="534"/>
        <v>Trinidad and Tobago</v>
      </c>
      <c r="AF123" s="22">
        <f t="shared" ca="1" si="535"/>
        <v>26.696999999999999</v>
      </c>
      <c r="AG123" s="22">
        <f t="shared" ca="1" si="536"/>
        <v>2012</v>
      </c>
      <c r="AI123" s="1">
        <f t="shared" ca="1" si="537"/>
        <v>1</v>
      </c>
      <c r="AJ123" s="22">
        <f t="shared" ca="1" si="538"/>
        <v>18</v>
      </c>
      <c r="AK123" s="11" t="str">
        <f t="shared" ca="1" si="539"/>
        <v>Uruguay</v>
      </c>
      <c r="AL123" s="22">
        <f t="shared" ca="1" si="540"/>
        <v>0.59451360722281898</v>
      </c>
      <c r="AM123" s="22">
        <f t="shared" ca="1" si="541"/>
        <v>2012</v>
      </c>
      <c r="AO123" s="1">
        <f t="shared" ca="1" si="542"/>
        <v>1</v>
      </c>
      <c r="AP123" s="22">
        <f t="shared" ca="1" si="543"/>
        <v>18</v>
      </c>
      <c r="AQ123" s="11" t="str">
        <f t="shared" ca="1" si="544"/>
        <v>Honduras</v>
      </c>
      <c r="AR123" s="22">
        <f t="shared" ca="1" si="545"/>
        <v>8.2199999999999995E-2</v>
      </c>
      <c r="AS123" s="22">
        <f t="shared" ca="1" si="546"/>
        <v>2012</v>
      </c>
      <c r="AU123" s="1">
        <f t="shared" ca="1" si="547"/>
        <v>1</v>
      </c>
      <c r="AV123" s="22">
        <f t="shared" ca="1" si="548"/>
        <v>18</v>
      </c>
      <c r="AW123" s="11" t="str">
        <f t="shared" ca="1" si="549"/>
        <v>El Salvador</v>
      </c>
      <c r="AX123" s="22">
        <f t="shared" ca="1" si="550"/>
        <v>5.33908839331</v>
      </c>
      <c r="AY123" s="22">
        <f t="shared" ca="1" si="551"/>
        <v>2012</v>
      </c>
      <c r="BA123" s="1">
        <f t="shared" ca="1" si="552"/>
        <v>1</v>
      </c>
      <c r="BB123" s="22">
        <f t="shared" ca="1" si="553"/>
        <v>18</v>
      </c>
      <c r="BC123" s="11" t="str">
        <f t="shared" ca="1" si="554"/>
        <v>El Salvador</v>
      </c>
      <c r="BD123" s="22">
        <f t="shared" ca="1" si="555"/>
        <v>2838803.64756</v>
      </c>
      <c r="BE123" s="22">
        <f t="shared" ca="1" si="556"/>
        <v>2012</v>
      </c>
      <c r="BG123" s="1">
        <f t="shared" ca="1" si="557"/>
        <v>1</v>
      </c>
      <c r="BH123" s="22">
        <f t="shared" ca="1" si="558"/>
        <v>18</v>
      </c>
      <c r="BI123" s="11" t="str">
        <f t="shared" ca="1" si="559"/>
        <v>Bolivia</v>
      </c>
      <c r="BJ123" s="22">
        <f t="shared" ca="1" si="560"/>
        <v>8.2590508000000007</v>
      </c>
      <c r="BK123" s="22">
        <f t="shared" ca="1" si="561"/>
        <v>2012</v>
      </c>
      <c r="BM123" s="1">
        <f t="shared" ca="1" si="562"/>
        <v>1</v>
      </c>
      <c r="BN123" s="22">
        <f t="shared" ca="1" si="563"/>
        <v>18</v>
      </c>
      <c r="BO123" s="11" t="str">
        <f t="shared" ca="1" si="564"/>
        <v>Bolivia</v>
      </c>
      <c r="BP123" s="22">
        <f t="shared" ca="1" si="565"/>
        <v>4569815.2920000004</v>
      </c>
      <c r="BQ123" s="22">
        <f t="shared" ca="1" si="566"/>
        <v>2012</v>
      </c>
      <c r="BS123" s="1">
        <f t="shared" ca="1" si="567"/>
        <v>0</v>
      </c>
      <c r="BT123" s="22" t="str">
        <f t="shared" ca="1" si="568"/>
        <v/>
      </c>
      <c r="BU123" s="11" t="str">
        <f t="shared" ca="1" si="569"/>
        <v/>
      </c>
      <c r="BV123" s="22" t="str">
        <f t="shared" ca="1" si="570"/>
        <v/>
      </c>
      <c r="BW123" s="22" t="str">
        <f t="shared" ca="1" si="571"/>
        <v/>
      </c>
      <c r="BY123" s="1">
        <f t="shared" ca="1" si="572"/>
        <v>0</v>
      </c>
      <c r="BZ123" s="22" t="str">
        <f t="shared" ca="1" si="573"/>
        <v/>
      </c>
      <c r="CA123" s="11" t="str">
        <f t="shared" ca="1" si="574"/>
        <v/>
      </c>
      <c r="CB123" s="22" t="str">
        <f t="shared" ca="1" si="575"/>
        <v/>
      </c>
      <c r="CC123" s="22" t="str">
        <f t="shared" ca="1" si="576"/>
        <v/>
      </c>
      <c r="CE123" s="1">
        <f t="shared" ca="1" si="577"/>
        <v>0</v>
      </c>
      <c r="CF123" s="22" t="str">
        <f t="shared" ca="1" si="578"/>
        <v/>
      </c>
      <c r="CG123" s="11" t="str">
        <f t="shared" ca="1" si="579"/>
        <v/>
      </c>
      <c r="CH123" s="22" t="str">
        <f t="shared" ca="1" si="580"/>
        <v/>
      </c>
      <c r="CI123" s="22" t="str">
        <f t="shared" ca="1" si="581"/>
        <v/>
      </c>
      <c r="CK123" s="1">
        <f t="shared" ca="1" si="582"/>
        <v>0</v>
      </c>
      <c r="CL123" s="22" t="str">
        <f t="shared" ca="1" si="583"/>
        <v/>
      </c>
      <c r="CM123" s="11" t="str">
        <f t="shared" ca="1" si="584"/>
        <v/>
      </c>
      <c r="CN123" s="22" t="str">
        <f t="shared" ca="1" si="585"/>
        <v/>
      </c>
      <c r="CO123" s="22" t="str">
        <f t="shared" ca="1" si="586"/>
        <v/>
      </c>
      <c r="CP123" s="73"/>
      <c r="CQ123" s="1">
        <f t="shared" ca="1" si="587"/>
        <v>0</v>
      </c>
      <c r="CR123" s="22" t="str">
        <f t="shared" ca="1" si="588"/>
        <v/>
      </c>
      <c r="CS123" s="11" t="str">
        <f t="shared" ca="1" si="589"/>
        <v/>
      </c>
      <c r="CT123" s="22" t="str">
        <f t="shared" ca="1" si="590"/>
        <v/>
      </c>
      <c r="CU123" s="22" t="str">
        <f t="shared" ca="1" si="591"/>
        <v/>
      </c>
      <c r="CW123" s="1">
        <f t="shared" ca="1" si="592"/>
        <v>0</v>
      </c>
      <c r="CX123" s="22" t="str">
        <f t="shared" ca="1" si="593"/>
        <v/>
      </c>
      <c r="CY123" s="11" t="str">
        <f t="shared" ca="1" si="594"/>
        <v/>
      </c>
      <c r="CZ123" s="22" t="str">
        <f t="shared" ca="1" si="595"/>
        <v/>
      </c>
      <c r="DA123" s="22" t="str">
        <f t="shared" ca="1" si="596"/>
        <v/>
      </c>
      <c r="DC123" s="1">
        <f t="shared" ca="1" si="597"/>
        <v>0</v>
      </c>
      <c r="DD123" s="22" t="str">
        <f t="shared" ca="1" si="598"/>
        <v/>
      </c>
      <c r="DE123" s="11" t="str">
        <f t="shared" ca="1" si="599"/>
        <v/>
      </c>
      <c r="DF123" s="22" t="str">
        <f t="shared" ca="1" si="600"/>
        <v/>
      </c>
      <c r="DG123" s="22" t="str">
        <f t="shared" ca="1" si="601"/>
        <v/>
      </c>
      <c r="DI123" s="1">
        <f t="shared" ca="1" si="602"/>
        <v>0</v>
      </c>
      <c r="DJ123" s="22" t="str">
        <f t="shared" ca="1" si="603"/>
        <v/>
      </c>
      <c r="DK123" s="11" t="str">
        <f t="shared" ca="1" si="604"/>
        <v/>
      </c>
      <c r="DL123" s="22" t="str">
        <f t="shared" ca="1" si="605"/>
        <v/>
      </c>
      <c r="DM123" s="22" t="str">
        <f t="shared" ca="1" si="606"/>
        <v/>
      </c>
      <c r="DO123" s="1">
        <f t="shared" ca="1" si="607"/>
        <v>0</v>
      </c>
      <c r="DP123" s="22" t="str">
        <f t="shared" ca="1" si="608"/>
        <v/>
      </c>
      <c r="DQ123" s="11" t="str">
        <f t="shared" ca="1" si="609"/>
        <v/>
      </c>
      <c r="DR123" s="22" t="str">
        <f t="shared" ca="1" si="610"/>
        <v/>
      </c>
      <c r="DS123" s="22" t="str">
        <f t="shared" ca="1" si="611"/>
        <v/>
      </c>
      <c r="DU123" s="1">
        <f t="shared" ca="1" si="472"/>
        <v>0</v>
      </c>
      <c r="DV123" s="22" t="str">
        <f t="shared" ca="1" si="473"/>
        <v/>
      </c>
      <c r="DW123" s="11" t="str">
        <f t="shared" ca="1" si="474"/>
        <v/>
      </c>
      <c r="DX123" s="22" t="str">
        <f t="shared" ca="1" si="475"/>
        <v/>
      </c>
      <c r="DY123" s="22" t="str">
        <f t="shared" ca="1" si="476"/>
        <v/>
      </c>
      <c r="EA123" s="1">
        <f t="shared" ca="1" si="477"/>
        <v>0</v>
      </c>
      <c r="EB123" s="22" t="str">
        <f t="shared" ca="1" si="478"/>
        <v/>
      </c>
      <c r="EC123" s="11" t="str">
        <f t="shared" ca="1" si="479"/>
        <v/>
      </c>
      <c r="ED123" s="22" t="str">
        <f t="shared" ca="1" si="480"/>
        <v/>
      </c>
      <c r="EE123" s="22" t="str">
        <f t="shared" ca="1" si="481"/>
        <v/>
      </c>
      <c r="EG123" s="1">
        <f t="shared" ca="1" si="482"/>
        <v>0</v>
      </c>
      <c r="EH123" s="22" t="str">
        <f t="shared" ca="1" si="483"/>
        <v/>
      </c>
      <c r="EI123" s="11" t="str">
        <f t="shared" ca="1" si="484"/>
        <v/>
      </c>
      <c r="EJ123" s="22" t="str">
        <f t="shared" ca="1" si="485"/>
        <v/>
      </c>
      <c r="EK123" s="22" t="str">
        <f t="shared" ca="1" si="486"/>
        <v/>
      </c>
      <c r="EM123" s="1">
        <f t="shared" ca="1" si="487"/>
        <v>0</v>
      </c>
      <c r="EN123" s="22" t="str">
        <f t="shared" ca="1" si="488"/>
        <v/>
      </c>
      <c r="EO123" s="11" t="str">
        <f t="shared" ca="1" si="489"/>
        <v/>
      </c>
      <c r="EP123" s="22" t="str">
        <f t="shared" ca="1" si="490"/>
        <v/>
      </c>
      <c r="EQ123" s="22" t="str">
        <f t="shared" ca="1" si="491"/>
        <v/>
      </c>
      <c r="ES123" s="1">
        <f t="shared" ca="1" si="492"/>
        <v>0</v>
      </c>
      <c r="ET123" s="22" t="str">
        <f t="shared" ca="1" si="493"/>
        <v/>
      </c>
      <c r="EU123" s="11" t="str">
        <f t="shared" ca="1" si="494"/>
        <v/>
      </c>
      <c r="EV123" s="22" t="str">
        <f t="shared" ca="1" si="495"/>
        <v/>
      </c>
      <c r="EW123" s="22" t="str">
        <f t="shared" ca="1" si="496"/>
        <v/>
      </c>
      <c r="EY123" s="1">
        <f t="shared" ca="1" si="497"/>
        <v>0</v>
      </c>
      <c r="EZ123" s="22" t="str">
        <f t="shared" ca="1" si="498"/>
        <v/>
      </c>
      <c r="FA123" s="11" t="str">
        <f t="shared" ca="1" si="499"/>
        <v/>
      </c>
      <c r="FB123" s="22" t="str">
        <f t="shared" ca="1" si="500"/>
        <v/>
      </c>
      <c r="FC123" s="22" t="str">
        <f t="shared" ca="1" si="501"/>
        <v/>
      </c>
      <c r="FE123" s="1">
        <f t="shared" ca="1" si="502"/>
        <v>0</v>
      </c>
      <c r="FF123" s="22" t="str">
        <f t="shared" ca="1" si="503"/>
        <v/>
      </c>
      <c r="FG123" s="11" t="str">
        <f t="shared" ca="1" si="504"/>
        <v/>
      </c>
      <c r="FH123" s="22" t="str">
        <f t="shared" ca="1" si="505"/>
        <v/>
      </c>
      <c r="FI123" s="22" t="str">
        <f t="shared" ca="1" si="506"/>
        <v/>
      </c>
      <c r="FK123" s="1">
        <f t="shared" ca="1" si="507"/>
        <v>0</v>
      </c>
      <c r="FL123" s="22" t="str">
        <f t="shared" ca="1" si="508"/>
        <v/>
      </c>
      <c r="FM123" s="11" t="str">
        <f t="shared" ca="1" si="509"/>
        <v/>
      </c>
      <c r="FN123" s="22" t="str">
        <f t="shared" ca="1" si="510"/>
        <v/>
      </c>
      <c r="FO123" s="22" t="str">
        <f t="shared" ca="1" si="511"/>
        <v/>
      </c>
    </row>
    <row r="124" spans="5:171" x14ac:dyDescent="0.2">
      <c r="E124" s="1">
        <f t="shared" ca="1" si="512"/>
        <v>1</v>
      </c>
      <c r="F124" s="22">
        <f t="shared" ca="1" si="513"/>
        <v>19</v>
      </c>
      <c r="G124" s="11" t="str">
        <f t="shared" ca="1" si="514"/>
        <v>Brasil</v>
      </c>
      <c r="H124" s="22">
        <f t="shared" ca="1" si="515"/>
        <v>4.5281547327290106</v>
      </c>
      <c r="I124" s="22">
        <f t="shared" ca="1" si="516"/>
        <v>2012</v>
      </c>
      <c r="K124" s="1">
        <f t="shared" ca="1" si="517"/>
        <v>1</v>
      </c>
      <c r="L124" s="22">
        <f t="shared" ca="1" si="518"/>
        <v>19</v>
      </c>
      <c r="M124" s="11" t="str">
        <f t="shared" ca="1" si="519"/>
        <v>Uruguay</v>
      </c>
      <c r="N124" s="22">
        <f t="shared" ca="1" si="520"/>
        <v>3.3809999999999998</v>
      </c>
      <c r="O124" s="22">
        <f t="shared" ca="1" si="521"/>
        <v>2012</v>
      </c>
      <c r="Q124" s="1">
        <f t="shared" ca="1" si="522"/>
        <v>1</v>
      </c>
      <c r="R124" s="22">
        <f t="shared" ca="1" si="523"/>
        <v>19</v>
      </c>
      <c r="S124" s="11" t="str">
        <f t="shared" ca="1" si="524"/>
        <v>Dominican Republic</v>
      </c>
      <c r="T124" s="22">
        <f t="shared" ca="1" si="525"/>
        <v>48670</v>
      </c>
      <c r="U124" s="22">
        <f t="shared" ca="1" si="526"/>
        <v>2012</v>
      </c>
      <c r="W124" s="1">
        <f t="shared" ca="1" si="527"/>
        <v>1</v>
      </c>
      <c r="X124" s="22">
        <f t="shared" ca="1" si="528"/>
        <v>19</v>
      </c>
      <c r="Y124" s="11" t="str">
        <f t="shared" ca="1" si="529"/>
        <v>Jamaica</v>
      </c>
      <c r="Z124" s="22">
        <f t="shared" ca="1" si="530"/>
        <v>15.262</v>
      </c>
      <c r="AA124" s="22">
        <f t="shared" ca="1" si="531"/>
        <v>2012</v>
      </c>
      <c r="AC124" s="1">
        <f t="shared" ca="1" si="532"/>
        <v>1</v>
      </c>
      <c r="AD124" s="22">
        <f t="shared" ca="1" si="533"/>
        <v>19</v>
      </c>
      <c r="AE124" s="11" t="str">
        <f t="shared" ca="1" si="534"/>
        <v>Nicaragua</v>
      </c>
      <c r="AF124" s="22">
        <f t="shared" ca="1" si="535"/>
        <v>26.666</v>
      </c>
      <c r="AG124" s="22">
        <f t="shared" ca="1" si="536"/>
        <v>2012</v>
      </c>
      <c r="AI124" s="1">
        <f t="shared" ca="1" si="537"/>
        <v>1</v>
      </c>
      <c r="AJ124" s="22">
        <f t="shared" ca="1" si="538"/>
        <v>19</v>
      </c>
      <c r="AK124" s="11" t="str">
        <f t="shared" ca="1" si="539"/>
        <v>El Salvador</v>
      </c>
      <c r="AL124" s="22">
        <f t="shared" ca="1" si="540"/>
        <v>0.53259999999999996</v>
      </c>
      <c r="AM124" s="22">
        <f t="shared" ca="1" si="541"/>
        <v>2012</v>
      </c>
      <c r="AO124" s="1">
        <f t="shared" ca="1" si="542"/>
        <v>1</v>
      </c>
      <c r="AP124" s="22">
        <f t="shared" ca="1" si="543"/>
        <v>19</v>
      </c>
      <c r="AQ124" s="11" t="str">
        <f t="shared" ca="1" si="544"/>
        <v>Bolivia</v>
      </c>
      <c r="AR124" s="22">
        <f t="shared" ca="1" si="545"/>
        <v>7.0767499999999997E-2</v>
      </c>
      <c r="AS124" s="22">
        <f t="shared" ca="1" si="546"/>
        <v>2012</v>
      </c>
      <c r="AU124" s="1">
        <f t="shared" ca="1" si="547"/>
        <v>1</v>
      </c>
      <c r="AV124" s="22">
        <f t="shared" ca="1" si="548"/>
        <v>19</v>
      </c>
      <c r="AW124" s="11" t="str">
        <f t="shared" ca="1" si="549"/>
        <v>Nicaragua</v>
      </c>
      <c r="AX124" s="22">
        <f t="shared" ca="1" si="550"/>
        <v>4.2699411999999999</v>
      </c>
      <c r="AY124" s="22">
        <f t="shared" ca="1" si="551"/>
        <v>2012</v>
      </c>
      <c r="BA124" s="1">
        <f t="shared" ca="1" si="552"/>
        <v>1</v>
      </c>
      <c r="BB124" s="22">
        <f t="shared" ca="1" si="553"/>
        <v>19</v>
      </c>
      <c r="BC124" s="11" t="str">
        <f t="shared" ca="1" si="554"/>
        <v>Bahamas</v>
      </c>
      <c r="BD124" s="22">
        <f t="shared" ca="1" si="555"/>
        <v>2795797.8879999998</v>
      </c>
      <c r="BE124" s="22">
        <f t="shared" ca="1" si="556"/>
        <v>2012</v>
      </c>
      <c r="BG124" s="1">
        <f t="shared" ca="1" si="557"/>
        <v>1</v>
      </c>
      <c r="BH124" s="22">
        <f t="shared" ca="1" si="558"/>
        <v>19</v>
      </c>
      <c r="BI124" s="11" t="str">
        <f t="shared" ca="1" si="559"/>
        <v>Nicaragua</v>
      </c>
      <c r="BJ124" s="22">
        <f t="shared" ca="1" si="560"/>
        <v>6.5632222999999996</v>
      </c>
      <c r="BK124" s="22">
        <f t="shared" ca="1" si="561"/>
        <v>2012</v>
      </c>
      <c r="BM124" s="1">
        <f t="shared" ca="1" si="562"/>
        <v>1</v>
      </c>
      <c r="BN124" s="22">
        <f t="shared" ca="1" si="563"/>
        <v>19</v>
      </c>
      <c r="BO124" s="11" t="str">
        <f t="shared" ca="1" si="564"/>
        <v>Nicaragua</v>
      </c>
      <c r="BP124" s="22">
        <f t="shared" ca="1" si="565"/>
        <v>4246163.4800000004</v>
      </c>
      <c r="BQ124" s="22">
        <f t="shared" ca="1" si="566"/>
        <v>2012</v>
      </c>
      <c r="BS124" s="1">
        <f t="shared" ca="1" si="567"/>
        <v>0</v>
      </c>
      <c r="BT124" s="22" t="str">
        <f t="shared" ca="1" si="568"/>
        <v/>
      </c>
      <c r="BU124" s="11" t="str">
        <f t="shared" ca="1" si="569"/>
        <v/>
      </c>
      <c r="BV124" s="22" t="str">
        <f t="shared" ca="1" si="570"/>
        <v/>
      </c>
      <c r="BW124" s="22" t="str">
        <f t="shared" ca="1" si="571"/>
        <v/>
      </c>
      <c r="BY124" s="1">
        <f t="shared" ca="1" si="572"/>
        <v>0</v>
      </c>
      <c r="BZ124" s="22" t="str">
        <f t="shared" ca="1" si="573"/>
        <v/>
      </c>
      <c r="CA124" s="11" t="str">
        <f t="shared" ca="1" si="574"/>
        <v/>
      </c>
      <c r="CB124" s="22" t="str">
        <f t="shared" ca="1" si="575"/>
        <v/>
      </c>
      <c r="CC124" s="22" t="str">
        <f t="shared" ca="1" si="576"/>
        <v/>
      </c>
      <c r="CE124" s="1">
        <f t="shared" ca="1" si="577"/>
        <v>0</v>
      </c>
      <c r="CF124" s="22" t="str">
        <f t="shared" ca="1" si="578"/>
        <v/>
      </c>
      <c r="CG124" s="11" t="str">
        <f t="shared" ca="1" si="579"/>
        <v/>
      </c>
      <c r="CH124" s="22" t="str">
        <f t="shared" ca="1" si="580"/>
        <v/>
      </c>
      <c r="CI124" s="22" t="str">
        <f t="shared" ca="1" si="581"/>
        <v/>
      </c>
      <c r="CK124" s="1">
        <f t="shared" ca="1" si="582"/>
        <v>0</v>
      </c>
      <c r="CL124" s="22" t="str">
        <f t="shared" ca="1" si="583"/>
        <v/>
      </c>
      <c r="CM124" s="11" t="str">
        <f t="shared" ca="1" si="584"/>
        <v/>
      </c>
      <c r="CN124" s="22" t="str">
        <f t="shared" ca="1" si="585"/>
        <v/>
      </c>
      <c r="CO124" s="22" t="str">
        <f t="shared" ca="1" si="586"/>
        <v/>
      </c>
      <c r="CP124" s="73"/>
      <c r="CQ124" s="1">
        <f t="shared" ca="1" si="587"/>
        <v>0</v>
      </c>
      <c r="CR124" s="22" t="str">
        <f t="shared" ca="1" si="588"/>
        <v/>
      </c>
      <c r="CS124" s="11" t="str">
        <f t="shared" ca="1" si="589"/>
        <v/>
      </c>
      <c r="CT124" s="22" t="str">
        <f t="shared" ca="1" si="590"/>
        <v/>
      </c>
      <c r="CU124" s="22" t="str">
        <f t="shared" ca="1" si="591"/>
        <v/>
      </c>
      <c r="CW124" s="1">
        <f t="shared" ca="1" si="592"/>
        <v>0</v>
      </c>
      <c r="CX124" s="22" t="str">
        <f t="shared" ca="1" si="593"/>
        <v/>
      </c>
      <c r="CY124" s="11" t="str">
        <f t="shared" ca="1" si="594"/>
        <v/>
      </c>
      <c r="CZ124" s="22" t="str">
        <f t="shared" ca="1" si="595"/>
        <v/>
      </c>
      <c r="DA124" s="22" t="str">
        <f t="shared" ca="1" si="596"/>
        <v/>
      </c>
      <c r="DC124" s="1">
        <f t="shared" ca="1" si="597"/>
        <v>0</v>
      </c>
      <c r="DD124" s="22" t="str">
        <f t="shared" ca="1" si="598"/>
        <v/>
      </c>
      <c r="DE124" s="11" t="str">
        <f t="shared" ca="1" si="599"/>
        <v/>
      </c>
      <c r="DF124" s="22" t="str">
        <f t="shared" ca="1" si="600"/>
        <v/>
      </c>
      <c r="DG124" s="22" t="str">
        <f t="shared" ca="1" si="601"/>
        <v/>
      </c>
      <c r="DI124" s="1">
        <f t="shared" ca="1" si="602"/>
        <v>0</v>
      </c>
      <c r="DJ124" s="22" t="str">
        <f t="shared" ca="1" si="603"/>
        <v/>
      </c>
      <c r="DK124" s="11" t="str">
        <f t="shared" ca="1" si="604"/>
        <v/>
      </c>
      <c r="DL124" s="22" t="str">
        <f t="shared" ca="1" si="605"/>
        <v/>
      </c>
      <c r="DM124" s="22" t="str">
        <f t="shared" ca="1" si="606"/>
        <v/>
      </c>
      <c r="DO124" s="1">
        <f t="shared" ca="1" si="607"/>
        <v>0</v>
      </c>
      <c r="DP124" s="22" t="str">
        <f t="shared" ca="1" si="608"/>
        <v/>
      </c>
      <c r="DQ124" s="11" t="str">
        <f t="shared" ca="1" si="609"/>
        <v/>
      </c>
      <c r="DR124" s="22" t="str">
        <f t="shared" ca="1" si="610"/>
        <v/>
      </c>
      <c r="DS124" s="22" t="str">
        <f t="shared" ca="1" si="611"/>
        <v/>
      </c>
      <c r="DU124" s="1">
        <f t="shared" ca="1" si="472"/>
        <v>0</v>
      </c>
      <c r="DV124" s="22" t="str">
        <f t="shared" ca="1" si="473"/>
        <v/>
      </c>
      <c r="DW124" s="11" t="str">
        <f t="shared" ca="1" si="474"/>
        <v/>
      </c>
      <c r="DX124" s="22" t="str">
        <f t="shared" ca="1" si="475"/>
        <v/>
      </c>
      <c r="DY124" s="22" t="str">
        <f t="shared" ca="1" si="476"/>
        <v/>
      </c>
      <c r="EA124" s="1">
        <f t="shared" ca="1" si="477"/>
        <v>0</v>
      </c>
      <c r="EB124" s="22" t="str">
        <f t="shared" ca="1" si="478"/>
        <v/>
      </c>
      <c r="EC124" s="11" t="str">
        <f t="shared" ca="1" si="479"/>
        <v/>
      </c>
      <c r="ED124" s="22" t="str">
        <f t="shared" ca="1" si="480"/>
        <v/>
      </c>
      <c r="EE124" s="22" t="str">
        <f t="shared" ca="1" si="481"/>
        <v/>
      </c>
      <c r="EG124" s="1">
        <f t="shared" ca="1" si="482"/>
        <v>0</v>
      </c>
      <c r="EH124" s="22" t="str">
        <f t="shared" ca="1" si="483"/>
        <v/>
      </c>
      <c r="EI124" s="11" t="str">
        <f t="shared" ca="1" si="484"/>
        <v/>
      </c>
      <c r="EJ124" s="22" t="str">
        <f t="shared" ca="1" si="485"/>
        <v/>
      </c>
      <c r="EK124" s="22" t="str">
        <f t="shared" ca="1" si="486"/>
        <v/>
      </c>
      <c r="EM124" s="1">
        <f t="shared" ca="1" si="487"/>
        <v>0</v>
      </c>
      <c r="EN124" s="22" t="str">
        <f t="shared" ca="1" si="488"/>
        <v/>
      </c>
      <c r="EO124" s="11" t="str">
        <f t="shared" ca="1" si="489"/>
        <v/>
      </c>
      <c r="EP124" s="22" t="str">
        <f t="shared" ca="1" si="490"/>
        <v/>
      </c>
      <c r="EQ124" s="22" t="str">
        <f t="shared" ca="1" si="491"/>
        <v/>
      </c>
      <c r="ES124" s="1">
        <f t="shared" ca="1" si="492"/>
        <v>0</v>
      </c>
      <c r="ET124" s="22" t="str">
        <f t="shared" ca="1" si="493"/>
        <v/>
      </c>
      <c r="EU124" s="11" t="str">
        <f t="shared" ca="1" si="494"/>
        <v/>
      </c>
      <c r="EV124" s="22" t="str">
        <f t="shared" ca="1" si="495"/>
        <v/>
      </c>
      <c r="EW124" s="22" t="str">
        <f t="shared" ca="1" si="496"/>
        <v/>
      </c>
      <c r="EY124" s="1">
        <f t="shared" ca="1" si="497"/>
        <v>0</v>
      </c>
      <c r="EZ124" s="22" t="str">
        <f t="shared" ca="1" si="498"/>
        <v/>
      </c>
      <c r="FA124" s="11" t="str">
        <f t="shared" ca="1" si="499"/>
        <v/>
      </c>
      <c r="FB124" s="22" t="str">
        <f t="shared" ca="1" si="500"/>
        <v/>
      </c>
      <c r="FC124" s="22" t="str">
        <f t="shared" ca="1" si="501"/>
        <v/>
      </c>
      <c r="FE124" s="1">
        <f t="shared" ca="1" si="502"/>
        <v>0</v>
      </c>
      <c r="FF124" s="22" t="str">
        <f t="shared" ca="1" si="503"/>
        <v/>
      </c>
      <c r="FG124" s="11" t="str">
        <f t="shared" ca="1" si="504"/>
        <v/>
      </c>
      <c r="FH124" s="22" t="str">
        <f t="shared" ca="1" si="505"/>
        <v/>
      </c>
      <c r="FI124" s="22" t="str">
        <f t="shared" ca="1" si="506"/>
        <v/>
      </c>
      <c r="FK124" s="1">
        <f t="shared" ca="1" si="507"/>
        <v>0</v>
      </c>
      <c r="FL124" s="22" t="str">
        <f t="shared" ca="1" si="508"/>
        <v/>
      </c>
      <c r="FM124" s="11" t="str">
        <f t="shared" ca="1" si="509"/>
        <v/>
      </c>
      <c r="FN124" s="22" t="str">
        <f t="shared" ca="1" si="510"/>
        <v/>
      </c>
      <c r="FO124" s="22" t="str">
        <f t="shared" ca="1" si="511"/>
        <v/>
      </c>
    </row>
    <row r="125" spans="5:171" x14ac:dyDescent="0.2">
      <c r="E125" s="1">
        <f t="shared" ca="1" si="512"/>
        <v>1</v>
      </c>
      <c r="F125" s="22">
        <f t="shared" ca="1" si="513"/>
        <v>20</v>
      </c>
      <c r="G125" s="11" t="str">
        <f t="shared" ca="1" si="514"/>
        <v>Uruguay</v>
      </c>
      <c r="H125" s="22">
        <f t="shared" ca="1" si="515"/>
        <v>4.3444985270182999</v>
      </c>
      <c r="I125" s="22">
        <f t="shared" ca="1" si="516"/>
        <v>2012</v>
      </c>
      <c r="K125" s="1">
        <f t="shared" ca="1" si="517"/>
        <v>1</v>
      </c>
      <c r="L125" s="22">
        <f t="shared" ca="1" si="518"/>
        <v>20</v>
      </c>
      <c r="M125" s="11" t="str">
        <f t="shared" ca="1" si="519"/>
        <v>Jamaica</v>
      </c>
      <c r="N125" s="22">
        <f t="shared" ca="1" si="520"/>
        <v>2.7114760000000002</v>
      </c>
      <c r="O125" s="22">
        <f t="shared" ca="1" si="521"/>
        <v>2012</v>
      </c>
      <c r="Q125" s="1">
        <f t="shared" ca="1" si="522"/>
        <v>1</v>
      </c>
      <c r="R125" s="22">
        <f t="shared" ca="1" si="523"/>
        <v>20</v>
      </c>
      <c r="S125" s="11" t="str">
        <f t="shared" ca="1" si="524"/>
        <v>Haiti</v>
      </c>
      <c r="T125" s="22">
        <f t="shared" ca="1" si="525"/>
        <v>27750</v>
      </c>
      <c r="U125" s="22">
        <f t="shared" ca="1" si="526"/>
        <v>2012</v>
      </c>
      <c r="W125" s="1">
        <f t="shared" ca="1" si="527"/>
        <v>1</v>
      </c>
      <c r="X125" s="22">
        <f t="shared" ca="1" si="528"/>
        <v>20</v>
      </c>
      <c r="Y125" s="11" t="str">
        <f t="shared" ca="1" si="529"/>
        <v>Nicaragua</v>
      </c>
      <c r="Z125" s="22">
        <f t="shared" ca="1" si="530"/>
        <v>10.506</v>
      </c>
      <c r="AA125" s="22">
        <f t="shared" ca="1" si="531"/>
        <v>2012</v>
      </c>
      <c r="AC125" s="1">
        <f t="shared" ca="1" si="532"/>
        <v>1</v>
      </c>
      <c r="AD125" s="22">
        <f t="shared" ca="1" si="533"/>
        <v>20</v>
      </c>
      <c r="AE125" s="11" t="str">
        <f t="shared" ca="1" si="534"/>
        <v>Jamaica</v>
      </c>
      <c r="AF125" s="22">
        <f t="shared" ca="1" si="535"/>
        <v>25.184000000000001</v>
      </c>
      <c r="AG125" s="22">
        <f t="shared" ca="1" si="536"/>
        <v>2012</v>
      </c>
      <c r="AI125" s="1">
        <f t="shared" ca="1" si="537"/>
        <v>1</v>
      </c>
      <c r="AJ125" s="22">
        <f t="shared" ca="1" si="538"/>
        <v>20</v>
      </c>
      <c r="AK125" s="11" t="str">
        <f t="shared" ca="1" si="539"/>
        <v>Nicaragua</v>
      </c>
      <c r="AL125" s="22">
        <f t="shared" ca="1" si="540"/>
        <v>0.39829999999999999</v>
      </c>
      <c r="AM125" s="22">
        <f t="shared" ca="1" si="541"/>
        <v>2012</v>
      </c>
      <c r="AO125" s="1">
        <f t="shared" ca="1" si="542"/>
        <v>1</v>
      </c>
      <c r="AP125" s="22">
        <f t="shared" ca="1" si="543"/>
        <v>20</v>
      </c>
      <c r="AQ125" s="11" t="str">
        <f t="shared" ca="1" si="544"/>
        <v>Nicaragua</v>
      </c>
      <c r="AR125" s="22">
        <f t="shared" ca="1" si="545"/>
        <v>5.2900000000000003E-2</v>
      </c>
      <c r="AS125" s="22">
        <f t="shared" ca="1" si="546"/>
        <v>2012</v>
      </c>
      <c r="AU125" s="1">
        <f t="shared" ca="1" si="547"/>
        <v>1</v>
      </c>
      <c r="AV125" s="22">
        <f t="shared" ca="1" si="548"/>
        <v>20</v>
      </c>
      <c r="AW125" s="11" t="str">
        <f t="shared" ca="1" si="549"/>
        <v>Suriname</v>
      </c>
      <c r="AX125" s="22">
        <f t="shared" ca="1" si="550"/>
        <v>2.0964399999999999</v>
      </c>
      <c r="AY125" s="22">
        <f t="shared" ca="1" si="551"/>
        <v>2012</v>
      </c>
      <c r="BA125" s="1">
        <f t="shared" ca="1" si="552"/>
        <v>1</v>
      </c>
      <c r="BB125" s="22">
        <f t="shared" ca="1" si="553"/>
        <v>20</v>
      </c>
      <c r="BC125" s="11" t="str">
        <f t="shared" ca="1" si="554"/>
        <v>Panamá</v>
      </c>
      <c r="BD125" s="22">
        <f t="shared" ca="1" si="555"/>
        <v>2365909.659</v>
      </c>
      <c r="BE125" s="22">
        <f t="shared" ca="1" si="556"/>
        <v>2012</v>
      </c>
      <c r="BG125" s="1">
        <f t="shared" ca="1" si="557"/>
        <v>1</v>
      </c>
      <c r="BH125" s="22">
        <f t="shared" ca="1" si="558"/>
        <v>20</v>
      </c>
      <c r="BI125" s="11" t="str">
        <f t="shared" ca="1" si="559"/>
        <v>Jamaica</v>
      </c>
      <c r="BJ125" s="22">
        <f t="shared" ca="1" si="560"/>
        <v>5.6</v>
      </c>
      <c r="BK125" s="22">
        <f t="shared" ca="1" si="561"/>
        <v>2012</v>
      </c>
      <c r="BM125" s="1">
        <f t="shared" ca="1" si="562"/>
        <v>1</v>
      </c>
      <c r="BN125" s="22">
        <f t="shared" ca="1" si="563"/>
        <v>20</v>
      </c>
      <c r="BO125" s="11" t="str">
        <f t="shared" ca="1" si="564"/>
        <v>Suriname</v>
      </c>
      <c r="BP125" s="22">
        <f t="shared" ca="1" si="565"/>
        <v>2842770.2149999999</v>
      </c>
      <c r="BQ125" s="22">
        <f t="shared" ca="1" si="566"/>
        <v>2012</v>
      </c>
      <c r="BS125" s="1">
        <f t="shared" ca="1" si="567"/>
        <v>0</v>
      </c>
      <c r="BT125" s="22" t="str">
        <f t="shared" ca="1" si="568"/>
        <v/>
      </c>
      <c r="BU125" s="11" t="str">
        <f t="shared" ca="1" si="569"/>
        <v/>
      </c>
      <c r="BV125" s="22" t="str">
        <f t="shared" ca="1" si="570"/>
        <v/>
      </c>
      <c r="BW125" s="22" t="str">
        <f t="shared" ca="1" si="571"/>
        <v/>
      </c>
      <c r="BY125" s="1">
        <f t="shared" ca="1" si="572"/>
        <v>0</v>
      </c>
      <c r="BZ125" s="22" t="str">
        <f t="shared" ca="1" si="573"/>
        <v/>
      </c>
      <c r="CA125" s="11" t="str">
        <f t="shared" ca="1" si="574"/>
        <v/>
      </c>
      <c r="CB125" s="22" t="str">
        <f t="shared" ca="1" si="575"/>
        <v/>
      </c>
      <c r="CC125" s="22" t="str">
        <f t="shared" ca="1" si="576"/>
        <v/>
      </c>
      <c r="CE125" s="1">
        <f t="shared" ca="1" si="577"/>
        <v>0</v>
      </c>
      <c r="CF125" s="22" t="str">
        <f t="shared" ca="1" si="578"/>
        <v/>
      </c>
      <c r="CG125" s="11" t="str">
        <f t="shared" ca="1" si="579"/>
        <v/>
      </c>
      <c r="CH125" s="22" t="str">
        <f t="shared" ca="1" si="580"/>
        <v/>
      </c>
      <c r="CI125" s="22" t="str">
        <f t="shared" ca="1" si="581"/>
        <v/>
      </c>
      <c r="CK125" s="1">
        <f t="shared" ca="1" si="582"/>
        <v>0</v>
      </c>
      <c r="CL125" s="22" t="str">
        <f t="shared" ca="1" si="583"/>
        <v/>
      </c>
      <c r="CM125" s="11" t="str">
        <f t="shared" ca="1" si="584"/>
        <v/>
      </c>
      <c r="CN125" s="22" t="str">
        <f t="shared" ca="1" si="585"/>
        <v/>
      </c>
      <c r="CO125" s="22" t="str">
        <f t="shared" ca="1" si="586"/>
        <v/>
      </c>
      <c r="CP125" s="73"/>
      <c r="CQ125" s="1">
        <f t="shared" ca="1" si="587"/>
        <v>0</v>
      </c>
      <c r="CR125" s="22" t="str">
        <f t="shared" ca="1" si="588"/>
        <v/>
      </c>
      <c r="CS125" s="11" t="str">
        <f t="shared" ca="1" si="589"/>
        <v/>
      </c>
      <c r="CT125" s="22" t="str">
        <f t="shared" ca="1" si="590"/>
        <v/>
      </c>
      <c r="CU125" s="22" t="str">
        <f t="shared" ca="1" si="591"/>
        <v/>
      </c>
      <c r="CW125" s="1">
        <f t="shared" ca="1" si="592"/>
        <v>0</v>
      </c>
      <c r="CX125" s="22" t="str">
        <f t="shared" ca="1" si="593"/>
        <v/>
      </c>
      <c r="CY125" s="11" t="str">
        <f t="shared" ca="1" si="594"/>
        <v/>
      </c>
      <c r="CZ125" s="22" t="str">
        <f t="shared" ca="1" si="595"/>
        <v/>
      </c>
      <c r="DA125" s="22" t="str">
        <f t="shared" ca="1" si="596"/>
        <v/>
      </c>
      <c r="DC125" s="1">
        <f t="shared" ca="1" si="597"/>
        <v>0</v>
      </c>
      <c r="DD125" s="22" t="str">
        <f t="shared" ca="1" si="598"/>
        <v/>
      </c>
      <c r="DE125" s="11" t="str">
        <f t="shared" ca="1" si="599"/>
        <v/>
      </c>
      <c r="DF125" s="22" t="str">
        <f t="shared" ca="1" si="600"/>
        <v/>
      </c>
      <c r="DG125" s="22" t="str">
        <f t="shared" ca="1" si="601"/>
        <v/>
      </c>
      <c r="DI125" s="1">
        <f t="shared" ca="1" si="602"/>
        <v>0</v>
      </c>
      <c r="DJ125" s="22" t="str">
        <f t="shared" ca="1" si="603"/>
        <v/>
      </c>
      <c r="DK125" s="11" t="str">
        <f t="shared" ca="1" si="604"/>
        <v/>
      </c>
      <c r="DL125" s="22" t="str">
        <f t="shared" ca="1" si="605"/>
        <v/>
      </c>
      <c r="DM125" s="22" t="str">
        <f t="shared" ca="1" si="606"/>
        <v/>
      </c>
      <c r="DO125" s="1">
        <f t="shared" ca="1" si="607"/>
        <v>0</v>
      </c>
      <c r="DP125" s="22" t="str">
        <f t="shared" ca="1" si="608"/>
        <v/>
      </c>
      <c r="DQ125" s="11" t="str">
        <f t="shared" ca="1" si="609"/>
        <v/>
      </c>
      <c r="DR125" s="22" t="str">
        <f t="shared" ca="1" si="610"/>
        <v/>
      </c>
      <c r="DS125" s="22" t="str">
        <f t="shared" ca="1" si="611"/>
        <v/>
      </c>
      <c r="DU125" s="1">
        <f t="shared" ca="1" si="472"/>
        <v>0</v>
      </c>
      <c r="DV125" s="22" t="str">
        <f t="shared" ca="1" si="473"/>
        <v/>
      </c>
      <c r="DW125" s="11" t="str">
        <f t="shared" ca="1" si="474"/>
        <v/>
      </c>
      <c r="DX125" s="22" t="str">
        <f t="shared" ca="1" si="475"/>
        <v/>
      </c>
      <c r="DY125" s="22" t="str">
        <f t="shared" ca="1" si="476"/>
        <v/>
      </c>
      <c r="EA125" s="1">
        <f t="shared" ca="1" si="477"/>
        <v>0</v>
      </c>
      <c r="EB125" s="22" t="str">
        <f t="shared" ca="1" si="478"/>
        <v/>
      </c>
      <c r="EC125" s="11" t="str">
        <f t="shared" ca="1" si="479"/>
        <v/>
      </c>
      <c r="ED125" s="22" t="str">
        <f t="shared" ca="1" si="480"/>
        <v/>
      </c>
      <c r="EE125" s="22" t="str">
        <f t="shared" ca="1" si="481"/>
        <v/>
      </c>
      <c r="EG125" s="1">
        <f t="shared" ca="1" si="482"/>
        <v>0</v>
      </c>
      <c r="EH125" s="22" t="str">
        <f t="shared" ca="1" si="483"/>
        <v/>
      </c>
      <c r="EI125" s="11" t="str">
        <f t="shared" ca="1" si="484"/>
        <v/>
      </c>
      <c r="EJ125" s="22" t="str">
        <f t="shared" ca="1" si="485"/>
        <v/>
      </c>
      <c r="EK125" s="22" t="str">
        <f t="shared" ca="1" si="486"/>
        <v/>
      </c>
      <c r="EM125" s="1">
        <f t="shared" ca="1" si="487"/>
        <v>0</v>
      </c>
      <c r="EN125" s="22" t="str">
        <f t="shared" ca="1" si="488"/>
        <v/>
      </c>
      <c r="EO125" s="11" t="str">
        <f t="shared" ca="1" si="489"/>
        <v/>
      </c>
      <c r="EP125" s="22" t="str">
        <f t="shared" ca="1" si="490"/>
        <v/>
      </c>
      <c r="EQ125" s="22" t="str">
        <f t="shared" ca="1" si="491"/>
        <v/>
      </c>
      <c r="ES125" s="1">
        <f t="shared" ca="1" si="492"/>
        <v>0</v>
      </c>
      <c r="ET125" s="22" t="str">
        <f t="shared" ca="1" si="493"/>
        <v/>
      </c>
      <c r="EU125" s="11" t="str">
        <f t="shared" ca="1" si="494"/>
        <v/>
      </c>
      <c r="EV125" s="22" t="str">
        <f t="shared" ca="1" si="495"/>
        <v/>
      </c>
      <c r="EW125" s="22" t="str">
        <f t="shared" ca="1" si="496"/>
        <v/>
      </c>
      <c r="EY125" s="1">
        <f t="shared" ca="1" si="497"/>
        <v>0</v>
      </c>
      <c r="EZ125" s="22" t="str">
        <f t="shared" ca="1" si="498"/>
        <v/>
      </c>
      <c r="FA125" s="11" t="str">
        <f t="shared" ca="1" si="499"/>
        <v/>
      </c>
      <c r="FB125" s="22" t="str">
        <f t="shared" ca="1" si="500"/>
        <v/>
      </c>
      <c r="FC125" s="22" t="str">
        <f t="shared" ca="1" si="501"/>
        <v/>
      </c>
      <c r="FE125" s="1">
        <f t="shared" ca="1" si="502"/>
        <v>0</v>
      </c>
      <c r="FF125" s="22" t="str">
        <f t="shared" ca="1" si="503"/>
        <v/>
      </c>
      <c r="FG125" s="11" t="str">
        <f t="shared" ca="1" si="504"/>
        <v/>
      </c>
      <c r="FH125" s="22" t="str">
        <f t="shared" ca="1" si="505"/>
        <v/>
      </c>
      <c r="FI125" s="22" t="str">
        <f t="shared" ca="1" si="506"/>
        <v/>
      </c>
      <c r="FK125" s="1">
        <f t="shared" ca="1" si="507"/>
        <v>0</v>
      </c>
      <c r="FL125" s="22" t="str">
        <f t="shared" ca="1" si="508"/>
        <v/>
      </c>
      <c r="FM125" s="11" t="str">
        <f t="shared" ca="1" si="509"/>
        <v/>
      </c>
      <c r="FN125" s="22" t="str">
        <f t="shared" ca="1" si="510"/>
        <v/>
      </c>
      <c r="FO125" s="22" t="str">
        <f t="shared" ca="1" si="511"/>
        <v/>
      </c>
    </row>
    <row r="126" spans="5:171" x14ac:dyDescent="0.2">
      <c r="E126" s="1">
        <f t="shared" ca="1" si="512"/>
        <v>1</v>
      </c>
      <c r="F126" s="22">
        <f t="shared" ca="1" si="513"/>
        <v>21</v>
      </c>
      <c r="G126" s="11" t="str">
        <f t="shared" ca="1" si="514"/>
        <v>Chile</v>
      </c>
      <c r="H126" s="22">
        <f t="shared" ca="1" si="515"/>
        <v>4.01</v>
      </c>
      <c r="I126" s="22">
        <f t="shared" ca="1" si="516"/>
        <v>2012</v>
      </c>
      <c r="K126" s="1">
        <f t="shared" ca="1" si="517"/>
        <v>1</v>
      </c>
      <c r="L126" s="22">
        <f t="shared" ca="1" si="518"/>
        <v>21</v>
      </c>
      <c r="M126" s="11" t="str">
        <f t="shared" ca="1" si="519"/>
        <v>Trinidad and Tobago</v>
      </c>
      <c r="N126" s="22">
        <f t="shared" ca="1" si="520"/>
        <v>1.329</v>
      </c>
      <c r="O126" s="22">
        <f t="shared" ca="1" si="521"/>
        <v>2012</v>
      </c>
      <c r="Q126" s="1">
        <f t="shared" ca="1" si="522"/>
        <v>1</v>
      </c>
      <c r="R126" s="22">
        <f t="shared" ca="1" si="523"/>
        <v>21</v>
      </c>
      <c r="S126" s="11" t="str">
        <f t="shared" ca="1" si="524"/>
        <v>Belize</v>
      </c>
      <c r="T126" s="22">
        <f t="shared" ca="1" si="525"/>
        <v>22970</v>
      </c>
      <c r="U126" s="22">
        <f t="shared" ca="1" si="526"/>
        <v>2012</v>
      </c>
      <c r="W126" s="1">
        <f t="shared" ca="1" si="527"/>
        <v>1</v>
      </c>
      <c r="X126" s="22">
        <f t="shared" ca="1" si="528"/>
        <v>21</v>
      </c>
      <c r="Y126" s="11" t="str">
        <f t="shared" ca="1" si="529"/>
        <v>Bahamas</v>
      </c>
      <c r="Z126" s="22">
        <f t="shared" ca="1" si="530"/>
        <v>8.1490039999999997</v>
      </c>
      <c r="AA126" s="22">
        <f t="shared" ca="1" si="531"/>
        <v>2012</v>
      </c>
      <c r="AC126" s="1">
        <f t="shared" ca="1" si="532"/>
        <v>1</v>
      </c>
      <c r="AD126" s="22">
        <f t="shared" ca="1" si="533"/>
        <v>21</v>
      </c>
      <c r="AE126" s="11" t="str">
        <f t="shared" ca="1" si="534"/>
        <v>Haiti</v>
      </c>
      <c r="AF126" s="22">
        <f t="shared" ca="1" si="535"/>
        <v>13.132</v>
      </c>
      <c r="AG126" s="22">
        <f t="shared" ca="1" si="536"/>
        <v>2012</v>
      </c>
      <c r="AI126" s="1">
        <f t="shared" ca="1" si="537"/>
        <v>1</v>
      </c>
      <c r="AJ126" s="22">
        <f t="shared" ca="1" si="538"/>
        <v>21</v>
      </c>
      <c r="AK126" s="11" t="str">
        <f t="shared" ca="1" si="539"/>
        <v>Bahamas</v>
      </c>
      <c r="AL126" s="22">
        <f t="shared" ca="1" si="540"/>
        <v>0.38949630000000002</v>
      </c>
      <c r="AM126" s="22">
        <f t="shared" ca="1" si="541"/>
        <v>2012</v>
      </c>
      <c r="AO126" s="1">
        <f t="shared" ca="1" si="542"/>
        <v>1</v>
      </c>
      <c r="AP126" s="22">
        <f t="shared" ca="1" si="543"/>
        <v>21</v>
      </c>
      <c r="AQ126" s="11" t="str">
        <f t="shared" ca="1" si="544"/>
        <v>Barbados</v>
      </c>
      <c r="AR126" s="22">
        <f t="shared" ca="1" si="545"/>
        <v>4.4231699999999999E-2</v>
      </c>
      <c r="AS126" s="22">
        <f t="shared" ca="1" si="546"/>
        <v>2012</v>
      </c>
      <c r="AU126" s="1">
        <f t="shared" ca="1" si="547"/>
        <v>1</v>
      </c>
      <c r="AV126" s="22">
        <f t="shared" ca="1" si="548"/>
        <v>21</v>
      </c>
      <c r="AW126" s="11" t="str">
        <f t="shared" ca="1" si="549"/>
        <v>Jamaica</v>
      </c>
      <c r="AX126" s="22">
        <f t="shared" ca="1" si="550"/>
        <v>1.7322</v>
      </c>
      <c r="AY126" s="22">
        <f t="shared" ca="1" si="551"/>
        <v>2012</v>
      </c>
      <c r="BA126" s="1">
        <f t="shared" ca="1" si="552"/>
        <v>1</v>
      </c>
      <c r="BB126" s="22">
        <f t="shared" ca="1" si="553"/>
        <v>21</v>
      </c>
      <c r="BC126" s="11" t="str">
        <f t="shared" ca="1" si="554"/>
        <v>Guyana</v>
      </c>
      <c r="BD126" s="22">
        <f t="shared" ca="1" si="555"/>
        <v>2029466.226</v>
      </c>
      <c r="BE126" s="22">
        <f t="shared" ca="1" si="556"/>
        <v>2012</v>
      </c>
      <c r="BG126" s="1">
        <f t="shared" ca="1" si="557"/>
        <v>1</v>
      </c>
      <c r="BH126" s="22">
        <f t="shared" ca="1" si="558"/>
        <v>21</v>
      </c>
      <c r="BI126" s="11" t="str">
        <f t="shared" ca="1" si="559"/>
        <v>Bahamas</v>
      </c>
      <c r="BJ126" s="22">
        <f t="shared" ca="1" si="560"/>
        <v>3.4392111999999999</v>
      </c>
      <c r="BK126" s="22">
        <f t="shared" ca="1" si="561"/>
        <v>2012</v>
      </c>
      <c r="BM126" s="1">
        <f t="shared" ca="1" si="562"/>
        <v>1</v>
      </c>
      <c r="BN126" s="22">
        <f t="shared" ca="1" si="563"/>
        <v>21</v>
      </c>
      <c r="BO126" s="11" t="str">
        <f t="shared" ca="1" si="564"/>
        <v>Bahamas</v>
      </c>
      <c r="BP126" s="22">
        <f t="shared" ca="1" si="565"/>
        <v>1615219.2509999999</v>
      </c>
      <c r="BQ126" s="22">
        <f t="shared" ca="1" si="566"/>
        <v>2012</v>
      </c>
      <c r="BS126" s="1">
        <f t="shared" ca="1" si="567"/>
        <v>0</v>
      </c>
      <c r="BT126" s="22" t="str">
        <f t="shared" ca="1" si="568"/>
        <v/>
      </c>
      <c r="BU126" s="11" t="str">
        <f t="shared" ca="1" si="569"/>
        <v/>
      </c>
      <c r="BV126" s="22" t="str">
        <f t="shared" ca="1" si="570"/>
        <v/>
      </c>
      <c r="BW126" s="22" t="str">
        <f t="shared" ca="1" si="571"/>
        <v/>
      </c>
      <c r="BY126" s="1">
        <f t="shared" ca="1" si="572"/>
        <v>0</v>
      </c>
      <c r="BZ126" s="22" t="str">
        <f t="shared" ca="1" si="573"/>
        <v/>
      </c>
      <c r="CA126" s="11" t="str">
        <f t="shared" ca="1" si="574"/>
        <v/>
      </c>
      <c r="CB126" s="22" t="str">
        <f t="shared" ca="1" si="575"/>
        <v/>
      </c>
      <c r="CC126" s="22" t="str">
        <f t="shared" ca="1" si="576"/>
        <v/>
      </c>
      <c r="CE126" s="1">
        <f t="shared" ca="1" si="577"/>
        <v>0</v>
      </c>
      <c r="CF126" s="22" t="str">
        <f t="shared" ca="1" si="578"/>
        <v/>
      </c>
      <c r="CG126" s="11" t="str">
        <f t="shared" ca="1" si="579"/>
        <v/>
      </c>
      <c r="CH126" s="22" t="str">
        <f t="shared" ca="1" si="580"/>
        <v/>
      </c>
      <c r="CI126" s="22" t="str">
        <f t="shared" ca="1" si="581"/>
        <v/>
      </c>
      <c r="CK126" s="1">
        <f t="shared" ca="1" si="582"/>
        <v>0</v>
      </c>
      <c r="CL126" s="22" t="str">
        <f t="shared" ca="1" si="583"/>
        <v/>
      </c>
      <c r="CM126" s="11" t="str">
        <f t="shared" ca="1" si="584"/>
        <v/>
      </c>
      <c r="CN126" s="22" t="str">
        <f t="shared" ca="1" si="585"/>
        <v/>
      </c>
      <c r="CO126" s="22" t="str">
        <f t="shared" ca="1" si="586"/>
        <v/>
      </c>
      <c r="CP126" s="73"/>
      <c r="CQ126" s="1">
        <f t="shared" ca="1" si="587"/>
        <v>0</v>
      </c>
      <c r="CR126" s="22" t="str">
        <f t="shared" ca="1" si="588"/>
        <v/>
      </c>
      <c r="CS126" s="11" t="str">
        <f t="shared" ca="1" si="589"/>
        <v/>
      </c>
      <c r="CT126" s="22" t="str">
        <f t="shared" ca="1" si="590"/>
        <v/>
      </c>
      <c r="CU126" s="22" t="str">
        <f t="shared" ca="1" si="591"/>
        <v/>
      </c>
      <c r="CW126" s="1">
        <f t="shared" ca="1" si="592"/>
        <v>0</v>
      </c>
      <c r="CX126" s="22" t="str">
        <f t="shared" ca="1" si="593"/>
        <v/>
      </c>
      <c r="CY126" s="11" t="str">
        <f t="shared" ca="1" si="594"/>
        <v/>
      </c>
      <c r="CZ126" s="22" t="str">
        <f t="shared" ca="1" si="595"/>
        <v/>
      </c>
      <c r="DA126" s="22" t="str">
        <f t="shared" ca="1" si="596"/>
        <v/>
      </c>
      <c r="DC126" s="1">
        <f t="shared" ca="1" si="597"/>
        <v>0</v>
      </c>
      <c r="DD126" s="22" t="str">
        <f t="shared" ca="1" si="598"/>
        <v/>
      </c>
      <c r="DE126" s="11" t="str">
        <f t="shared" ca="1" si="599"/>
        <v/>
      </c>
      <c r="DF126" s="22" t="str">
        <f t="shared" ca="1" si="600"/>
        <v/>
      </c>
      <c r="DG126" s="22" t="str">
        <f t="shared" ca="1" si="601"/>
        <v/>
      </c>
      <c r="DI126" s="1">
        <f t="shared" ca="1" si="602"/>
        <v>0</v>
      </c>
      <c r="DJ126" s="22" t="str">
        <f t="shared" ca="1" si="603"/>
        <v/>
      </c>
      <c r="DK126" s="11" t="str">
        <f t="shared" ca="1" si="604"/>
        <v/>
      </c>
      <c r="DL126" s="22" t="str">
        <f t="shared" ca="1" si="605"/>
        <v/>
      </c>
      <c r="DM126" s="22" t="str">
        <f t="shared" ca="1" si="606"/>
        <v/>
      </c>
      <c r="DO126" s="1">
        <f t="shared" ca="1" si="607"/>
        <v>0</v>
      </c>
      <c r="DP126" s="22" t="str">
        <f t="shared" ca="1" si="608"/>
        <v/>
      </c>
      <c r="DQ126" s="11" t="str">
        <f t="shared" ca="1" si="609"/>
        <v/>
      </c>
      <c r="DR126" s="22" t="str">
        <f t="shared" ca="1" si="610"/>
        <v/>
      </c>
      <c r="DS126" s="22" t="str">
        <f t="shared" ca="1" si="611"/>
        <v/>
      </c>
      <c r="DU126" s="1">
        <f t="shared" ca="1" si="472"/>
        <v>0</v>
      </c>
      <c r="DV126" s="22" t="str">
        <f t="shared" ca="1" si="473"/>
        <v/>
      </c>
      <c r="DW126" s="11" t="str">
        <f t="shared" ca="1" si="474"/>
        <v/>
      </c>
      <c r="DX126" s="22" t="str">
        <f t="shared" ca="1" si="475"/>
        <v/>
      </c>
      <c r="DY126" s="22" t="str">
        <f t="shared" ca="1" si="476"/>
        <v/>
      </c>
      <c r="EA126" s="1">
        <f t="shared" ca="1" si="477"/>
        <v>0</v>
      </c>
      <c r="EB126" s="22" t="str">
        <f t="shared" ca="1" si="478"/>
        <v/>
      </c>
      <c r="EC126" s="11" t="str">
        <f t="shared" ca="1" si="479"/>
        <v/>
      </c>
      <c r="ED126" s="22" t="str">
        <f t="shared" ca="1" si="480"/>
        <v/>
      </c>
      <c r="EE126" s="22" t="str">
        <f t="shared" ca="1" si="481"/>
        <v/>
      </c>
      <c r="EG126" s="1">
        <f t="shared" ca="1" si="482"/>
        <v>0</v>
      </c>
      <c r="EH126" s="22" t="str">
        <f t="shared" ca="1" si="483"/>
        <v/>
      </c>
      <c r="EI126" s="11" t="str">
        <f t="shared" ca="1" si="484"/>
        <v/>
      </c>
      <c r="EJ126" s="22" t="str">
        <f t="shared" ca="1" si="485"/>
        <v/>
      </c>
      <c r="EK126" s="22" t="str">
        <f t="shared" ca="1" si="486"/>
        <v/>
      </c>
      <c r="EM126" s="1">
        <f t="shared" ca="1" si="487"/>
        <v>0</v>
      </c>
      <c r="EN126" s="22" t="str">
        <f t="shared" ca="1" si="488"/>
        <v/>
      </c>
      <c r="EO126" s="11" t="str">
        <f t="shared" ca="1" si="489"/>
        <v/>
      </c>
      <c r="EP126" s="22" t="str">
        <f t="shared" ca="1" si="490"/>
        <v/>
      </c>
      <c r="EQ126" s="22" t="str">
        <f t="shared" ca="1" si="491"/>
        <v/>
      </c>
      <c r="ES126" s="1">
        <f t="shared" ca="1" si="492"/>
        <v>0</v>
      </c>
      <c r="ET126" s="22" t="str">
        <f t="shared" ca="1" si="493"/>
        <v/>
      </c>
      <c r="EU126" s="11" t="str">
        <f t="shared" ca="1" si="494"/>
        <v/>
      </c>
      <c r="EV126" s="22" t="str">
        <f t="shared" ca="1" si="495"/>
        <v/>
      </c>
      <c r="EW126" s="22" t="str">
        <f t="shared" ca="1" si="496"/>
        <v/>
      </c>
      <c r="EY126" s="1">
        <f t="shared" ca="1" si="497"/>
        <v>0</v>
      </c>
      <c r="EZ126" s="22" t="str">
        <f t="shared" ca="1" si="498"/>
        <v/>
      </c>
      <c r="FA126" s="11" t="str">
        <f t="shared" ca="1" si="499"/>
        <v/>
      </c>
      <c r="FB126" s="22" t="str">
        <f t="shared" ca="1" si="500"/>
        <v/>
      </c>
      <c r="FC126" s="22" t="str">
        <f t="shared" ca="1" si="501"/>
        <v/>
      </c>
      <c r="FE126" s="1">
        <f t="shared" ca="1" si="502"/>
        <v>0</v>
      </c>
      <c r="FF126" s="22" t="str">
        <f t="shared" ca="1" si="503"/>
        <v/>
      </c>
      <c r="FG126" s="11" t="str">
        <f t="shared" ca="1" si="504"/>
        <v/>
      </c>
      <c r="FH126" s="22" t="str">
        <f t="shared" ca="1" si="505"/>
        <v/>
      </c>
      <c r="FI126" s="22" t="str">
        <f t="shared" ca="1" si="506"/>
        <v/>
      </c>
      <c r="FK126" s="1">
        <f t="shared" ca="1" si="507"/>
        <v>0</v>
      </c>
      <c r="FL126" s="22" t="str">
        <f t="shared" ca="1" si="508"/>
        <v/>
      </c>
      <c r="FM126" s="11" t="str">
        <f t="shared" ca="1" si="509"/>
        <v/>
      </c>
      <c r="FN126" s="22" t="str">
        <f t="shared" ca="1" si="510"/>
        <v/>
      </c>
      <c r="FO126" s="22" t="str">
        <f t="shared" ca="1" si="511"/>
        <v/>
      </c>
    </row>
    <row r="127" spans="5:171" x14ac:dyDescent="0.2">
      <c r="E127" s="1">
        <f t="shared" ca="1" si="512"/>
        <v>1</v>
      </c>
      <c r="F127" s="22">
        <f t="shared" ca="1" si="513"/>
        <v>22</v>
      </c>
      <c r="G127" s="11" t="str">
        <f t="shared" ca="1" si="514"/>
        <v>Bahamas</v>
      </c>
      <c r="H127" s="22">
        <f t="shared" ca="1" si="515"/>
        <v>3.91327578192378</v>
      </c>
      <c r="I127" s="22">
        <f t="shared" ca="1" si="516"/>
        <v>2012</v>
      </c>
      <c r="K127" s="1">
        <f t="shared" ca="1" si="517"/>
        <v>1</v>
      </c>
      <c r="L127" s="22">
        <f t="shared" ca="1" si="518"/>
        <v>22</v>
      </c>
      <c r="M127" s="11" t="str">
        <f t="shared" ca="1" si="519"/>
        <v>Guyana</v>
      </c>
      <c r="N127" s="22">
        <f t="shared" ca="1" si="520"/>
        <v>0.75758700000000001</v>
      </c>
      <c r="O127" s="22">
        <f t="shared" ca="1" si="521"/>
        <v>2012</v>
      </c>
      <c r="Q127" s="1">
        <f t="shared" ca="1" si="522"/>
        <v>1</v>
      </c>
      <c r="R127" s="22">
        <f t="shared" ca="1" si="523"/>
        <v>22</v>
      </c>
      <c r="S127" s="11" t="str">
        <f t="shared" ca="1" si="524"/>
        <v>El Salvador</v>
      </c>
      <c r="T127" s="22">
        <f t="shared" ca="1" si="525"/>
        <v>21040</v>
      </c>
      <c r="U127" s="22">
        <f t="shared" ca="1" si="526"/>
        <v>2012</v>
      </c>
      <c r="W127" s="1">
        <f t="shared" ca="1" si="527"/>
        <v>1</v>
      </c>
      <c r="X127" s="22">
        <f t="shared" ca="1" si="528"/>
        <v>22</v>
      </c>
      <c r="Y127" s="11" t="str">
        <f t="shared" ca="1" si="529"/>
        <v>Haiti</v>
      </c>
      <c r="Z127" s="22">
        <f t="shared" ca="1" si="530"/>
        <v>7.8949999999999996</v>
      </c>
      <c r="AA127" s="22">
        <f t="shared" ca="1" si="531"/>
        <v>2012</v>
      </c>
      <c r="AC127" s="1">
        <f t="shared" ca="1" si="532"/>
        <v>1</v>
      </c>
      <c r="AD127" s="22">
        <f t="shared" ca="1" si="533"/>
        <v>22</v>
      </c>
      <c r="AE127" s="11" t="str">
        <f t="shared" ca="1" si="534"/>
        <v>Bahamas</v>
      </c>
      <c r="AF127" s="22">
        <f t="shared" ca="1" si="535"/>
        <v>11.037000000000001</v>
      </c>
      <c r="AG127" s="22">
        <f t="shared" ca="1" si="536"/>
        <v>2012</v>
      </c>
      <c r="AI127" s="1">
        <f t="shared" ca="1" si="537"/>
        <v>1</v>
      </c>
      <c r="AJ127" s="22">
        <f t="shared" ca="1" si="538"/>
        <v>22</v>
      </c>
      <c r="AK127" s="11" t="str">
        <f t="shared" ca="1" si="539"/>
        <v>Guyana</v>
      </c>
      <c r="AL127" s="22">
        <f t="shared" ca="1" si="540"/>
        <v>0.2311281</v>
      </c>
      <c r="AM127" s="22">
        <f t="shared" ca="1" si="541"/>
        <v>2012</v>
      </c>
      <c r="AO127" s="1">
        <f t="shared" ca="1" si="542"/>
        <v>1</v>
      </c>
      <c r="AP127" s="22">
        <f t="shared" ca="1" si="543"/>
        <v>22</v>
      </c>
      <c r="AQ127" s="11" t="str">
        <f t="shared" ca="1" si="544"/>
        <v>Guyana</v>
      </c>
      <c r="AR127" s="22">
        <f t="shared" ca="1" si="545"/>
        <v>2.44628E-2</v>
      </c>
      <c r="AS127" s="22">
        <f t="shared" ca="1" si="546"/>
        <v>2012</v>
      </c>
      <c r="AU127" s="1">
        <f t="shared" ca="1" si="547"/>
        <v>1</v>
      </c>
      <c r="AV127" s="22">
        <f t="shared" ca="1" si="548"/>
        <v>22</v>
      </c>
      <c r="AW127" s="11" t="str">
        <f t="shared" ca="1" si="549"/>
        <v>Guyana</v>
      </c>
      <c r="AX127" s="22">
        <f t="shared" ca="1" si="550"/>
        <v>1.232</v>
      </c>
      <c r="AY127" s="22">
        <f t="shared" ca="1" si="551"/>
        <v>2012</v>
      </c>
      <c r="BA127" s="1">
        <f t="shared" ca="1" si="552"/>
        <v>1</v>
      </c>
      <c r="BB127" s="22">
        <f t="shared" ca="1" si="553"/>
        <v>22</v>
      </c>
      <c r="BC127" s="11" t="str">
        <f t="shared" ca="1" si="554"/>
        <v>Nicaragua</v>
      </c>
      <c r="BD127" s="22">
        <f t="shared" ca="1" si="555"/>
        <v>1624135.206</v>
      </c>
      <c r="BE127" s="22">
        <f t="shared" ca="1" si="556"/>
        <v>2012</v>
      </c>
      <c r="BG127" s="1">
        <f t="shared" ca="1" si="557"/>
        <v>1</v>
      </c>
      <c r="BH127" s="22">
        <f t="shared" ca="1" si="558"/>
        <v>22</v>
      </c>
      <c r="BI127" s="11" t="str">
        <f t="shared" ca="1" si="559"/>
        <v>Haiti</v>
      </c>
      <c r="BJ127" s="22">
        <f t="shared" ca="1" si="560"/>
        <v>2.7906300000000002</v>
      </c>
      <c r="BK127" s="22">
        <f t="shared" ca="1" si="561"/>
        <v>2012</v>
      </c>
      <c r="BM127" s="1">
        <f t="shared" ca="1" si="562"/>
        <v>1</v>
      </c>
      <c r="BN127" s="22">
        <f t="shared" ca="1" si="563"/>
        <v>22</v>
      </c>
      <c r="BO127" s="11" t="str">
        <f t="shared" ca="1" si="564"/>
        <v>Barbados</v>
      </c>
      <c r="BP127" s="22">
        <f t="shared" ca="1" si="565"/>
        <v>1146542.4569999999</v>
      </c>
      <c r="BQ127" s="22">
        <f t="shared" ca="1" si="566"/>
        <v>2012</v>
      </c>
      <c r="BS127" s="1">
        <f t="shared" ca="1" si="567"/>
        <v>0</v>
      </c>
      <c r="BT127" s="22" t="str">
        <f t="shared" ca="1" si="568"/>
        <v/>
      </c>
      <c r="BU127" s="11" t="str">
        <f t="shared" ca="1" si="569"/>
        <v/>
      </c>
      <c r="BV127" s="22" t="str">
        <f t="shared" ca="1" si="570"/>
        <v/>
      </c>
      <c r="BW127" s="22" t="str">
        <f t="shared" ca="1" si="571"/>
        <v/>
      </c>
      <c r="BY127" s="1">
        <f t="shared" ca="1" si="572"/>
        <v>0</v>
      </c>
      <c r="BZ127" s="22" t="str">
        <f t="shared" ca="1" si="573"/>
        <v/>
      </c>
      <c r="CA127" s="11" t="str">
        <f t="shared" ca="1" si="574"/>
        <v/>
      </c>
      <c r="CB127" s="22" t="str">
        <f t="shared" ca="1" si="575"/>
        <v/>
      </c>
      <c r="CC127" s="22" t="str">
        <f t="shared" ca="1" si="576"/>
        <v/>
      </c>
      <c r="CE127" s="1">
        <f t="shared" ca="1" si="577"/>
        <v>0</v>
      </c>
      <c r="CF127" s="22" t="str">
        <f t="shared" ca="1" si="578"/>
        <v/>
      </c>
      <c r="CG127" s="11" t="str">
        <f t="shared" ca="1" si="579"/>
        <v/>
      </c>
      <c r="CH127" s="22" t="str">
        <f t="shared" ca="1" si="580"/>
        <v/>
      </c>
      <c r="CI127" s="22" t="str">
        <f t="shared" ca="1" si="581"/>
        <v/>
      </c>
      <c r="CK127" s="1">
        <f t="shared" ca="1" si="582"/>
        <v>0</v>
      </c>
      <c r="CL127" s="22" t="str">
        <f t="shared" ca="1" si="583"/>
        <v/>
      </c>
      <c r="CM127" s="11" t="str">
        <f t="shared" ca="1" si="584"/>
        <v/>
      </c>
      <c r="CN127" s="22" t="str">
        <f t="shared" ca="1" si="585"/>
        <v/>
      </c>
      <c r="CO127" s="22" t="str">
        <f t="shared" ca="1" si="586"/>
        <v/>
      </c>
      <c r="CP127" s="73"/>
      <c r="CQ127" s="1">
        <f t="shared" ca="1" si="587"/>
        <v>0</v>
      </c>
      <c r="CR127" s="22" t="str">
        <f t="shared" ca="1" si="588"/>
        <v/>
      </c>
      <c r="CS127" s="11" t="str">
        <f t="shared" ca="1" si="589"/>
        <v/>
      </c>
      <c r="CT127" s="22" t="str">
        <f t="shared" ca="1" si="590"/>
        <v/>
      </c>
      <c r="CU127" s="22" t="str">
        <f t="shared" ca="1" si="591"/>
        <v/>
      </c>
      <c r="CW127" s="1">
        <f t="shared" ca="1" si="592"/>
        <v>0</v>
      </c>
      <c r="CX127" s="22" t="str">
        <f t="shared" ca="1" si="593"/>
        <v/>
      </c>
      <c r="CY127" s="11" t="str">
        <f t="shared" ca="1" si="594"/>
        <v/>
      </c>
      <c r="CZ127" s="22" t="str">
        <f t="shared" ca="1" si="595"/>
        <v/>
      </c>
      <c r="DA127" s="22" t="str">
        <f t="shared" ca="1" si="596"/>
        <v/>
      </c>
      <c r="DC127" s="1">
        <f t="shared" ca="1" si="597"/>
        <v>0</v>
      </c>
      <c r="DD127" s="22" t="str">
        <f t="shared" ca="1" si="598"/>
        <v/>
      </c>
      <c r="DE127" s="11" t="str">
        <f t="shared" ca="1" si="599"/>
        <v/>
      </c>
      <c r="DF127" s="22" t="str">
        <f t="shared" ca="1" si="600"/>
        <v/>
      </c>
      <c r="DG127" s="22" t="str">
        <f t="shared" ca="1" si="601"/>
        <v/>
      </c>
      <c r="DI127" s="1">
        <f t="shared" ca="1" si="602"/>
        <v>0</v>
      </c>
      <c r="DJ127" s="22" t="str">
        <f t="shared" ca="1" si="603"/>
        <v/>
      </c>
      <c r="DK127" s="11" t="str">
        <f t="shared" ca="1" si="604"/>
        <v/>
      </c>
      <c r="DL127" s="22" t="str">
        <f t="shared" ca="1" si="605"/>
        <v/>
      </c>
      <c r="DM127" s="22" t="str">
        <f t="shared" ca="1" si="606"/>
        <v/>
      </c>
      <c r="DO127" s="1">
        <f t="shared" ca="1" si="607"/>
        <v>0</v>
      </c>
      <c r="DP127" s="22" t="str">
        <f t="shared" ca="1" si="608"/>
        <v/>
      </c>
      <c r="DQ127" s="11" t="str">
        <f t="shared" ca="1" si="609"/>
        <v/>
      </c>
      <c r="DR127" s="22" t="str">
        <f t="shared" ca="1" si="610"/>
        <v/>
      </c>
      <c r="DS127" s="22" t="str">
        <f t="shared" ca="1" si="611"/>
        <v/>
      </c>
      <c r="DU127" s="1">
        <f t="shared" ca="1" si="472"/>
        <v>0</v>
      </c>
      <c r="DV127" s="22" t="str">
        <f t="shared" ca="1" si="473"/>
        <v/>
      </c>
      <c r="DW127" s="11" t="str">
        <f t="shared" ca="1" si="474"/>
        <v/>
      </c>
      <c r="DX127" s="22" t="str">
        <f t="shared" ca="1" si="475"/>
        <v/>
      </c>
      <c r="DY127" s="22" t="str">
        <f t="shared" ca="1" si="476"/>
        <v/>
      </c>
      <c r="EA127" s="1">
        <f t="shared" ca="1" si="477"/>
        <v>0</v>
      </c>
      <c r="EB127" s="22" t="str">
        <f t="shared" ca="1" si="478"/>
        <v/>
      </c>
      <c r="EC127" s="11" t="str">
        <f t="shared" ca="1" si="479"/>
        <v/>
      </c>
      <c r="ED127" s="22" t="str">
        <f t="shared" ca="1" si="480"/>
        <v/>
      </c>
      <c r="EE127" s="22" t="str">
        <f t="shared" ca="1" si="481"/>
        <v/>
      </c>
      <c r="EG127" s="1">
        <f t="shared" ca="1" si="482"/>
        <v>0</v>
      </c>
      <c r="EH127" s="22" t="str">
        <f t="shared" ca="1" si="483"/>
        <v/>
      </c>
      <c r="EI127" s="11" t="str">
        <f t="shared" ca="1" si="484"/>
        <v/>
      </c>
      <c r="EJ127" s="22" t="str">
        <f t="shared" ca="1" si="485"/>
        <v/>
      </c>
      <c r="EK127" s="22" t="str">
        <f t="shared" ca="1" si="486"/>
        <v/>
      </c>
      <c r="EM127" s="1">
        <f t="shared" ca="1" si="487"/>
        <v>0</v>
      </c>
      <c r="EN127" s="22" t="str">
        <f t="shared" ca="1" si="488"/>
        <v/>
      </c>
      <c r="EO127" s="11" t="str">
        <f t="shared" ca="1" si="489"/>
        <v/>
      </c>
      <c r="EP127" s="22" t="str">
        <f t="shared" ca="1" si="490"/>
        <v/>
      </c>
      <c r="EQ127" s="22" t="str">
        <f t="shared" ca="1" si="491"/>
        <v/>
      </c>
      <c r="ES127" s="1">
        <f t="shared" ca="1" si="492"/>
        <v>0</v>
      </c>
      <c r="ET127" s="22" t="str">
        <f t="shared" ca="1" si="493"/>
        <v/>
      </c>
      <c r="EU127" s="11" t="str">
        <f t="shared" ca="1" si="494"/>
        <v/>
      </c>
      <c r="EV127" s="22" t="str">
        <f t="shared" ca="1" si="495"/>
        <v/>
      </c>
      <c r="EW127" s="22" t="str">
        <f t="shared" ca="1" si="496"/>
        <v/>
      </c>
      <c r="EY127" s="1">
        <f t="shared" ca="1" si="497"/>
        <v>0</v>
      </c>
      <c r="EZ127" s="22" t="str">
        <f t="shared" ca="1" si="498"/>
        <v/>
      </c>
      <c r="FA127" s="11" t="str">
        <f t="shared" ca="1" si="499"/>
        <v/>
      </c>
      <c r="FB127" s="22" t="str">
        <f t="shared" ca="1" si="500"/>
        <v/>
      </c>
      <c r="FC127" s="22" t="str">
        <f t="shared" ca="1" si="501"/>
        <v/>
      </c>
      <c r="FE127" s="1">
        <f t="shared" ca="1" si="502"/>
        <v>0</v>
      </c>
      <c r="FF127" s="22" t="str">
        <f t="shared" ca="1" si="503"/>
        <v/>
      </c>
      <c r="FG127" s="11" t="str">
        <f t="shared" ca="1" si="504"/>
        <v/>
      </c>
      <c r="FH127" s="22" t="str">
        <f t="shared" ca="1" si="505"/>
        <v/>
      </c>
      <c r="FI127" s="22" t="str">
        <f t="shared" ca="1" si="506"/>
        <v/>
      </c>
      <c r="FK127" s="1">
        <f t="shared" ca="1" si="507"/>
        <v>0</v>
      </c>
      <c r="FL127" s="22" t="str">
        <f t="shared" ca="1" si="508"/>
        <v/>
      </c>
      <c r="FM127" s="11" t="str">
        <f t="shared" ca="1" si="509"/>
        <v/>
      </c>
      <c r="FN127" s="22" t="str">
        <f t="shared" ca="1" si="510"/>
        <v/>
      </c>
      <c r="FO127" s="22" t="str">
        <f t="shared" ca="1" si="511"/>
        <v/>
      </c>
    </row>
    <row r="128" spans="5:171" x14ac:dyDescent="0.2">
      <c r="E128" s="1">
        <f t="shared" ca="1" si="512"/>
        <v>1</v>
      </c>
      <c r="F128" s="22">
        <f t="shared" ca="1" si="513"/>
        <v>23</v>
      </c>
      <c r="G128" s="11" t="str">
        <f t="shared" ca="1" si="514"/>
        <v>Belize</v>
      </c>
      <c r="H128" s="22">
        <f t="shared" ca="1" si="515"/>
        <v>3.6146611585719599</v>
      </c>
      <c r="I128" s="22">
        <f t="shared" ca="1" si="516"/>
        <v>2012</v>
      </c>
      <c r="K128" s="1">
        <f t="shared" ca="1" si="517"/>
        <v>1</v>
      </c>
      <c r="L128" s="22">
        <f t="shared" ca="1" si="518"/>
        <v>23</v>
      </c>
      <c r="M128" s="11" t="str">
        <f t="shared" ca="1" si="519"/>
        <v>Suriname</v>
      </c>
      <c r="N128" s="22">
        <f t="shared" ca="1" si="520"/>
        <v>0.54600000000000004</v>
      </c>
      <c r="O128" s="22">
        <f t="shared" ca="1" si="521"/>
        <v>2012</v>
      </c>
      <c r="Q128" s="1">
        <f t="shared" ca="1" si="522"/>
        <v>1</v>
      </c>
      <c r="R128" s="22">
        <f t="shared" ca="1" si="523"/>
        <v>23</v>
      </c>
      <c r="S128" s="11" t="str">
        <f t="shared" ca="1" si="524"/>
        <v>Bahamas</v>
      </c>
      <c r="T128" s="22">
        <f t="shared" ca="1" si="525"/>
        <v>13880</v>
      </c>
      <c r="U128" s="22">
        <f t="shared" ca="1" si="526"/>
        <v>2012</v>
      </c>
      <c r="W128" s="1">
        <f t="shared" ca="1" si="527"/>
        <v>1</v>
      </c>
      <c r="X128" s="22">
        <f t="shared" ca="1" si="528"/>
        <v>23</v>
      </c>
      <c r="Y128" s="11" t="str">
        <f t="shared" ca="1" si="529"/>
        <v>Suriname</v>
      </c>
      <c r="Z128" s="22">
        <f t="shared" ca="1" si="530"/>
        <v>4.7380000000000004</v>
      </c>
      <c r="AA128" s="22">
        <f t="shared" ca="1" si="531"/>
        <v>2012</v>
      </c>
      <c r="AC128" s="1">
        <f t="shared" ca="1" si="532"/>
        <v>1</v>
      </c>
      <c r="AD128" s="22">
        <f t="shared" ca="1" si="533"/>
        <v>23</v>
      </c>
      <c r="AE128" s="11" t="str">
        <f t="shared" ca="1" si="534"/>
        <v>Barbados</v>
      </c>
      <c r="AF128" s="22">
        <f t="shared" ca="1" si="535"/>
        <v>7.0910000000000002</v>
      </c>
      <c r="AG128" s="22">
        <f t="shared" ca="1" si="536"/>
        <v>2012</v>
      </c>
      <c r="AI128" s="1">
        <f t="shared" ca="1" si="537"/>
        <v>1</v>
      </c>
      <c r="AJ128" s="22">
        <f t="shared" ca="1" si="538"/>
        <v>23</v>
      </c>
      <c r="AK128" s="11" t="str">
        <f t="shared" ca="1" si="539"/>
        <v>Barbados</v>
      </c>
      <c r="AL128" s="22">
        <f t="shared" ca="1" si="540"/>
        <v>0.16877030000000001</v>
      </c>
      <c r="AM128" s="22">
        <f t="shared" ca="1" si="541"/>
        <v>2012</v>
      </c>
      <c r="AO128" s="1">
        <f t="shared" ca="1" si="542"/>
        <v>1</v>
      </c>
      <c r="AP128" s="22">
        <f t="shared" ca="1" si="543"/>
        <v>23</v>
      </c>
      <c r="AQ128" s="11" t="str">
        <f t="shared" ca="1" si="544"/>
        <v>Suriname</v>
      </c>
      <c r="AR128" s="22">
        <f t="shared" ca="1" si="545"/>
        <v>2.0910000000000002E-2</v>
      </c>
      <c r="AS128" s="22">
        <f t="shared" ca="1" si="546"/>
        <v>2012</v>
      </c>
      <c r="AU128" s="1">
        <f t="shared" ca="1" si="547"/>
        <v>1</v>
      </c>
      <c r="AV128" s="22">
        <f t="shared" ca="1" si="548"/>
        <v>23</v>
      </c>
      <c r="AW128" s="11" t="str">
        <f t="shared" ca="1" si="549"/>
        <v>Bahamas</v>
      </c>
      <c r="AX128" s="22">
        <f t="shared" ca="1" si="550"/>
        <v>0.88939109999999999</v>
      </c>
      <c r="AY128" s="22">
        <f t="shared" ca="1" si="551"/>
        <v>2012</v>
      </c>
      <c r="BA128" s="1">
        <f t="shared" ca="1" si="552"/>
        <v>1</v>
      </c>
      <c r="BB128" s="22">
        <f t="shared" ca="1" si="553"/>
        <v>23</v>
      </c>
      <c r="BC128" s="11" t="str">
        <f t="shared" ca="1" si="554"/>
        <v>Suriname</v>
      </c>
      <c r="BD128" s="22">
        <f t="shared" ca="1" si="555"/>
        <v>1228304.2109999999</v>
      </c>
      <c r="BE128" s="22">
        <f t="shared" ca="1" si="556"/>
        <v>2012</v>
      </c>
      <c r="BG128" s="1">
        <f t="shared" ca="1" si="557"/>
        <v>1</v>
      </c>
      <c r="BH128" s="22">
        <f t="shared" ca="1" si="558"/>
        <v>23</v>
      </c>
      <c r="BI128" s="11" t="str">
        <f t="shared" ca="1" si="559"/>
        <v>Guyana</v>
      </c>
      <c r="BJ128" s="22">
        <f t="shared" ca="1" si="560"/>
        <v>1.9390000000000001</v>
      </c>
      <c r="BK128" s="22">
        <f t="shared" ca="1" si="561"/>
        <v>2012</v>
      </c>
      <c r="BM128" s="1">
        <f t="shared" ca="1" si="562"/>
        <v>1</v>
      </c>
      <c r="BN128" s="22">
        <f t="shared" ca="1" si="563"/>
        <v>23</v>
      </c>
      <c r="BO128" s="11" t="str">
        <f t="shared" ca="1" si="564"/>
        <v>Guyana</v>
      </c>
      <c r="BP128" s="22">
        <f t="shared" ca="1" si="565"/>
        <v>916122.44773120002</v>
      </c>
      <c r="BQ128" s="22">
        <f t="shared" ca="1" si="566"/>
        <v>2012</v>
      </c>
      <c r="BS128" s="1">
        <f t="shared" ca="1" si="567"/>
        <v>0</v>
      </c>
      <c r="BT128" s="22" t="str">
        <f t="shared" ca="1" si="568"/>
        <v/>
      </c>
      <c r="BU128" s="11" t="str">
        <f t="shared" ca="1" si="569"/>
        <v/>
      </c>
      <c r="BV128" s="22" t="str">
        <f t="shared" ca="1" si="570"/>
        <v/>
      </c>
      <c r="BW128" s="22" t="str">
        <f t="shared" ca="1" si="571"/>
        <v/>
      </c>
      <c r="BY128" s="1">
        <f t="shared" ca="1" si="572"/>
        <v>0</v>
      </c>
      <c r="BZ128" s="22" t="str">
        <f t="shared" ca="1" si="573"/>
        <v/>
      </c>
      <c r="CA128" s="11" t="str">
        <f t="shared" ca="1" si="574"/>
        <v/>
      </c>
      <c r="CB128" s="22" t="str">
        <f t="shared" ca="1" si="575"/>
        <v/>
      </c>
      <c r="CC128" s="22" t="str">
        <f t="shared" ca="1" si="576"/>
        <v/>
      </c>
      <c r="CE128" s="1">
        <f t="shared" ca="1" si="577"/>
        <v>0</v>
      </c>
      <c r="CF128" s="22" t="str">
        <f t="shared" ca="1" si="578"/>
        <v/>
      </c>
      <c r="CG128" s="11" t="str">
        <f t="shared" ca="1" si="579"/>
        <v/>
      </c>
      <c r="CH128" s="22" t="str">
        <f t="shared" ca="1" si="580"/>
        <v/>
      </c>
      <c r="CI128" s="22" t="str">
        <f t="shared" ca="1" si="581"/>
        <v/>
      </c>
      <c r="CK128" s="1">
        <f t="shared" ca="1" si="582"/>
        <v>0</v>
      </c>
      <c r="CL128" s="22" t="str">
        <f t="shared" ca="1" si="583"/>
        <v/>
      </c>
      <c r="CM128" s="11" t="str">
        <f t="shared" ca="1" si="584"/>
        <v/>
      </c>
      <c r="CN128" s="22" t="str">
        <f t="shared" ca="1" si="585"/>
        <v/>
      </c>
      <c r="CO128" s="22" t="str">
        <f t="shared" ca="1" si="586"/>
        <v/>
      </c>
      <c r="CP128" s="73"/>
      <c r="CQ128" s="1">
        <f t="shared" ca="1" si="587"/>
        <v>0</v>
      </c>
      <c r="CR128" s="22" t="str">
        <f t="shared" ca="1" si="588"/>
        <v/>
      </c>
      <c r="CS128" s="11" t="str">
        <f t="shared" ca="1" si="589"/>
        <v/>
      </c>
      <c r="CT128" s="22" t="str">
        <f t="shared" ca="1" si="590"/>
        <v/>
      </c>
      <c r="CU128" s="22" t="str">
        <f t="shared" ca="1" si="591"/>
        <v/>
      </c>
      <c r="CW128" s="1">
        <f t="shared" ca="1" si="592"/>
        <v>0</v>
      </c>
      <c r="CX128" s="22" t="str">
        <f t="shared" ca="1" si="593"/>
        <v/>
      </c>
      <c r="CY128" s="11" t="str">
        <f t="shared" ca="1" si="594"/>
        <v/>
      </c>
      <c r="CZ128" s="22" t="str">
        <f t="shared" ca="1" si="595"/>
        <v/>
      </c>
      <c r="DA128" s="22" t="str">
        <f t="shared" ca="1" si="596"/>
        <v/>
      </c>
      <c r="DC128" s="1">
        <f t="shared" ca="1" si="597"/>
        <v>0</v>
      </c>
      <c r="DD128" s="22" t="str">
        <f t="shared" ca="1" si="598"/>
        <v/>
      </c>
      <c r="DE128" s="11" t="str">
        <f t="shared" ca="1" si="599"/>
        <v/>
      </c>
      <c r="DF128" s="22" t="str">
        <f t="shared" ca="1" si="600"/>
        <v/>
      </c>
      <c r="DG128" s="22" t="str">
        <f t="shared" ca="1" si="601"/>
        <v/>
      </c>
      <c r="DI128" s="1">
        <f t="shared" ca="1" si="602"/>
        <v>0</v>
      </c>
      <c r="DJ128" s="22" t="str">
        <f t="shared" ca="1" si="603"/>
        <v/>
      </c>
      <c r="DK128" s="11" t="str">
        <f t="shared" ca="1" si="604"/>
        <v/>
      </c>
      <c r="DL128" s="22" t="str">
        <f t="shared" ca="1" si="605"/>
        <v/>
      </c>
      <c r="DM128" s="22" t="str">
        <f t="shared" ca="1" si="606"/>
        <v/>
      </c>
      <c r="DO128" s="1">
        <f t="shared" ca="1" si="607"/>
        <v>0</v>
      </c>
      <c r="DP128" s="22" t="str">
        <f t="shared" ca="1" si="608"/>
        <v/>
      </c>
      <c r="DQ128" s="11" t="str">
        <f t="shared" ca="1" si="609"/>
        <v/>
      </c>
      <c r="DR128" s="22" t="str">
        <f t="shared" ca="1" si="610"/>
        <v/>
      </c>
      <c r="DS128" s="22" t="str">
        <f t="shared" ca="1" si="611"/>
        <v/>
      </c>
      <c r="DU128" s="1">
        <f t="shared" ca="1" si="472"/>
        <v>0</v>
      </c>
      <c r="DV128" s="22" t="str">
        <f t="shared" ca="1" si="473"/>
        <v/>
      </c>
      <c r="DW128" s="11" t="str">
        <f t="shared" ca="1" si="474"/>
        <v/>
      </c>
      <c r="DX128" s="22" t="str">
        <f t="shared" ca="1" si="475"/>
        <v/>
      </c>
      <c r="DY128" s="22" t="str">
        <f t="shared" ca="1" si="476"/>
        <v/>
      </c>
      <c r="EA128" s="1">
        <f t="shared" ca="1" si="477"/>
        <v>0</v>
      </c>
      <c r="EB128" s="22" t="str">
        <f t="shared" ca="1" si="478"/>
        <v/>
      </c>
      <c r="EC128" s="11" t="str">
        <f t="shared" ca="1" si="479"/>
        <v/>
      </c>
      <c r="ED128" s="22" t="str">
        <f t="shared" ca="1" si="480"/>
        <v/>
      </c>
      <c r="EE128" s="22" t="str">
        <f t="shared" ca="1" si="481"/>
        <v/>
      </c>
      <c r="EG128" s="1">
        <f t="shared" ca="1" si="482"/>
        <v>0</v>
      </c>
      <c r="EH128" s="22" t="str">
        <f t="shared" ca="1" si="483"/>
        <v/>
      </c>
      <c r="EI128" s="11" t="str">
        <f t="shared" ca="1" si="484"/>
        <v/>
      </c>
      <c r="EJ128" s="22" t="str">
        <f t="shared" ca="1" si="485"/>
        <v/>
      </c>
      <c r="EK128" s="22" t="str">
        <f t="shared" ca="1" si="486"/>
        <v/>
      </c>
      <c r="EM128" s="1">
        <f t="shared" ca="1" si="487"/>
        <v>0</v>
      </c>
      <c r="EN128" s="22" t="str">
        <f t="shared" ca="1" si="488"/>
        <v/>
      </c>
      <c r="EO128" s="11" t="str">
        <f t="shared" ca="1" si="489"/>
        <v/>
      </c>
      <c r="EP128" s="22" t="str">
        <f t="shared" ca="1" si="490"/>
        <v/>
      </c>
      <c r="EQ128" s="22" t="str">
        <f t="shared" ca="1" si="491"/>
        <v/>
      </c>
      <c r="ES128" s="1">
        <f t="shared" ca="1" si="492"/>
        <v>0</v>
      </c>
      <c r="ET128" s="22" t="str">
        <f t="shared" ca="1" si="493"/>
        <v/>
      </c>
      <c r="EU128" s="11" t="str">
        <f t="shared" ca="1" si="494"/>
        <v/>
      </c>
      <c r="EV128" s="22" t="str">
        <f t="shared" ca="1" si="495"/>
        <v/>
      </c>
      <c r="EW128" s="22" t="str">
        <f t="shared" ca="1" si="496"/>
        <v/>
      </c>
      <c r="EY128" s="1">
        <f t="shared" ca="1" si="497"/>
        <v>0</v>
      </c>
      <c r="EZ128" s="22" t="str">
        <f t="shared" ca="1" si="498"/>
        <v/>
      </c>
      <c r="FA128" s="11" t="str">
        <f t="shared" ca="1" si="499"/>
        <v/>
      </c>
      <c r="FB128" s="22" t="str">
        <f t="shared" ca="1" si="500"/>
        <v/>
      </c>
      <c r="FC128" s="22" t="str">
        <f t="shared" ca="1" si="501"/>
        <v/>
      </c>
      <c r="FE128" s="1">
        <f t="shared" ca="1" si="502"/>
        <v>0</v>
      </c>
      <c r="FF128" s="22" t="str">
        <f t="shared" ca="1" si="503"/>
        <v/>
      </c>
      <c r="FG128" s="11" t="str">
        <f t="shared" ca="1" si="504"/>
        <v/>
      </c>
      <c r="FH128" s="22" t="str">
        <f t="shared" ca="1" si="505"/>
        <v/>
      </c>
      <c r="FI128" s="22" t="str">
        <f t="shared" ca="1" si="506"/>
        <v/>
      </c>
      <c r="FK128" s="1">
        <f t="shared" ca="1" si="507"/>
        <v>0</v>
      </c>
      <c r="FL128" s="22" t="str">
        <f t="shared" ca="1" si="508"/>
        <v/>
      </c>
      <c r="FM128" s="11" t="str">
        <f t="shared" ca="1" si="509"/>
        <v/>
      </c>
      <c r="FN128" s="22" t="str">
        <f t="shared" ca="1" si="510"/>
        <v/>
      </c>
      <c r="FO128" s="22" t="str">
        <f t="shared" ca="1" si="511"/>
        <v/>
      </c>
    </row>
    <row r="129" spans="5:171" x14ac:dyDescent="0.2">
      <c r="E129" s="1">
        <f t="shared" ca="1" si="512"/>
        <v>1</v>
      </c>
      <c r="F129" s="22">
        <f t="shared" ca="1" si="513"/>
        <v>24</v>
      </c>
      <c r="G129" s="11" t="str">
        <f t="shared" ca="1" si="514"/>
        <v>Venezuela</v>
      </c>
      <c r="H129" s="22">
        <f t="shared" ca="1" si="515"/>
        <v>3.5627437840933798</v>
      </c>
      <c r="I129" s="22">
        <f t="shared" ca="1" si="516"/>
        <v>2012</v>
      </c>
      <c r="K129" s="1">
        <f t="shared" ca="1" si="517"/>
        <v>1</v>
      </c>
      <c r="L129" s="22">
        <f t="shared" ca="1" si="518"/>
        <v>24</v>
      </c>
      <c r="M129" s="11" t="str">
        <f t="shared" ca="1" si="519"/>
        <v>Bahamas</v>
      </c>
      <c r="N129" s="22">
        <f t="shared" ca="1" si="520"/>
        <v>0.35199999999999998</v>
      </c>
      <c r="O129" s="22">
        <f t="shared" ca="1" si="521"/>
        <v>2012</v>
      </c>
      <c r="Q129" s="1">
        <f t="shared" ca="1" si="522"/>
        <v>1</v>
      </c>
      <c r="R129" s="22">
        <f t="shared" ca="1" si="523"/>
        <v>24</v>
      </c>
      <c r="S129" s="11" t="str">
        <f t="shared" ca="1" si="524"/>
        <v>Jamaica</v>
      </c>
      <c r="T129" s="22">
        <f t="shared" ca="1" si="525"/>
        <v>10990</v>
      </c>
      <c r="U129" s="22">
        <f t="shared" ca="1" si="526"/>
        <v>2012</v>
      </c>
      <c r="W129" s="1">
        <f t="shared" ca="1" si="527"/>
        <v>1</v>
      </c>
      <c r="X129" s="22">
        <f t="shared" ca="1" si="528"/>
        <v>24</v>
      </c>
      <c r="Y129" s="11" t="str">
        <f t="shared" ca="1" si="529"/>
        <v>Barbados</v>
      </c>
      <c r="Z129" s="22">
        <f t="shared" ca="1" si="530"/>
        <v>4.5330000000000004</v>
      </c>
      <c r="AA129" s="22">
        <f t="shared" ca="1" si="531"/>
        <v>2012</v>
      </c>
      <c r="AC129" s="1">
        <f t="shared" ca="1" si="532"/>
        <v>1</v>
      </c>
      <c r="AD129" s="22">
        <f t="shared" ca="1" si="533"/>
        <v>24</v>
      </c>
      <c r="AE129" s="11" t="str">
        <f t="shared" ca="1" si="534"/>
        <v>Suriname</v>
      </c>
      <c r="AF129" s="22">
        <f t="shared" ca="1" si="535"/>
        <v>6.7629999999999999</v>
      </c>
      <c r="AG129" s="22">
        <f t="shared" ca="1" si="536"/>
        <v>2012</v>
      </c>
      <c r="AI129" s="1">
        <f t="shared" ca="1" si="537"/>
        <v>1</v>
      </c>
      <c r="AJ129" s="22">
        <f t="shared" ca="1" si="538"/>
        <v>24</v>
      </c>
      <c r="AK129" s="11" t="str">
        <f t="shared" ca="1" si="539"/>
        <v>Trinidad and Tobago</v>
      </c>
      <c r="AL129" s="22">
        <f t="shared" ca="1" si="540"/>
        <v>0.11070000000000001</v>
      </c>
      <c r="AM129" s="22">
        <f t="shared" ca="1" si="541"/>
        <v>2012</v>
      </c>
      <c r="AO129" s="1">
        <f t="shared" ca="1" si="542"/>
        <v>1</v>
      </c>
      <c r="AP129" s="22">
        <f t="shared" ca="1" si="543"/>
        <v>24</v>
      </c>
      <c r="AQ129" s="11" t="str">
        <f t="shared" ca="1" si="544"/>
        <v>Belize</v>
      </c>
      <c r="AR129" s="22">
        <f t="shared" ca="1" si="545"/>
        <v>1.205E-2</v>
      </c>
      <c r="AS129" s="22">
        <f t="shared" ca="1" si="546"/>
        <v>2012</v>
      </c>
      <c r="AU129" s="1">
        <f t="shared" ca="1" si="547"/>
        <v>1</v>
      </c>
      <c r="AV129" s="22">
        <f t="shared" ca="1" si="548"/>
        <v>24</v>
      </c>
      <c r="AW129" s="11" t="str">
        <f t="shared" ca="1" si="549"/>
        <v>Haiti</v>
      </c>
      <c r="AX129" s="22">
        <f t="shared" ca="1" si="550"/>
        <v>0.78622999999999998</v>
      </c>
      <c r="AY129" s="22">
        <f t="shared" ca="1" si="551"/>
        <v>2012</v>
      </c>
      <c r="BA129" s="1">
        <f t="shared" ca="1" si="552"/>
        <v>1</v>
      </c>
      <c r="BB129" s="22">
        <f t="shared" ca="1" si="553"/>
        <v>24</v>
      </c>
      <c r="BC129" s="11" t="str">
        <f t="shared" ca="1" si="554"/>
        <v>Barbados</v>
      </c>
      <c r="BD129" s="22">
        <f t="shared" ca="1" si="555"/>
        <v>499678.22700000001</v>
      </c>
      <c r="BE129" s="22">
        <f t="shared" ca="1" si="556"/>
        <v>2012</v>
      </c>
      <c r="BG129" s="1">
        <f t="shared" ca="1" si="557"/>
        <v>1</v>
      </c>
      <c r="BH129" s="22">
        <f t="shared" ca="1" si="558"/>
        <v>24</v>
      </c>
      <c r="BI129" s="11" t="str">
        <f t="shared" ca="1" si="559"/>
        <v>Barbados</v>
      </c>
      <c r="BJ129" s="22">
        <f t="shared" ca="1" si="560"/>
        <v>1.8449346</v>
      </c>
      <c r="BK129" s="22">
        <f t="shared" ca="1" si="561"/>
        <v>2012</v>
      </c>
      <c r="BM129" s="1">
        <f t="shared" ca="1" si="562"/>
        <v>1</v>
      </c>
      <c r="BN129" s="22">
        <f t="shared" ca="1" si="563"/>
        <v>24</v>
      </c>
      <c r="BO129" s="11" t="str">
        <f t="shared" ca="1" si="564"/>
        <v>Belize</v>
      </c>
      <c r="BP129" s="22">
        <f t="shared" ca="1" si="565"/>
        <v>413482.45328604401</v>
      </c>
      <c r="BQ129" s="22">
        <f t="shared" ca="1" si="566"/>
        <v>2012</v>
      </c>
      <c r="BS129" s="1">
        <f t="shared" ca="1" si="567"/>
        <v>0</v>
      </c>
      <c r="BT129" s="22" t="str">
        <f t="shared" ca="1" si="568"/>
        <v/>
      </c>
      <c r="BU129" s="11" t="str">
        <f t="shared" ca="1" si="569"/>
        <v/>
      </c>
      <c r="BV129" s="22" t="str">
        <f t="shared" ca="1" si="570"/>
        <v/>
      </c>
      <c r="BW129" s="22" t="str">
        <f t="shared" ca="1" si="571"/>
        <v/>
      </c>
      <c r="BY129" s="1">
        <f t="shared" ca="1" si="572"/>
        <v>0</v>
      </c>
      <c r="BZ129" s="22" t="str">
        <f t="shared" ca="1" si="573"/>
        <v/>
      </c>
      <c r="CA129" s="11" t="str">
        <f t="shared" ca="1" si="574"/>
        <v/>
      </c>
      <c r="CB129" s="22" t="str">
        <f t="shared" ca="1" si="575"/>
        <v/>
      </c>
      <c r="CC129" s="22" t="str">
        <f t="shared" ca="1" si="576"/>
        <v/>
      </c>
      <c r="CE129" s="1">
        <f t="shared" ca="1" si="577"/>
        <v>0</v>
      </c>
      <c r="CF129" s="22" t="str">
        <f t="shared" ca="1" si="578"/>
        <v/>
      </c>
      <c r="CG129" s="11" t="str">
        <f t="shared" ca="1" si="579"/>
        <v/>
      </c>
      <c r="CH129" s="22" t="str">
        <f t="shared" ca="1" si="580"/>
        <v/>
      </c>
      <c r="CI129" s="22" t="str">
        <f t="shared" ca="1" si="581"/>
        <v/>
      </c>
      <c r="CK129" s="1">
        <f t="shared" ca="1" si="582"/>
        <v>0</v>
      </c>
      <c r="CL129" s="22" t="str">
        <f t="shared" ca="1" si="583"/>
        <v/>
      </c>
      <c r="CM129" s="11" t="str">
        <f t="shared" ca="1" si="584"/>
        <v/>
      </c>
      <c r="CN129" s="22" t="str">
        <f t="shared" ca="1" si="585"/>
        <v/>
      </c>
      <c r="CO129" s="22" t="str">
        <f t="shared" ca="1" si="586"/>
        <v/>
      </c>
      <c r="CP129" s="73"/>
      <c r="CQ129" s="1">
        <f t="shared" ca="1" si="587"/>
        <v>0</v>
      </c>
      <c r="CR129" s="22" t="str">
        <f t="shared" ca="1" si="588"/>
        <v/>
      </c>
      <c r="CS129" s="11" t="str">
        <f t="shared" ca="1" si="589"/>
        <v/>
      </c>
      <c r="CT129" s="22" t="str">
        <f t="shared" ca="1" si="590"/>
        <v/>
      </c>
      <c r="CU129" s="22" t="str">
        <f t="shared" ca="1" si="591"/>
        <v/>
      </c>
      <c r="CW129" s="1">
        <f t="shared" ca="1" si="592"/>
        <v>0</v>
      </c>
      <c r="CX129" s="22" t="str">
        <f t="shared" ca="1" si="593"/>
        <v/>
      </c>
      <c r="CY129" s="11" t="str">
        <f t="shared" ca="1" si="594"/>
        <v/>
      </c>
      <c r="CZ129" s="22" t="str">
        <f t="shared" ca="1" si="595"/>
        <v/>
      </c>
      <c r="DA129" s="22" t="str">
        <f t="shared" ca="1" si="596"/>
        <v/>
      </c>
      <c r="DC129" s="1">
        <f t="shared" ca="1" si="597"/>
        <v>0</v>
      </c>
      <c r="DD129" s="22" t="str">
        <f t="shared" ca="1" si="598"/>
        <v/>
      </c>
      <c r="DE129" s="11" t="str">
        <f t="shared" ca="1" si="599"/>
        <v/>
      </c>
      <c r="DF129" s="22" t="str">
        <f t="shared" ca="1" si="600"/>
        <v/>
      </c>
      <c r="DG129" s="22" t="str">
        <f t="shared" ca="1" si="601"/>
        <v/>
      </c>
      <c r="DI129" s="1">
        <f t="shared" ca="1" si="602"/>
        <v>0</v>
      </c>
      <c r="DJ129" s="22" t="str">
        <f t="shared" ca="1" si="603"/>
        <v/>
      </c>
      <c r="DK129" s="11" t="str">
        <f t="shared" ca="1" si="604"/>
        <v/>
      </c>
      <c r="DL129" s="22" t="str">
        <f t="shared" ca="1" si="605"/>
        <v/>
      </c>
      <c r="DM129" s="22" t="str">
        <f t="shared" ca="1" si="606"/>
        <v/>
      </c>
      <c r="DO129" s="1">
        <f t="shared" ca="1" si="607"/>
        <v>0</v>
      </c>
      <c r="DP129" s="22" t="str">
        <f t="shared" ca="1" si="608"/>
        <v/>
      </c>
      <c r="DQ129" s="11" t="str">
        <f t="shared" ca="1" si="609"/>
        <v/>
      </c>
      <c r="DR129" s="22" t="str">
        <f t="shared" ca="1" si="610"/>
        <v/>
      </c>
      <c r="DS129" s="22" t="str">
        <f t="shared" ca="1" si="611"/>
        <v/>
      </c>
      <c r="DU129" s="1">
        <f t="shared" ca="1" si="472"/>
        <v>0</v>
      </c>
      <c r="DV129" s="22" t="str">
        <f t="shared" ca="1" si="473"/>
        <v/>
      </c>
      <c r="DW129" s="11" t="str">
        <f t="shared" ca="1" si="474"/>
        <v/>
      </c>
      <c r="DX129" s="22" t="str">
        <f t="shared" ca="1" si="475"/>
        <v/>
      </c>
      <c r="DY129" s="22" t="str">
        <f t="shared" ca="1" si="476"/>
        <v/>
      </c>
      <c r="EA129" s="1">
        <f t="shared" ca="1" si="477"/>
        <v>0</v>
      </c>
      <c r="EB129" s="22" t="str">
        <f t="shared" ca="1" si="478"/>
        <v/>
      </c>
      <c r="EC129" s="11" t="str">
        <f t="shared" ca="1" si="479"/>
        <v/>
      </c>
      <c r="ED129" s="22" t="str">
        <f t="shared" ca="1" si="480"/>
        <v/>
      </c>
      <c r="EE129" s="22" t="str">
        <f t="shared" ca="1" si="481"/>
        <v/>
      </c>
      <c r="EG129" s="1">
        <f t="shared" ca="1" si="482"/>
        <v>0</v>
      </c>
      <c r="EH129" s="22" t="str">
        <f t="shared" ca="1" si="483"/>
        <v/>
      </c>
      <c r="EI129" s="11" t="str">
        <f t="shared" ca="1" si="484"/>
        <v/>
      </c>
      <c r="EJ129" s="22" t="str">
        <f t="shared" ca="1" si="485"/>
        <v/>
      </c>
      <c r="EK129" s="22" t="str">
        <f t="shared" ca="1" si="486"/>
        <v/>
      </c>
      <c r="EM129" s="1">
        <f t="shared" ca="1" si="487"/>
        <v>0</v>
      </c>
      <c r="EN129" s="22" t="str">
        <f t="shared" ca="1" si="488"/>
        <v/>
      </c>
      <c r="EO129" s="11" t="str">
        <f t="shared" ca="1" si="489"/>
        <v/>
      </c>
      <c r="EP129" s="22" t="str">
        <f t="shared" ca="1" si="490"/>
        <v/>
      </c>
      <c r="EQ129" s="22" t="str">
        <f t="shared" ca="1" si="491"/>
        <v/>
      </c>
      <c r="ES129" s="1">
        <f t="shared" ca="1" si="492"/>
        <v>0</v>
      </c>
      <c r="ET129" s="22" t="str">
        <f t="shared" ca="1" si="493"/>
        <v/>
      </c>
      <c r="EU129" s="11" t="str">
        <f t="shared" ca="1" si="494"/>
        <v/>
      </c>
      <c r="EV129" s="22" t="str">
        <f t="shared" ca="1" si="495"/>
        <v/>
      </c>
      <c r="EW129" s="22" t="str">
        <f t="shared" ca="1" si="496"/>
        <v/>
      </c>
      <c r="EY129" s="1">
        <f t="shared" ca="1" si="497"/>
        <v>0</v>
      </c>
      <c r="EZ129" s="22" t="str">
        <f t="shared" ca="1" si="498"/>
        <v/>
      </c>
      <c r="FA129" s="11" t="str">
        <f t="shared" ca="1" si="499"/>
        <v/>
      </c>
      <c r="FB129" s="22" t="str">
        <f t="shared" ca="1" si="500"/>
        <v/>
      </c>
      <c r="FC129" s="22" t="str">
        <f t="shared" ca="1" si="501"/>
        <v/>
      </c>
      <c r="FE129" s="1">
        <f t="shared" ca="1" si="502"/>
        <v>0</v>
      </c>
      <c r="FF129" s="22" t="str">
        <f t="shared" ca="1" si="503"/>
        <v/>
      </c>
      <c r="FG129" s="11" t="str">
        <f t="shared" ca="1" si="504"/>
        <v/>
      </c>
      <c r="FH129" s="22" t="str">
        <f t="shared" ca="1" si="505"/>
        <v/>
      </c>
      <c r="FI129" s="22" t="str">
        <f t="shared" ca="1" si="506"/>
        <v/>
      </c>
      <c r="FK129" s="1">
        <f t="shared" ca="1" si="507"/>
        <v>0</v>
      </c>
      <c r="FL129" s="22" t="str">
        <f t="shared" ca="1" si="508"/>
        <v/>
      </c>
      <c r="FM129" s="11" t="str">
        <f t="shared" ca="1" si="509"/>
        <v/>
      </c>
      <c r="FN129" s="22" t="str">
        <f t="shared" ca="1" si="510"/>
        <v/>
      </c>
      <c r="FO129" s="22" t="str">
        <f t="shared" ca="1" si="511"/>
        <v/>
      </c>
    </row>
    <row r="130" spans="5:171" x14ac:dyDescent="0.2">
      <c r="E130" s="1">
        <f t="shared" ca="1" si="512"/>
        <v>1</v>
      </c>
      <c r="F130" s="22">
        <f t="shared" ca="1" si="513"/>
        <v>25</v>
      </c>
      <c r="G130" s="11" t="str">
        <f t="shared" ca="1" si="514"/>
        <v>Paraguay</v>
      </c>
      <c r="H130" s="22">
        <f t="shared" ca="1" si="515"/>
        <v>2.4994499559909897</v>
      </c>
      <c r="I130" s="22">
        <f t="shared" ca="1" si="516"/>
        <v>2012</v>
      </c>
      <c r="K130" s="1">
        <f t="shared" ca="1" si="517"/>
        <v>1</v>
      </c>
      <c r="L130" s="22">
        <f t="shared" ca="1" si="518"/>
        <v>25</v>
      </c>
      <c r="M130" s="11" t="str">
        <f t="shared" ca="1" si="519"/>
        <v>Belize</v>
      </c>
      <c r="N130" s="22">
        <f t="shared" ca="1" si="520"/>
        <v>0.34195588378800001</v>
      </c>
      <c r="O130" s="22">
        <f t="shared" ca="1" si="521"/>
        <v>2012</v>
      </c>
      <c r="Q130" s="1">
        <f t="shared" ca="1" si="522"/>
        <v>1</v>
      </c>
      <c r="R130" s="22">
        <f t="shared" ca="1" si="523"/>
        <v>25</v>
      </c>
      <c r="S130" s="11" t="str">
        <f t="shared" ca="1" si="524"/>
        <v>Trinidad and Tobago</v>
      </c>
      <c r="T130" s="22">
        <f t="shared" ca="1" si="525"/>
        <v>5130</v>
      </c>
      <c r="U130" s="22">
        <f t="shared" ca="1" si="526"/>
        <v>2012</v>
      </c>
      <c r="W130" s="1">
        <f t="shared" ca="1" si="527"/>
        <v>1</v>
      </c>
      <c r="X130" s="22">
        <f t="shared" ca="1" si="528"/>
        <v>25</v>
      </c>
      <c r="Y130" s="11" t="str">
        <f t="shared" ca="1" si="529"/>
        <v>Guyana</v>
      </c>
      <c r="Z130" s="22">
        <f t="shared" ca="1" si="530"/>
        <v>2.7879999999999998</v>
      </c>
      <c r="AA130" s="22">
        <f t="shared" ca="1" si="531"/>
        <v>2012</v>
      </c>
      <c r="AC130" s="1">
        <f t="shared" ca="1" si="532"/>
        <v>1</v>
      </c>
      <c r="AD130" s="22">
        <f t="shared" ca="1" si="533"/>
        <v>25</v>
      </c>
      <c r="AE130" s="11" t="str">
        <f t="shared" ca="1" si="534"/>
        <v>Guyana</v>
      </c>
      <c r="AF130" s="22">
        <f t="shared" ca="1" si="535"/>
        <v>6.1639999999999997</v>
      </c>
      <c r="AG130" s="22">
        <f t="shared" ca="1" si="536"/>
        <v>2012</v>
      </c>
      <c r="AI130" s="1">
        <f t="shared" ca="1" si="537"/>
        <v>1</v>
      </c>
      <c r="AJ130" s="22">
        <f t="shared" ca="1" si="538"/>
        <v>25</v>
      </c>
      <c r="AK130" s="11" t="str">
        <f t="shared" ca="1" si="539"/>
        <v>Belize</v>
      </c>
      <c r="AL130" s="22">
        <f t="shared" ca="1" si="540"/>
        <v>7.9100000000000004E-2</v>
      </c>
      <c r="AM130" s="22">
        <f t="shared" ca="1" si="541"/>
        <v>2012</v>
      </c>
      <c r="AO130" s="1">
        <f t="shared" ca="1" si="542"/>
        <v>1</v>
      </c>
      <c r="AP130" s="22" t="str">
        <f t="shared" ca="1" si="543"/>
        <v/>
      </c>
      <c r="AQ130" s="11" t="str">
        <f t="shared" ca="1" si="544"/>
        <v/>
      </c>
      <c r="AR130" s="22" t="str">
        <f t="shared" ca="1" si="545"/>
        <v/>
      </c>
      <c r="AS130" s="22" t="str">
        <f t="shared" ca="1" si="546"/>
        <v/>
      </c>
      <c r="AU130" s="1">
        <f t="shared" ca="1" si="547"/>
        <v>1</v>
      </c>
      <c r="AV130" s="22">
        <f t="shared" ca="1" si="548"/>
        <v>25</v>
      </c>
      <c r="AW130" s="11" t="str">
        <f t="shared" ca="1" si="549"/>
        <v>Belize</v>
      </c>
      <c r="AX130" s="22">
        <f t="shared" ca="1" si="550"/>
        <v>0.63690000000000002</v>
      </c>
      <c r="AY130" s="22">
        <f t="shared" ca="1" si="551"/>
        <v>2012</v>
      </c>
      <c r="BA130" s="1">
        <f t="shared" ca="1" si="552"/>
        <v>1</v>
      </c>
      <c r="BB130" s="22">
        <f t="shared" ca="1" si="553"/>
        <v>25</v>
      </c>
      <c r="BC130" s="11" t="str">
        <f t="shared" ca="1" si="554"/>
        <v>Belize</v>
      </c>
      <c r="BD130" s="22">
        <f t="shared" ca="1" si="555"/>
        <v>352043.95699999999</v>
      </c>
      <c r="BE130" s="22">
        <f t="shared" ca="1" si="556"/>
        <v>2012</v>
      </c>
      <c r="BG130" s="1">
        <f t="shared" ca="1" si="557"/>
        <v>1</v>
      </c>
      <c r="BH130" s="22">
        <f t="shared" ca="1" si="558"/>
        <v>25</v>
      </c>
      <c r="BI130" s="11" t="str">
        <f t="shared" ca="1" si="559"/>
        <v>Suriname</v>
      </c>
      <c r="BJ130" s="22">
        <f t="shared" ca="1" si="560"/>
        <v>1.36799</v>
      </c>
      <c r="BK130" s="22">
        <f t="shared" ca="1" si="561"/>
        <v>2012</v>
      </c>
      <c r="BM130" s="1">
        <f t="shared" ca="1" si="562"/>
        <v>1</v>
      </c>
      <c r="BN130" s="22" t="str">
        <f t="shared" ca="1" si="563"/>
        <v/>
      </c>
      <c r="BO130" s="11" t="str">
        <f t="shared" ca="1" si="564"/>
        <v/>
      </c>
      <c r="BP130" s="22" t="str">
        <f t="shared" ca="1" si="565"/>
        <v/>
      </c>
      <c r="BQ130" s="22" t="str">
        <f t="shared" ca="1" si="566"/>
        <v/>
      </c>
      <c r="BS130" s="1">
        <f t="shared" ca="1" si="567"/>
        <v>0</v>
      </c>
      <c r="BT130" s="22" t="str">
        <f t="shared" ca="1" si="568"/>
        <v/>
      </c>
      <c r="BU130" s="11" t="str">
        <f t="shared" ca="1" si="569"/>
        <v/>
      </c>
      <c r="BV130" s="22" t="str">
        <f t="shared" ca="1" si="570"/>
        <v/>
      </c>
      <c r="BW130" s="22" t="str">
        <f t="shared" ca="1" si="571"/>
        <v/>
      </c>
      <c r="BY130" s="1">
        <f t="shared" ca="1" si="572"/>
        <v>0</v>
      </c>
      <c r="BZ130" s="22" t="str">
        <f t="shared" ca="1" si="573"/>
        <v/>
      </c>
      <c r="CA130" s="11" t="str">
        <f t="shared" ca="1" si="574"/>
        <v/>
      </c>
      <c r="CB130" s="22" t="str">
        <f t="shared" ca="1" si="575"/>
        <v/>
      </c>
      <c r="CC130" s="22" t="str">
        <f t="shared" ca="1" si="576"/>
        <v/>
      </c>
      <c r="CE130" s="1">
        <f t="shared" ca="1" si="577"/>
        <v>0</v>
      </c>
      <c r="CF130" s="22" t="str">
        <f t="shared" ca="1" si="578"/>
        <v/>
      </c>
      <c r="CG130" s="11" t="str">
        <f t="shared" ca="1" si="579"/>
        <v/>
      </c>
      <c r="CH130" s="22" t="str">
        <f t="shared" ca="1" si="580"/>
        <v/>
      </c>
      <c r="CI130" s="22" t="str">
        <f t="shared" ca="1" si="581"/>
        <v/>
      </c>
      <c r="CK130" s="1">
        <f t="shared" ca="1" si="582"/>
        <v>0</v>
      </c>
      <c r="CL130" s="22" t="str">
        <f t="shared" ca="1" si="583"/>
        <v/>
      </c>
      <c r="CM130" s="11" t="str">
        <f t="shared" ca="1" si="584"/>
        <v/>
      </c>
      <c r="CN130" s="22" t="str">
        <f t="shared" ca="1" si="585"/>
        <v/>
      </c>
      <c r="CO130" s="22" t="str">
        <f t="shared" ca="1" si="586"/>
        <v/>
      </c>
      <c r="CP130" s="73"/>
      <c r="CQ130" s="1">
        <f t="shared" ca="1" si="587"/>
        <v>0</v>
      </c>
      <c r="CR130" s="22" t="str">
        <f t="shared" ca="1" si="588"/>
        <v/>
      </c>
      <c r="CS130" s="11" t="str">
        <f t="shared" ca="1" si="589"/>
        <v/>
      </c>
      <c r="CT130" s="22" t="str">
        <f t="shared" ca="1" si="590"/>
        <v/>
      </c>
      <c r="CU130" s="22" t="str">
        <f t="shared" ca="1" si="591"/>
        <v/>
      </c>
      <c r="CW130" s="1">
        <f t="shared" ca="1" si="592"/>
        <v>0</v>
      </c>
      <c r="CX130" s="22" t="str">
        <f t="shared" ca="1" si="593"/>
        <v/>
      </c>
      <c r="CY130" s="11" t="str">
        <f t="shared" ca="1" si="594"/>
        <v/>
      </c>
      <c r="CZ130" s="22" t="str">
        <f t="shared" ca="1" si="595"/>
        <v/>
      </c>
      <c r="DA130" s="22" t="str">
        <f t="shared" ca="1" si="596"/>
        <v/>
      </c>
      <c r="DC130" s="1">
        <f t="shared" ca="1" si="597"/>
        <v>0</v>
      </c>
      <c r="DD130" s="22" t="str">
        <f t="shared" ca="1" si="598"/>
        <v/>
      </c>
      <c r="DE130" s="11" t="str">
        <f t="shared" ca="1" si="599"/>
        <v/>
      </c>
      <c r="DF130" s="22" t="str">
        <f t="shared" ca="1" si="600"/>
        <v/>
      </c>
      <c r="DG130" s="22" t="str">
        <f t="shared" ca="1" si="601"/>
        <v/>
      </c>
      <c r="DI130" s="1">
        <f t="shared" ca="1" si="602"/>
        <v>0</v>
      </c>
      <c r="DJ130" s="22" t="str">
        <f t="shared" ca="1" si="603"/>
        <v/>
      </c>
      <c r="DK130" s="11" t="str">
        <f t="shared" ca="1" si="604"/>
        <v/>
      </c>
      <c r="DL130" s="22" t="str">
        <f t="shared" ca="1" si="605"/>
        <v/>
      </c>
      <c r="DM130" s="22" t="str">
        <f t="shared" ca="1" si="606"/>
        <v/>
      </c>
      <c r="DO130" s="1">
        <f t="shared" ca="1" si="607"/>
        <v>0</v>
      </c>
      <c r="DP130" s="22" t="str">
        <f t="shared" ca="1" si="608"/>
        <v/>
      </c>
      <c r="DQ130" s="11" t="str">
        <f t="shared" ca="1" si="609"/>
        <v/>
      </c>
      <c r="DR130" s="22" t="str">
        <f t="shared" ca="1" si="610"/>
        <v/>
      </c>
      <c r="DS130" s="22" t="str">
        <f t="shared" ca="1" si="611"/>
        <v/>
      </c>
      <c r="DU130" s="1">
        <f t="shared" ca="1" si="472"/>
        <v>0</v>
      </c>
      <c r="DV130" s="22" t="str">
        <f t="shared" ca="1" si="473"/>
        <v/>
      </c>
      <c r="DW130" s="11" t="str">
        <f t="shared" ca="1" si="474"/>
        <v/>
      </c>
      <c r="DX130" s="22" t="str">
        <f t="shared" ca="1" si="475"/>
        <v/>
      </c>
      <c r="DY130" s="22" t="str">
        <f t="shared" ca="1" si="476"/>
        <v/>
      </c>
      <c r="EA130" s="1">
        <f t="shared" ca="1" si="477"/>
        <v>0</v>
      </c>
      <c r="EB130" s="22" t="str">
        <f t="shared" ca="1" si="478"/>
        <v/>
      </c>
      <c r="EC130" s="11" t="str">
        <f t="shared" ca="1" si="479"/>
        <v/>
      </c>
      <c r="ED130" s="22" t="str">
        <f t="shared" ca="1" si="480"/>
        <v/>
      </c>
      <c r="EE130" s="22" t="str">
        <f t="shared" ca="1" si="481"/>
        <v/>
      </c>
      <c r="EG130" s="1">
        <f t="shared" ca="1" si="482"/>
        <v>0</v>
      </c>
      <c r="EH130" s="22" t="str">
        <f t="shared" ca="1" si="483"/>
        <v/>
      </c>
      <c r="EI130" s="11" t="str">
        <f t="shared" ca="1" si="484"/>
        <v/>
      </c>
      <c r="EJ130" s="22" t="str">
        <f t="shared" ca="1" si="485"/>
        <v/>
      </c>
      <c r="EK130" s="22" t="str">
        <f t="shared" ca="1" si="486"/>
        <v/>
      </c>
      <c r="EM130" s="1">
        <f t="shared" ca="1" si="487"/>
        <v>0</v>
      </c>
      <c r="EN130" s="22" t="str">
        <f t="shared" ca="1" si="488"/>
        <v/>
      </c>
      <c r="EO130" s="11" t="str">
        <f t="shared" ca="1" si="489"/>
        <v/>
      </c>
      <c r="EP130" s="22" t="str">
        <f t="shared" ca="1" si="490"/>
        <v/>
      </c>
      <c r="EQ130" s="22" t="str">
        <f t="shared" ca="1" si="491"/>
        <v/>
      </c>
      <c r="ES130" s="1">
        <f t="shared" ca="1" si="492"/>
        <v>0</v>
      </c>
      <c r="ET130" s="22" t="str">
        <f t="shared" ca="1" si="493"/>
        <v/>
      </c>
      <c r="EU130" s="11" t="str">
        <f t="shared" ca="1" si="494"/>
        <v/>
      </c>
      <c r="EV130" s="22" t="str">
        <f t="shared" ca="1" si="495"/>
        <v/>
      </c>
      <c r="EW130" s="22" t="str">
        <f t="shared" ca="1" si="496"/>
        <v/>
      </c>
      <c r="EY130" s="1">
        <f t="shared" ca="1" si="497"/>
        <v>0</v>
      </c>
      <c r="EZ130" s="22" t="str">
        <f t="shared" ca="1" si="498"/>
        <v/>
      </c>
      <c r="FA130" s="11" t="str">
        <f t="shared" ca="1" si="499"/>
        <v/>
      </c>
      <c r="FB130" s="22" t="str">
        <f t="shared" ca="1" si="500"/>
        <v/>
      </c>
      <c r="FC130" s="22" t="str">
        <f t="shared" ca="1" si="501"/>
        <v/>
      </c>
      <c r="FE130" s="1">
        <f t="shared" ca="1" si="502"/>
        <v>0</v>
      </c>
      <c r="FF130" s="22" t="str">
        <f t="shared" ca="1" si="503"/>
        <v/>
      </c>
      <c r="FG130" s="11" t="str">
        <f t="shared" ca="1" si="504"/>
        <v/>
      </c>
      <c r="FH130" s="22" t="str">
        <f t="shared" ca="1" si="505"/>
        <v/>
      </c>
      <c r="FI130" s="22" t="str">
        <f t="shared" ca="1" si="506"/>
        <v/>
      </c>
      <c r="FK130" s="1">
        <f t="shared" ca="1" si="507"/>
        <v>0</v>
      </c>
      <c r="FL130" s="22" t="str">
        <f t="shared" ca="1" si="508"/>
        <v/>
      </c>
      <c r="FM130" s="11" t="str">
        <f t="shared" ca="1" si="509"/>
        <v/>
      </c>
      <c r="FN130" s="22" t="str">
        <f t="shared" ca="1" si="510"/>
        <v/>
      </c>
      <c r="FO130" s="22" t="str">
        <f t="shared" ca="1" si="511"/>
        <v/>
      </c>
    </row>
    <row r="131" spans="5:171" x14ac:dyDescent="0.2">
      <c r="E131" s="1">
        <f t="shared" ca="1" si="512"/>
        <v>1</v>
      </c>
      <c r="F131" s="22" t="str">
        <f t="shared" ca="1" si="513"/>
        <v/>
      </c>
      <c r="G131" s="11" t="str">
        <f t="shared" ca="1" si="514"/>
        <v/>
      </c>
      <c r="H131" s="22" t="str">
        <f t="shared" ca="1" si="515"/>
        <v/>
      </c>
      <c r="I131" s="22" t="str">
        <f t="shared" ca="1" si="516"/>
        <v/>
      </c>
      <c r="K131" s="1">
        <f t="shared" ca="1" si="517"/>
        <v>1</v>
      </c>
      <c r="L131" s="22">
        <f t="shared" ca="1" si="518"/>
        <v>26</v>
      </c>
      <c r="M131" s="11" t="str">
        <f t="shared" ca="1" si="519"/>
        <v>Barbados</v>
      </c>
      <c r="N131" s="22">
        <f t="shared" ca="1" si="520"/>
        <v>0.27451900000000001</v>
      </c>
      <c r="O131" s="22">
        <f t="shared" ca="1" si="521"/>
        <v>2012</v>
      </c>
      <c r="Q131" s="1">
        <f t="shared" ca="1" si="522"/>
        <v>1</v>
      </c>
      <c r="R131" s="22">
        <f t="shared" ca="1" si="523"/>
        <v>26</v>
      </c>
      <c r="S131" s="11" t="str">
        <f t="shared" ca="1" si="524"/>
        <v>Barbados</v>
      </c>
      <c r="T131" s="22">
        <f t="shared" ca="1" si="525"/>
        <v>430</v>
      </c>
      <c r="U131" s="22">
        <f t="shared" ca="1" si="526"/>
        <v>2012</v>
      </c>
      <c r="W131" s="1">
        <f t="shared" ca="1" si="527"/>
        <v>1</v>
      </c>
      <c r="X131" s="22">
        <f t="shared" ca="1" si="528"/>
        <v>26</v>
      </c>
      <c r="Y131" s="11" t="str">
        <f t="shared" ca="1" si="529"/>
        <v>Belize</v>
      </c>
      <c r="Z131" s="22">
        <f t="shared" ca="1" si="530"/>
        <v>1.554</v>
      </c>
      <c r="AA131" s="22">
        <f t="shared" ca="1" si="531"/>
        <v>2012</v>
      </c>
      <c r="AC131" s="1">
        <f t="shared" ca="1" si="532"/>
        <v>1</v>
      </c>
      <c r="AD131" s="22">
        <f t="shared" ca="1" si="533"/>
        <v>26</v>
      </c>
      <c r="AE131" s="11" t="str">
        <f t="shared" ca="1" si="534"/>
        <v>Belize</v>
      </c>
      <c r="AF131" s="22">
        <f t="shared" ca="1" si="535"/>
        <v>2.9990000000000001</v>
      </c>
      <c r="AG131" s="22">
        <f t="shared" ca="1" si="536"/>
        <v>2012</v>
      </c>
      <c r="AI131" s="1">
        <f t="shared" ca="1" si="537"/>
        <v>1</v>
      </c>
      <c r="AJ131" s="22">
        <f t="shared" ca="1" si="538"/>
        <v>26</v>
      </c>
      <c r="AK131" s="11" t="str">
        <f t="shared" ca="1" si="539"/>
        <v>Suriname</v>
      </c>
      <c r="AL131" s="22">
        <f t="shared" ca="1" si="540"/>
        <v>7.8880000000000006E-2</v>
      </c>
      <c r="AM131" s="22">
        <f t="shared" ca="1" si="541"/>
        <v>2012</v>
      </c>
      <c r="AO131" s="1">
        <f t="shared" ca="1" si="542"/>
        <v>1</v>
      </c>
      <c r="AP131" s="22" t="str">
        <f t="shared" ca="1" si="543"/>
        <v/>
      </c>
      <c r="AQ131" s="11" t="str">
        <f t="shared" ca="1" si="544"/>
        <v/>
      </c>
      <c r="AR131" s="22" t="str">
        <f t="shared" ca="1" si="545"/>
        <v/>
      </c>
      <c r="AS131" s="22" t="str">
        <f t="shared" ca="1" si="546"/>
        <v/>
      </c>
      <c r="AU131" s="1">
        <f t="shared" ca="1" si="547"/>
        <v>1</v>
      </c>
      <c r="AV131" s="22">
        <f t="shared" ca="1" si="548"/>
        <v>26</v>
      </c>
      <c r="AW131" s="11" t="str">
        <f t="shared" ca="1" si="549"/>
        <v>Barbados</v>
      </c>
      <c r="AX131" s="22">
        <f t="shared" ca="1" si="550"/>
        <v>0.47486099999999998</v>
      </c>
      <c r="AY131" s="22">
        <f t="shared" ca="1" si="551"/>
        <v>2012</v>
      </c>
      <c r="BA131" s="1">
        <f t="shared" ca="1" si="552"/>
        <v>1</v>
      </c>
      <c r="BB131" s="22" t="str">
        <f t="shared" ca="1" si="553"/>
        <v/>
      </c>
      <c r="BC131" s="11" t="str">
        <f t="shared" ca="1" si="554"/>
        <v/>
      </c>
      <c r="BD131" s="22" t="str">
        <f t="shared" ca="1" si="555"/>
        <v/>
      </c>
      <c r="BE131" s="22" t="str">
        <f t="shared" ca="1" si="556"/>
        <v/>
      </c>
      <c r="BG131" s="1">
        <f t="shared" ca="1" si="557"/>
        <v>1</v>
      </c>
      <c r="BH131" s="22">
        <f t="shared" ca="1" si="558"/>
        <v>26</v>
      </c>
      <c r="BI131" s="11" t="str">
        <f t="shared" ca="1" si="559"/>
        <v>Belize</v>
      </c>
      <c r="BJ131" s="22">
        <f t="shared" ca="1" si="560"/>
        <v>0.82399999999999995</v>
      </c>
      <c r="BK131" s="22">
        <f t="shared" ca="1" si="561"/>
        <v>2012</v>
      </c>
      <c r="BM131" s="1">
        <f t="shared" ca="1" si="562"/>
        <v>1</v>
      </c>
      <c r="BN131" s="22" t="str">
        <f t="shared" ca="1" si="563"/>
        <v/>
      </c>
      <c r="BO131" s="11" t="str">
        <f t="shared" ca="1" si="564"/>
        <v/>
      </c>
      <c r="BP131" s="22" t="str">
        <f t="shared" ca="1" si="565"/>
        <v/>
      </c>
      <c r="BQ131" s="22" t="str">
        <f t="shared" ca="1" si="566"/>
        <v/>
      </c>
      <c r="BS131" s="1">
        <f t="shared" ca="1" si="567"/>
        <v>0</v>
      </c>
      <c r="BT131" s="22" t="str">
        <f t="shared" ca="1" si="568"/>
        <v/>
      </c>
      <c r="BU131" s="11" t="str">
        <f t="shared" ca="1" si="569"/>
        <v/>
      </c>
      <c r="BV131" s="22" t="str">
        <f t="shared" ca="1" si="570"/>
        <v/>
      </c>
      <c r="BW131" s="22" t="str">
        <f t="shared" ca="1" si="571"/>
        <v/>
      </c>
      <c r="BY131" s="1">
        <f t="shared" ca="1" si="572"/>
        <v>0</v>
      </c>
      <c r="BZ131" s="22" t="str">
        <f t="shared" ca="1" si="573"/>
        <v/>
      </c>
      <c r="CA131" s="11" t="str">
        <f t="shared" ca="1" si="574"/>
        <v/>
      </c>
      <c r="CB131" s="22" t="str">
        <f t="shared" ca="1" si="575"/>
        <v/>
      </c>
      <c r="CC131" s="22" t="str">
        <f t="shared" ca="1" si="576"/>
        <v/>
      </c>
      <c r="CE131" s="1">
        <f t="shared" ca="1" si="577"/>
        <v>0</v>
      </c>
      <c r="CF131" s="22" t="str">
        <f t="shared" ca="1" si="578"/>
        <v/>
      </c>
      <c r="CG131" s="11" t="str">
        <f t="shared" ca="1" si="579"/>
        <v/>
      </c>
      <c r="CH131" s="22" t="str">
        <f t="shared" ca="1" si="580"/>
        <v/>
      </c>
      <c r="CI131" s="22" t="str">
        <f t="shared" ca="1" si="581"/>
        <v/>
      </c>
      <c r="CK131" s="1">
        <f t="shared" ca="1" si="582"/>
        <v>0</v>
      </c>
      <c r="CL131" s="22" t="str">
        <f t="shared" ca="1" si="583"/>
        <v/>
      </c>
      <c r="CM131" s="11" t="str">
        <f t="shared" ca="1" si="584"/>
        <v/>
      </c>
      <c r="CN131" s="22" t="str">
        <f t="shared" ca="1" si="585"/>
        <v/>
      </c>
      <c r="CO131" s="22" t="str">
        <f t="shared" ca="1" si="586"/>
        <v/>
      </c>
      <c r="CP131" s="73"/>
      <c r="CQ131" s="1">
        <f t="shared" ca="1" si="587"/>
        <v>0</v>
      </c>
      <c r="CR131" s="22" t="str">
        <f t="shared" ca="1" si="588"/>
        <v/>
      </c>
      <c r="CS131" s="11" t="str">
        <f t="shared" ca="1" si="589"/>
        <v/>
      </c>
      <c r="CT131" s="22" t="str">
        <f t="shared" ca="1" si="590"/>
        <v/>
      </c>
      <c r="CU131" s="22" t="str">
        <f t="shared" ca="1" si="591"/>
        <v/>
      </c>
      <c r="CW131" s="1">
        <f t="shared" ca="1" si="592"/>
        <v>0</v>
      </c>
      <c r="CX131" s="22" t="str">
        <f t="shared" ca="1" si="593"/>
        <v/>
      </c>
      <c r="CY131" s="11" t="str">
        <f t="shared" ca="1" si="594"/>
        <v/>
      </c>
      <c r="CZ131" s="22" t="str">
        <f t="shared" ca="1" si="595"/>
        <v/>
      </c>
      <c r="DA131" s="22" t="str">
        <f t="shared" ca="1" si="596"/>
        <v/>
      </c>
      <c r="DC131" s="1">
        <f t="shared" ca="1" si="597"/>
        <v>0</v>
      </c>
      <c r="DD131" s="22" t="str">
        <f t="shared" ca="1" si="598"/>
        <v/>
      </c>
      <c r="DE131" s="11" t="str">
        <f t="shared" ca="1" si="599"/>
        <v/>
      </c>
      <c r="DF131" s="22" t="str">
        <f t="shared" ca="1" si="600"/>
        <v/>
      </c>
      <c r="DG131" s="22" t="str">
        <f t="shared" ca="1" si="601"/>
        <v/>
      </c>
      <c r="DI131" s="1">
        <f t="shared" ca="1" si="602"/>
        <v>0</v>
      </c>
      <c r="DJ131" s="22" t="str">
        <f t="shared" ca="1" si="603"/>
        <v/>
      </c>
      <c r="DK131" s="11" t="str">
        <f t="shared" ca="1" si="604"/>
        <v/>
      </c>
      <c r="DL131" s="22" t="str">
        <f t="shared" ca="1" si="605"/>
        <v/>
      </c>
      <c r="DM131" s="22" t="str">
        <f t="shared" ca="1" si="606"/>
        <v/>
      </c>
      <c r="DO131" s="1">
        <f t="shared" ca="1" si="607"/>
        <v>0</v>
      </c>
      <c r="DP131" s="22" t="str">
        <f t="shared" ca="1" si="608"/>
        <v/>
      </c>
      <c r="DQ131" s="11" t="str">
        <f t="shared" ca="1" si="609"/>
        <v/>
      </c>
      <c r="DR131" s="22" t="str">
        <f t="shared" ca="1" si="610"/>
        <v/>
      </c>
      <c r="DS131" s="22" t="str">
        <f t="shared" ca="1" si="611"/>
        <v/>
      </c>
      <c r="DU131" s="1">
        <f t="shared" ca="1" si="472"/>
        <v>0</v>
      </c>
      <c r="DV131" s="22" t="str">
        <f t="shared" ca="1" si="473"/>
        <v/>
      </c>
      <c r="DW131" s="11" t="str">
        <f t="shared" ca="1" si="474"/>
        <v/>
      </c>
      <c r="DX131" s="22" t="str">
        <f t="shared" ca="1" si="475"/>
        <v/>
      </c>
      <c r="DY131" s="22" t="str">
        <f t="shared" ca="1" si="476"/>
        <v/>
      </c>
      <c r="EA131" s="1">
        <f t="shared" ca="1" si="477"/>
        <v>0</v>
      </c>
      <c r="EB131" s="22" t="str">
        <f t="shared" ca="1" si="478"/>
        <v/>
      </c>
      <c r="EC131" s="11" t="str">
        <f t="shared" ca="1" si="479"/>
        <v/>
      </c>
      <c r="ED131" s="22" t="str">
        <f t="shared" ca="1" si="480"/>
        <v/>
      </c>
      <c r="EE131" s="22" t="str">
        <f t="shared" ca="1" si="481"/>
        <v/>
      </c>
      <c r="EG131" s="1">
        <f t="shared" ca="1" si="482"/>
        <v>0</v>
      </c>
      <c r="EH131" s="22" t="str">
        <f t="shared" ca="1" si="483"/>
        <v/>
      </c>
      <c r="EI131" s="11" t="str">
        <f t="shared" ca="1" si="484"/>
        <v/>
      </c>
      <c r="EJ131" s="22" t="str">
        <f t="shared" ca="1" si="485"/>
        <v/>
      </c>
      <c r="EK131" s="22" t="str">
        <f t="shared" ca="1" si="486"/>
        <v/>
      </c>
      <c r="EM131" s="1">
        <f t="shared" ca="1" si="487"/>
        <v>0</v>
      </c>
      <c r="EN131" s="22" t="str">
        <f t="shared" ca="1" si="488"/>
        <v/>
      </c>
      <c r="EO131" s="11" t="str">
        <f t="shared" ca="1" si="489"/>
        <v/>
      </c>
      <c r="EP131" s="22" t="str">
        <f t="shared" ca="1" si="490"/>
        <v/>
      </c>
      <c r="EQ131" s="22" t="str">
        <f t="shared" ca="1" si="491"/>
        <v/>
      </c>
      <c r="ES131" s="1">
        <f t="shared" ca="1" si="492"/>
        <v>0</v>
      </c>
      <c r="ET131" s="22" t="str">
        <f t="shared" ca="1" si="493"/>
        <v/>
      </c>
      <c r="EU131" s="11" t="str">
        <f t="shared" ca="1" si="494"/>
        <v/>
      </c>
      <c r="EV131" s="22" t="str">
        <f t="shared" ca="1" si="495"/>
        <v/>
      </c>
      <c r="EW131" s="22" t="str">
        <f t="shared" ca="1" si="496"/>
        <v/>
      </c>
      <c r="EY131" s="1">
        <f t="shared" ca="1" si="497"/>
        <v>0</v>
      </c>
      <c r="EZ131" s="22" t="str">
        <f t="shared" ca="1" si="498"/>
        <v/>
      </c>
      <c r="FA131" s="11" t="str">
        <f t="shared" ca="1" si="499"/>
        <v/>
      </c>
      <c r="FB131" s="22" t="str">
        <f t="shared" ca="1" si="500"/>
        <v/>
      </c>
      <c r="FC131" s="22" t="str">
        <f t="shared" ca="1" si="501"/>
        <v/>
      </c>
      <c r="FE131" s="1">
        <f t="shared" ca="1" si="502"/>
        <v>0</v>
      </c>
      <c r="FF131" s="22" t="str">
        <f t="shared" ca="1" si="503"/>
        <v/>
      </c>
      <c r="FG131" s="11" t="str">
        <f t="shared" ca="1" si="504"/>
        <v/>
      </c>
      <c r="FH131" s="22" t="str">
        <f t="shared" ca="1" si="505"/>
        <v/>
      </c>
      <c r="FI131" s="22" t="str">
        <f t="shared" ca="1" si="506"/>
        <v/>
      </c>
      <c r="FK131" s="1">
        <f t="shared" ca="1" si="507"/>
        <v>0</v>
      </c>
      <c r="FL131" s="22" t="str">
        <f t="shared" ca="1" si="508"/>
        <v/>
      </c>
      <c r="FM131" s="11" t="str">
        <f t="shared" ca="1" si="509"/>
        <v/>
      </c>
      <c r="FN131" s="22" t="str">
        <f t="shared" ca="1" si="510"/>
        <v/>
      </c>
      <c r="FO131" s="22" t="str">
        <f t="shared" ca="1" si="511"/>
        <v/>
      </c>
    </row>
    <row r="132" spans="5:171" x14ac:dyDescent="0.2">
      <c r="CP132" s="73"/>
    </row>
    <row r="133" spans="5:171" x14ac:dyDescent="0.2">
      <c r="CP133" s="73"/>
    </row>
  </sheetData>
  <phoneticPr fontId="12" type="noConversion"/>
  <pageMargins left="0.7" right="0.7" top="0.75" bottom="0.75" header="0.3" footer="0.3"/>
  <pageSetup orientation="portrait" r:id="rId1"/>
  <headerFooter>
    <oddHeader>&amp;LAnuario de Transporte de Carga y Logística 2014, BID</oddHeader>
    <oddFooter>&amp;LObservatorio Regional de Transporte de Carga y Logistica</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A225"/>
  <sheetViews>
    <sheetView showGridLines="0" showRowColHeaders="0" workbookViewId="0">
      <pane ySplit="2" topLeftCell="A3" activePane="bottomLeft" state="frozen"/>
      <selection pane="bottomLeft"/>
    </sheetView>
  </sheetViews>
  <sheetFormatPr defaultColWidth="9.140625" defaultRowHeight="12.75" x14ac:dyDescent="0.2"/>
  <cols>
    <col min="1" max="1" width="5" style="38" customWidth="1"/>
    <col min="2" max="2" width="2" style="38" hidden="1" customWidth="1"/>
    <col min="3" max="3" width="3.85546875" style="38" customWidth="1"/>
    <col min="4" max="4" width="18.7109375" style="38" customWidth="1"/>
    <col min="5" max="5" width="14" style="38" customWidth="1"/>
    <col min="6" max="6" width="2.85546875" style="38" hidden="1" customWidth="1"/>
    <col min="7" max="7" width="3.5703125" style="38" customWidth="1"/>
    <col min="8" max="8" width="2" style="38" hidden="1" customWidth="1"/>
    <col min="9" max="9" width="3.85546875" style="38" customWidth="1"/>
    <col min="10" max="10" width="18.7109375" style="38" customWidth="1"/>
    <col min="11" max="11" width="12.42578125" style="38" customWidth="1"/>
    <col min="12" max="12" width="6.28515625" style="38" hidden="1" customWidth="1"/>
    <col min="13" max="13" width="3.5703125" style="38" customWidth="1"/>
    <col min="14" max="14" width="2" style="38" hidden="1" customWidth="1"/>
    <col min="15" max="15" width="3.85546875" style="38" customWidth="1"/>
    <col min="16" max="16" width="18.7109375" style="38" customWidth="1"/>
    <col min="17" max="17" width="13.28515625" style="38" customWidth="1"/>
    <col min="18" max="18" width="0.42578125" style="38" customWidth="1"/>
    <col min="19" max="19" width="3.5703125" style="38" customWidth="1"/>
    <col min="20" max="20" width="2" style="38" hidden="1" customWidth="1"/>
    <col min="21" max="21" width="3.85546875" style="38" customWidth="1"/>
    <col min="22" max="22" width="18.7109375" style="38" customWidth="1"/>
    <col min="23" max="23" width="14.42578125" style="38" customWidth="1"/>
    <col min="24" max="24" width="6.28515625" style="38" hidden="1" customWidth="1"/>
    <col min="25" max="25" width="3.5703125" style="38" customWidth="1"/>
    <col min="26" max="26" width="2" style="38" customWidth="1"/>
    <col min="27" max="27" width="9.140625" style="66"/>
    <col min="28" max="16384" width="9.140625" style="38"/>
  </cols>
  <sheetData>
    <row r="1" spans="1:27" customFormat="1" ht="29.1" customHeight="1" x14ac:dyDescent="0.3">
      <c r="A1" s="127" t="str">
        <f>UPPER(tblText!$A$14)</f>
        <v>TABLES</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9"/>
    </row>
    <row r="2" spans="1:27" customFormat="1" ht="22.5" customHeight="1" x14ac:dyDescent="0.3">
      <c r="A2" s="124"/>
      <c r="B2" s="124"/>
      <c r="C2" s="124" t="str">
        <f>UPPER(tblText!$A$23)</f>
        <v>SELECT GROUP</v>
      </c>
      <c r="D2" s="124"/>
      <c r="E2" s="124"/>
      <c r="F2" s="124"/>
      <c r="G2" s="124"/>
      <c r="H2" s="124"/>
      <c r="I2" s="124"/>
      <c r="J2" s="124"/>
      <c r="K2" s="124" t="str">
        <f>UPPER(tblText!$A$25)</f>
        <v>HIGHLIGHT COUNTRY</v>
      </c>
      <c r="L2" s="124"/>
      <c r="M2" s="124"/>
      <c r="N2" s="124"/>
      <c r="O2" s="124"/>
      <c r="P2" s="124"/>
      <c r="Q2" s="124"/>
      <c r="R2" s="124"/>
      <c r="S2" s="124" t="str">
        <f>UPPER(tblText!$A$26)</f>
        <v>HIGHLIGHT GROUP</v>
      </c>
      <c r="T2" s="124"/>
      <c r="U2" s="124"/>
      <c r="V2" s="124"/>
      <c r="W2" s="124"/>
      <c r="X2" s="124"/>
      <c r="Y2" s="124"/>
      <c r="Z2" s="124"/>
      <c r="AA2" s="9"/>
    </row>
    <row r="3" spans="1:27" ht="21" customHeight="1" x14ac:dyDescent="0.3">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7" s="25" customFormat="1" ht="14.45" x14ac:dyDescent="0.3">
      <c r="A4" s="116"/>
      <c r="B4" s="116"/>
      <c r="C4" s="268" t="str">
        <f>iRankMultiple!F102</f>
        <v>GENERAL INDICATORS »</v>
      </c>
      <c r="D4" s="268"/>
      <c r="E4" s="268"/>
      <c r="F4" s="268"/>
      <c r="G4" s="116"/>
      <c r="H4" s="190"/>
      <c r="I4" s="268" t="str">
        <f>iRankMultiple!L102</f>
        <v>GENERAL INDICATORS »</v>
      </c>
      <c r="J4" s="268"/>
      <c r="K4" s="268"/>
      <c r="L4" s="268"/>
      <c r="M4" s="116"/>
      <c r="N4" s="190"/>
      <c r="O4" s="268" t="str">
        <f>iRankMultiple!R102</f>
        <v>GENERAL INDICATORS »</v>
      </c>
      <c r="P4" s="268"/>
      <c r="Q4" s="268"/>
      <c r="R4" s="268"/>
      <c r="S4" s="190"/>
      <c r="T4" s="190"/>
      <c r="U4" s="268" t="str">
        <f>iRankMultiple!X102</f>
        <v>GENERAL INDICATORS »</v>
      </c>
      <c r="V4" s="268"/>
      <c r="W4" s="268"/>
      <c r="X4" s="268"/>
      <c r="Y4" s="184"/>
      <c r="Z4" s="184"/>
      <c r="AA4" s="183"/>
    </row>
    <row r="5" spans="1:27" s="40" customFormat="1" ht="30" customHeight="1" x14ac:dyDescent="0.3">
      <c r="A5" s="116"/>
      <c r="B5" s="116"/>
      <c r="C5" s="266" t="str">
        <f>iRankMultiple!F103</f>
        <v>Transport sector  % GDP</v>
      </c>
      <c r="D5" s="266"/>
      <c r="E5" s="266"/>
      <c r="F5" s="266"/>
      <c r="G5" s="116"/>
      <c r="H5" s="191"/>
      <c r="I5" s="266" t="str">
        <f>iRankMultiple!L103</f>
        <v>Population</v>
      </c>
      <c r="J5" s="266"/>
      <c r="K5" s="266"/>
      <c r="L5" s="266"/>
      <c r="M5" s="116"/>
      <c r="N5" s="191"/>
      <c r="O5" s="266" t="str">
        <f>iRankMultiple!R103</f>
        <v>Land area</v>
      </c>
      <c r="P5" s="266"/>
      <c r="Q5" s="266"/>
      <c r="R5" s="266"/>
      <c r="S5" s="191"/>
      <c r="T5" s="191"/>
      <c r="U5" s="266" t="str">
        <f>iRankMultiple!X103</f>
        <v>Gross Domestic Product (GDP)</v>
      </c>
      <c r="V5" s="266"/>
      <c r="W5" s="266"/>
      <c r="X5" s="266"/>
      <c r="Y5" s="184"/>
      <c r="Z5" s="184"/>
      <c r="AA5" s="148"/>
    </row>
    <row r="6" spans="1:27" ht="13.5" customHeight="1" x14ac:dyDescent="0.3">
      <c r="A6" s="116"/>
      <c r="B6" s="116"/>
      <c r="C6" s="267" t="str">
        <f>iRankMultiple!F104</f>
        <v>%</v>
      </c>
      <c r="D6" s="267"/>
      <c r="E6" s="267"/>
      <c r="F6" s="267"/>
      <c r="G6" s="116"/>
      <c r="H6" s="184"/>
      <c r="I6" s="267" t="str">
        <f>iRankMultiple!L104</f>
        <v>millions</v>
      </c>
      <c r="J6" s="267"/>
      <c r="K6" s="267"/>
      <c r="L6" s="267"/>
      <c r="M6" s="116"/>
      <c r="N6" s="184"/>
      <c r="O6" s="267" t="str">
        <f>iRankMultiple!R104</f>
        <v>sq km</v>
      </c>
      <c r="P6" s="267"/>
      <c r="Q6" s="267"/>
      <c r="R6" s="267"/>
      <c r="S6" s="184"/>
      <c r="T6" s="184"/>
      <c r="U6" s="267" t="str">
        <f>iRankMultiple!X104</f>
        <v>US$ (billions)</v>
      </c>
      <c r="V6" s="267"/>
      <c r="W6" s="267"/>
      <c r="X6" s="267"/>
      <c r="Y6" s="184"/>
      <c r="Z6" s="184"/>
    </row>
    <row r="7" spans="1:27" ht="14.45" x14ac:dyDescent="0.3">
      <c r="A7" s="138"/>
      <c r="B7" s="138">
        <f ca="1">iRankMultiple!E106</f>
        <v>1</v>
      </c>
      <c r="C7" s="186">
        <f ca="1">iRankMultiple!F106</f>
        <v>1</v>
      </c>
      <c r="D7" s="187" t="str">
        <f ca="1">iRankMultiple!G106</f>
        <v>Panamá</v>
      </c>
      <c r="E7" s="237">
        <f ca="1">iRankMultiple!H106</f>
        <v>17.599999999999998</v>
      </c>
      <c r="F7" s="189">
        <f ca="1">iRankMultiple!I106</f>
        <v>2012</v>
      </c>
      <c r="G7" s="185"/>
      <c r="H7" s="185">
        <f ca="1">iRankMultiple!K106</f>
        <v>1</v>
      </c>
      <c r="I7" s="186">
        <f ca="1">iRankMultiple!L106</f>
        <v>1</v>
      </c>
      <c r="J7" s="187" t="str">
        <f ca="1">iRankMultiple!M106</f>
        <v>Brasil</v>
      </c>
      <c r="K7" s="248">
        <f ca="1">iRankMultiple!N106</f>
        <v>198.36355800000001</v>
      </c>
      <c r="L7" s="189">
        <f ca="1">iRankMultiple!O106</f>
        <v>2012</v>
      </c>
      <c r="M7" s="138"/>
      <c r="N7" s="185">
        <f ca="1">iRankMultiple!Q106</f>
        <v>1</v>
      </c>
      <c r="O7" s="186">
        <f ca="1">iRankMultiple!R106</f>
        <v>1</v>
      </c>
      <c r="P7" s="187" t="str">
        <f ca="1">iRankMultiple!S106</f>
        <v>Brasil</v>
      </c>
      <c r="Q7" s="188">
        <f ca="1">iRankMultiple!T106</f>
        <v>8514880</v>
      </c>
      <c r="R7" s="189">
        <f ca="1">iRankMultiple!U106</f>
        <v>2012</v>
      </c>
      <c r="S7" s="185"/>
      <c r="T7" s="185">
        <f ca="1">iRankMultiple!W106</f>
        <v>1</v>
      </c>
      <c r="U7" s="186">
        <f ca="1">iRankMultiple!X106</f>
        <v>1</v>
      </c>
      <c r="V7" s="187" t="str">
        <f ca="1">iRankMultiple!Y106</f>
        <v>Brasil</v>
      </c>
      <c r="W7" s="248">
        <f ca="1">iRankMultiple!Z106</f>
        <v>2395.9679999999998</v>
      </c>
      <c r="X7" s="189">
        <f ca="1">iRankMultiple!AA106</f>
        <v>2012</v>
      </c>
      <c r="Y7" s="185"/>
      <c r="Z7" s="185"/>
    </row>
    <row r="8" spans="1:27" ht="14.45" x14ac:dyDescent="0.3">
      <c r="A8" s="138"/>
      <c r="B8" s="185">
        <f ca="1">iRankMultiple!E107</f>
        <v>1</v>
      </c>
      <c r="C8" s="186">
        <f ca="1">iRankMultiple!F107</f>
        <v>2</v>
      </c>
      <c r="D8" s="187" t="str">
        <f ca="1">iRankMultiple!G107</f>
        <v>Dominican Republic</v>
      </c>
      <c r="E8" s="237">
        <f ca="1">iRankMultiple!H107</f>
        <v>8.4378989177878498</v>
      </c>
      <c r="F8" s="189">
        <f ca="1">iRankMultiple!I107</f>
        <v>2012</v>
      </c>
      <c r="G8" s="185"/>
      <c r="H8" s="185">
        <f ca="1">iRankMultiple!K107</f>
        <v>1</v>
      </c>
      <c r="I8" s="186">
        <f ca="1">iRankMultiple!L107</f>
        <v>2</v>
      </c>
      <c r="J8" s="187" t="str">
        <f ca="1">iRankMultiple!M107</f>
        <v>México</v>
      </c>
      <c r="K8" s="248">
        <f ca="1">iRankMultiple!N107</f>
        <v>114.872</v>
      </c>
      <c r="L8" s="189">
        <f ca="1">iRankMultiple!O107</f>
        <v>2012</v>
      </c>
      <c r="M8" s="138"/>
      <c r="N8" s="185">
        <f ca="1">iRankMultiple!Q107</f>
        <v>1</v>
      </c>
      <c r="O8" s="186">
        <f ca="1">iRankMultiple!R107</f>
        <v>2</v>
      </c>
      <c r="P8" s="187" t="str">
        <f ca="1">iRankMultiple!S107</f>
        <v>Argentina</v>
      </c>
      <c r="Q8" s="188">
        <f ca="1">iRankMultiple!T107</f>
        <v>2780400</v>
      </c>
      <c r="R8" s="189">
        <f ca="1">iRankMultiple!U107</f>
        <v>2012</v>
      </c>
      <c r="S8" s="185"/>
      <c r="T8" s="185">
        <f ca="1">iRankMultiple!W107</f>
        <v>1</v>
      </c>
      <c r="U8" s="186">
        <f ca="1">iRankMultiple!X107</f>
        <v>2</v>
      </c>
      <c r="V8" s="187" t="str">
        <f ca="1">iRankMultiple!Y107</f>
        <v>México</v>
      </c>
      <c r="W8" s="248">
        <f ca="1">iRankMultiple!Z107</f>
        <v>1177.116</v>
      </c>
      <c r="X8" s="189">
        <f ca="1">iRankMultiple!AA107</f>
        <v>2012</v>
      </c>
      <c r="Y8" s="185"/>
      <c r="Z8" s="185"/>
    </row>
    <row r="9" spans="1:27" ht="14.45" x14ac:dyDescent="0.3">
      <c r="A9" s="138"/>
      <c r="B9" s="185">
        <f ca="1">iRankMultiple!E108</f>
        <v>1</v>
      </c>
      <c r="C9" s="186">
        <f ca="1">iRankMultiple!F108</f>
        <v>3</v>
      </c>
      <c r="D9" s="187" t="str">
        <f ca="1">iRankMultiple!G108</f>
        <v>Jamaica</v>
      </c>
      <c r="E9" s="237">
        <f ca="1">iRankMultiple!H108</f>
        <v>8.0450017908396898</v>
      </c>
      <c r="F9" s="189">
        <f ca="1">iRankMultiple!I108</f>
        <v>2012</v>
      </c>
      <c r="G9" s="185"/>
      <c r="H9" s="185">
        <f ca="1">iRankMultiple!K108</f>
        <v>1</v>
      </c>
      <c r="I9" s="186">
        <f ca="1">iRankMultiple!L108</f>
        <v>3</v>
      </c>
      <c r="J9" s="187" t="str">
        <f ca="1">iRankMultiple!M108</f>
        <v>Colombia</v>
      </c>
      <c r="K9" s="248">
        <f ca="1">iRankMultiple!N108</f>
        <v>46.597999999999999</v>
      </c>
      <c r="L9" s="189">
        <f ca="1">iRankMultiple!O108</f>
        <v>2012</v>
      </c>
      <c r="M9" s="185"/>
      <c r="N9" s="185">
        <f ca="1">iRankMultiple!Q108</f>
        <v>1</v>
      </c>
      <c r="O9" s="186">
        <f ca="1">iRankMultiple!R108</f>
        <v>3</v>
      </c>
      <c r="P9" s="187" t="str">
        <f ca="1">iRankMultiple!S108</f>
        <v>México</v>
      </c>
      <c r="Q9" s="188">
        <f ca="1">iRankMultiple!T108</f>
        <v>1964380</v>
      </c>
      <c r="R9" s="189">
        <f ca="1">iRankMultiple!U108</f>
        <v>2012</v>
      </c>
      <c r="S9" s="185"/>
      <c r="T9" s="185">
        <f ca="1">iRankMultiple!W108</f>
        <v>1</v>
      </c>
      <c r="U9" s="186">
        <f ca="1">iRankMultiple!X108</f>
        <v>3</v>
      </c>
      <c r="V9" s="187" t="str">
        <f ca="1">iRankMultiple!Y108</f>
        <v>Argentina</v>
      </c>
      <c r="W9" s="248">
        <f ca="1">iRankMultiple!Z108</f>
        <v>474.81200000000001</v>
      </c>
      <c r="X9" s="189">
        <f ca="1">iRankMultiple!AA108</f>
        <v>2012</v>
      </c>
      <c r="Y9" s="185"/>
      <c r="Z9" s="185"/>
    </row>
    <row r="10" spans="1:27" ht="14.45" x14ac:dyDescent="0.3">
      <c r="A10" s="138"/>
      <c r="B10" s="185">
        <f ca="1">iRankMultiple!E109</f>
        <v>1</v>
      </c>
      <c r="C10" s="186">
        <f ca="1">iRankMultiple!F109</f>
        <v>4</v>
      </c>
      <c r="D10" s="187" t="str">
        <f ca="1">iRankMultiple!G109</f>
        <v>Guatemala</v>
      </c>
      <c r="E10" s="237">
        <f ca="1">iRankMultiple!H109</f>
        <v>7.8</v>
      </c>
      <c r="F10" s="189">
        <f ca="1">iRankMultiple!I109</f>
        <v>2012</v>
      </c>
      <c r="G10" s="185"/>
      <c r="H10" s="185">
        <f ca="1">iRankMultiple!K109</f>
        <v>1</v>
      </c>
      <c r="I10" s="186">
        <f ca="1">iRankMultiple!L109</f>
        <v>4</v>
      </c>
      <c r="J10" s="187" t="str">
        <f ca="1">iRankMultiple!M109</f>
        <v>Argentina</v>
      </c>
      <c r="K10" s="248">
        <f ca="1">iRankMultiple!N109</f>
        <v>41.116745999999999</v>
      </c>
      <c r="L10" s="189">
        <f ca="1">iRankMultiple!O109</f>
        <v>2012</v>
      </c>
      <c r="M10" s="185"/>
      <c r="N10" s="185">
        <f ca="1">iRankMultiple!Q109</f>
        <v>1</v>
      </c>
      <c r="O10" s="186">
        <f ca="1">iRankMultiple!R109</f>
        <v>4</v>
      </c>
      <c r="P10" s="187" t="str">
        <f ca="1">iRankMultiple!S109</f>
        <v>Peru</v>
      </c>
      <c r="Q10" s="188">
        <f ca="1">iRankMultiple!T109</f>
        <v>1285220</v>
      </c>
      <c r="R10" s="189">
        <f ca="1">iRankMultiple!U109</f>
        <v>2012</v>
      </c>
      <c r="S10" s="185"/>
      <c r="T10" s="185">
        <f ca="1">iRankMultiple!W109</f>
        <v>1</v>
      </c>
      <c r="U10" s="186">
        <f ca="1">iRankMultiple!X109</f>
        <v>4</v>
      </c>
      <c r="V10" s="187" t="str">
        <f ca="1">iRankMultiple!Y109</f>
        <v>Venezuela</v>
      </c>
      <c r="W10" s="248">
        <f ca="1">iRankMultiple!Z109</f>
        <v>382.42399999999998</v>
      </c>
      <c r="X10" s="189">
        <f ca="1">iRankMultiple!AA109</f>
        <v>2012</v>
      </c>
      <c r="Y10" s="185"/>
      <c r="Z10" s="185"/>
    </row>
    <row r="11" spans="1:27" ht="14.45" x14ac:dyDescent="0.3">
      <c r="A11" s="138"/>
      <c r="B11" s="185">
        <f ca="1">iRankMultiple!E110</f>
        <v>1</v>
      </c>
      <c r="C11" s="186">
        <f ca="1">iRankMultiple!F110</f>
        <v>5</v>
      </c>
      <c r="D11" s="187" t="str">
        <f ca="1">iRankMultiple!G110</f>
        <v>Colombia</v>
      </c>
      <c r="E11" s="237">
        <f ca="1">iRankMultiple!H110</f>
        <v>7.7299999999999995</v>
      </c>
      <c r="F11" s="189">
        <f ca="1">iRankMultiple!I110</f>
        <v>2012</v>
      </c>
      <c r="G11" s="185"/>
      <c r="H11" s="185">
        <f ca="1">iRankMultiple!K110</f>
        <v>1</v>
      </c>
      <c r="I11" s="186">
        <f ca="1">iRankMultiple!L110</f>
        <v>5</v>
      </c>
      <c r="J11" s="187" t="str">
        <f ca="1">iRankMultiple!M110</f>
        <v>Peru</v>
      </c>
      <c r="K11" s="248">
        <f ca="1">iRankMultiple!N110</f>
        <v>30.474</v>
      </c>
      <c r="L11" s="189">
        <f ca="1">iRankMultiple!O110</f>
        <v>2012</v>
      </c>
      <c r="M11" s="185"/>
      <c r="N11" s="185">
        <f ca="1">iRankMultiple!Q110</f>
        <v>1</v>
      </c>
      <c r="O11" s="186">
        <f ca="1">iRankMultiple!R110</f>
        <v>5</v>
      </c>
      <c r="P11" s="187" t="str">
        <f ca="1">iRankMultiple!S110</f>
        <v>Colombia</v>
      </c>
      <c r="Q11" s="188">
        <f ca="1">iRankMultiple!T110</f>
        <v>1141748</v>
      </c>
      <c r="R11" s="189">
        <f ca="1">iRankMultiple!U110</f>
        <v>2012</v>
      </c>
      <c r="S11" s="185"/>
      <c r="T11" s="185">
        <f ca="1">iRankMultiple!W110</f>
        <v>1</v>
      </c>
      <c r="U11" s="186">
        <f ca="1">iRankMultiple!X110</f>
        <v>5</v>
      </c>
      <c r="V11" s="187" t="str">
        <f ca="1">iRankMultiple!Y110</f>
        <v>Colombia</v>
      </c>
      <c r="W11" s="248">
        <f ca="1">iRankMultiple!Z110</f>
        <v>366.02</v>
      </c>
      <c r="X11" s="189">
        <f ca="1">iRankMultiple!AA110</f>
        <v>2012</v>
      </c>
      <c r="Y11" s="185"/>
      <c r="Z11" s="185"/>
    </row>
    <row r="12" spans="1:27" ht="14.45" x14ac:dyDescent="0.3">
      <c r="A12" s="138"/>
      <c r="B12" s="185">
        <f ca="1">iRankMultiple!E111</f>
        <v>1</v>
      </c>
      <c r="C12" s="186">
        <f ca="1">iRankMultiple!F111</f>
        <v>6</v>
      </c>
      <c r="D12" s="187" t="str">
        <f ca="1">iRankMultiple!G111</f>
        <v>Haiti</v>
      </c>
      <c r="E12" s="237">
        <f ca="1">iRankMultiple!H111</f>
        <v>7.6910436445216401</v>
      </c>
      <c r="F12" s="189">
        <f ca="1">iRankMultiple!I111</f>
        <v>2012</v>
      </c>
      <c r="G12" s="185"/>
      <c r="H12" s="185">
        <f ca="1">iRankMultiple!K111</f>
        <v>1</v>
      </c>
      <c r="I12" s="186">
        <f ca="1">iRankMultiple!L111</f>
        <v>6</v>
      </c>
      <c r="J12" s="187" t="str">
        <f ca="1">iRankMultiple!M111</f>
        <v>Venezuela</v>
      </c>
      <c r="K12" s="248">
        <f ca="1">iRankMultiple!N111</f>
        <v>29.516999999999999</v>
      </c>
      <c r="L12" s="189">
        <f ca="1">iRankMultiple!O111</f>
        <v>2012</v>
      </c>
      <c r="M12" s="185"/>
      <c r="N12" s="185">
        <f ca="1">iRankMultiple!Q111</f>
        <v>1</v>
      </c>
      <c r="O12" s="186">
        <f ca="1">iRankMultiple!R111</f>
        <v>6</v>
      </c>
      <c r="P12" s="187" t="str">
        <f ca="1">iRankMultiple!S111</f>
        <v>Bolivia</v>
      </c>
      <c r="Q12" s="188">
        <f ca="1">iRankMultiple!T111</f>
        <v>1098581</v>
      </c>
      <c r="R12" s="189">
        <f ca="1">iRankMultiple!U111</f>
        <v>2012</v>
      </c>
      <c r="S12" s="185"/>
      <c r="T12" s="185">
        <f ca="1">iRankMultiple!W111</f>
        <v>1</v>
      </c>
      <c r="U12" s="186">
        <f ca="1">iRankMultiple!X111</f>
        <v>6</v>
      </c>
      <c r="V12" s="187" t="str">
        <f ca="1">iRankMultiple!Y111</f>
        <v>Chile</v>
      </c>
      <c r="W12" s="248">
        <f ca="1">iRankMultiple!Z111</f>
        <v>268.30249824834198</v>
      </c>
      <c r="X12" s="189">
        <f ca="1">iRankMultiple!AA111</f>
        <v>2012</v>
      </c>
      <c r="Y12" s="185"/>
      <c r="Z12" s="185"/>
    </row>
    <row r="13" spans="1:27" ht="14.45" x14ac:dyDescent="0.3">
      <c r="A13" s="138"/>
      <c r="B13" s="185">
        <f ca="1">iRankMultiple!E112</f>
        <v>1</v>
      </c>
      <c r="C13" s="186">
        <f ca="1">iRankMultiple!F112</f>
        <v>7</v>
      </c>
      <c r="D13" s="187" t="str">
        <f ca="1">iRankMultiple!G112</f>
        <v>Argentina</v>
      </c>
      <c r="E13" s="237">
        <f ca="1">iRankMultiple!H112</f>
        <v>7.2048221837913999</v>
      </c>
      <c r="F13" s="189">
        <f ca="1">iRankMultiple!I112</f>
        <v>2012</v>
      </c>
      <c r="G13" s="185"/>
      <c r="H13" s="185">
        <f ca="1">iRankMultiple!K112</f>
        <v>1</v>
      </c>
      <c r="I13" s="186">
        <f ca="1">iRankMultiple!L112</f>
        <v>7</v>
      </c>
      <c r="J13" s="187" t="str">
        <f ca="1">iRankMultiple!M112</f>
        <v>Chile</v>
      </c>
      <c r="K13" s="248">
        <f ca="1">iRankMultiple!N112</f>
        <v>17.402999999999999</v>
      </c>
      <c r="L13" s="189">
        <f ca="1">iRankMultiple!O112</f>
        <v>2012</v>
      </c>
      <c r="M13" s="185"/>
      <c r="N13" s="185">
        <f ca="1">iRankMultiple!Q112</f>
        <v>1</v>
      </c>
      <c r="O13" s="186">
        <f ca="1">iRankMultiple!R112</f>
        <v>7</v>
      </c>
      <c r="P13" s="187" t="str">
        <f ca="1">iRankMultiple!S112</f>
        <v>Venezuela</v>
      </c>
      <c r="Q13" s="188">
        <f ca="1">iRankMultiple!T112</f>
        <v>912050</v>
      </c>
      <c r="R13" s="189">
        <f ca="1">iRankMultiple!U112</f>
        <v>2012</v>
      </c>
      <c r="S13" s="185"/>
      <c r="T13" s="185">
        <f ca="1">iRankMultiple!W112</f>
        <v>1</v>
      </c>
      <c r="U13" s="186">
        <f ca="1">iRankMultiple!X112</f>
        <v>7</v>
      </c>
      <c r="V13" s="187" t="str">
        <f ca="1">iRankMultiple!Y112</f>
        <v>Peru</v>
      </c>
      <c r="W13" s="248">
        <f ca="1">iRankMultiple!Z112</f>
        <v>199.00299999999999</v>
      </c>
      <c r="X13" s="189">
        <f ca="1">iRankMultiple!AA112</f>
        <v>2012</v>
      </c>
      <c r="Y13" s="185"/>
      <c r="Z13" s="185"/>
    </row>
    <row r="14" spans="1:27" ht="14.45" x14ac:dyDescent="0.3">
      <c r="A14" s="138"/>
      <c r="B14" s="185">
        <f ca="1">iRankMultiple!E113</f>
        <v>1</v>
      </c>
      <c r="C14" s="186">
        <f ca="1">iRankMultiple!F113</f>
        <v>8</v>
      </c>
      <c r="D14" s="187" t="str">
        <f ca="1">iRankMultiple!G113</f>
        <v>Peru</v>
      </c>
      <c r="E14" s="237">
        <f ca="1">iRankMultiple!H113</f>
        <v>6.9662940495960699</v>
      </c>
      <c r="F14" s="189">
        <f ca="1">iRankMultiple!I113</f>
        <v>2012</v>
      </c>
      <c r="G14" s="185"/>
      <c r="H14" s="185">
        <f ca="1">iRankMultiple!K113</f>
        <v>1</v>
      </c>
      <c r="I14" s="186">
        <f ca="1">iRankMultiple!L113</f>
        <v>8</v>
      </c>
      <c r="J14" s="187" t="str">
        <f ca="1">iRankMultiple!M113</f>
        <v>Guatemala</v>
      </c>
      <c r="K14" s="248">
        <f ca="1">iRankMultiple!N113</f>
        <v>15.105</v>
      </c>
      <c r="L14" s="189">
        <f ca="1">iRankMultiple!O113</f>
        <v>2012</v>
      </c>
      <c r="M14" s="185"/>
      <c r="N14" s="185">
        <f ca="1">iRankMultiple!Q113</f>
        <v>1</v>
      </c>
      <c r="O14" s="186">
        <f ca="1">iRankMultiple!R113</f>
        <v>8</v>
      </c>
      <c r="P14" s="187" t="str">
        <f ca="1">iRankMultiple!S113</f>
        <v>Chile</v>
      </c>
      <c r="Q14" s="188">
        <f ca="1">iRankMultiple!T113</f>
        <v>756090</v>
      </c>
      <c r="R14" s="189">
        <f ca="1">iRankMultiple!U113</f>
        <v>2012</v>
      </c>
      <c r="S14" s="185"/>
      <c r="T14" s="185">
        <f ca="1">iRankMultiple!W113</f>
        <v>1</v>
      </c>
      <c r="U14" s="186">
        <f ca="1">iRankMultiple!X113</f>
        <v>8</v>
      </c>
      <c r="V14" s="187" t="str">
        <f ca="1">iRankMultiple!Y113</f>
        <v>Ecuador</v>
      </c>
      <c r="W14" s="248">
        <f ca="1">iRankMultiple!Z113</f>
        <v>86.166234503098195</v>
      </c>
      <c r="X14" s="189">
        <f ca="1">iRankMultiple!AA113</f>
        <v>2012</v>
      </c>
      <c r="Y14" s="185"/>
      <c r="Z14" s="185"/>
    </row>
    <row r="15" spans="1:27" ht="14.45" x14ac:dyDescent="0.3">
      <c r="A15" s="138"/>
      <c r="B15" s="185">
        <f ca="1">iRankMultiple!E114</f>
        <v>1</v>
      </c>
      <c r="C15" s="186">
        <f ca="1">iRankMultiple!F114</f>
        <v>9</v>
      </c>
      <c r="D15" s="187" t="str">
        <f ca="1">iRankMultiple!G114</f>
        <v>Bolivia</v>
      </c>
      <c r="E15" s="237">
        <f ca="1">iRankMultiple!H114</f>
        <v>6.9456878227985897</v>
      </c>
      <c r="F15" s="189">
        <f ca="1">iRankMultiple!I114</f>
        <v>2012</v>
      </c>
      <c r="G15" s="185"/>
      <c r="H15" s="185">
        <f ca="1">iRankMultiple!K114</f>
        <v>1</v>
      </c>
      <c r="I15" s="186">
        <f ca="1">iRankMultiple!L114</f>
        <v>9</v>
      </c>
      <c r="J15" s="187" t="str">
        <f ca="1">iRankMultiple!M114</f>
        <v>Ecuador</v>
      </c>
      <c r="K15" s="248">
        <f ca="1">iRankMultiple!N114</f>
        <v>14.867371</v>
      </c>
      <c r="L15" s="189">
        <f ca="1">iRankMultiple!O114</f>
        <v>2012</v>
      </c>
      <c r="M15" s="185"/>
      <c r="N15" s="185">
        <f ca="1">iRankMultiple!Q114</f>
        <v>1</v>
      </c>
      <c r="O15" s="186">
        <f ca="1">iRankMultiple!R114</f>
        <v>9</v>
      </c>
      <c r="P15" s="187" t="str">
        <f ca="1">iRankMultiple!S114</f>
        <v>Paraguay</v>
      </c>
      <c r="Q15" s="188">
        <f ca="1">iRankMultiple!T114</f>
        <v>406750</v>
      </c>
      <c r="R15" s="189">
        <f ca="1">iRankMultiple!U114</f>
        <v>2012</v>
      </c>
      <c r="S15" s="185"/>
      <c r="T15" s="185">
        <f ca="1">iRankMultiple!W114</f>
        <v>1</v>
      </c>
      <c r="U15" s="186">
        <f ca="1">iRankMultiple!X114</f>
        <v>9</v>
      </c>
      <c r="V15" s="187" t="str">
        <f ca="1">iRankMultiple!Y114</f>
        <v>Dominican Republic</v>
      </c>
      <c r="W15" s="248">
        <f ca="1">iRankMultiple!Z114</f>
        <v>58.996000000000002</v>
      </c>
      <c r="X15" s="189">
        <f ca="1">iRankMultiple!AA114</f>
        <v>2012</v>
      </c>
      <c r="Y15" s="185"/>
      <c r="Z15" s="185"/>
    </row>
    <row r="16" spans="1:27" ht="14.45" x14ac:dyDescent="0.3">
      <c r="A16" s="138"/>
      <c r="B16" s="185">
        <f ca="1">iRankMultiple!E115</f>
        <v>1</v>
      </c>
      <c r="C16" s="186">
        <f ca="1">iRankMultiple!F115</f>
        <v>10</v>
      </c>
      <c r="D16" s="187" t="str">
        <f ca="1">iRankMultiple!G115</f>
        <v>Costa Rica</v>
      </c>
      <c r="E16" s="237">
        <f ca="1">iRankMultiple!H115</f>
        <v>6.8641640540997191</v>
      </c>
      <c r="F16" s="189">
        <f ca="1">iRankMultiple!I115</f>
        <v>2012</v>
      </c>
      <c r="G16" s="185"/>
      <c r="H16" s="185">
        <f ca="1">iRankMultiple!K115</f>
        <v>1</v>
      </c>
      <c r="I16" s="186">
        <f ca="1">iRankMultiple!L115</f>
        <v>10</v>
      </c>
      <c r="J16" s="187" t="str">
        <f ca="1">iRankMultiple!M115</f>
        <v>Haiti</v>
      </c>
      <c r="K16" s="248">
        <f ca="1">iRankMultiple!N115</f>
        <v>10.254327</v>
      </c>
      <c r="L16" s="189">
        <f ca="1">iRankMultiple!O115</f>
        <v>2012</v>
      </c>
      <c r="M16" s="185"/>
      <c r="N16" s="185">
        <f ca="1">iRankMultiple!Q115</f>
        <v>1</v>
      </c>
      <c r="O16" s="186">
        <f ca="1">iRankMultiple!R115</f>
        <v>10</v>
      </c>
      <c r="P16" s="187" t="str">
        <f ca="1">iRankMultiple!S115</f>
        <v>Ecuador</v>
      </c>
      <c r="Q16" s="188">
        <f ca="1">iRankMultiple!T115</f>
        <v>256370</v>
      </c>
      <c r="R16" s="189">
        <f ca="1">iRankMultiple!U115</f>
        <v>2012</v>
      </c>
      <c r="S16" s="185"/>
      <c r="T16" s="185">
        <f ca="1">iRankMultiple!W115</f>
        <v>1</v>
      </c>
      <c r="U16" s="186">
        <f ca="1">iRankMultiple!X115</f>
        <v>10</v>
      </c>
      <c r="V16" s="187" t="str">
        <f ca="1">iRankMultiple!Y115</f>
        <v>Guatemala</v>
      </c>
      <c r="W16" s="248">
        <f ca="1">iRankMultiple!Z115</f>
        <v>49.88</v>
      </c>
      <c r="X16" s="189"/>
      <c r="Y16" s="185"/>
      <c r="Z16" s="185"/>
    </row>
    <row r="17" spans="1:26" ht="14.45" x14ac:dyDescent="0.3">
      <c r="A17" s="138"/>
      <c r="B17" s="185">
        <f ca="1">iRankMultiple!E116</f>
        <v>1</v>
      </c>
      <c r="C17" s="186">
        <f ca="1">iRankMultiple!F116</f>
        <v>11</v>
      </c>
      <c r="D17" s="187" t="str">
        <f ca="1">iRankMultiple!G116</f>
        <v>Barbados</v>
      </c>
      <c r="E17" s="237">
        <f ca="1">iRankMultiple!H116</f>
        <v>6.6200117764503199</v>
      </c>
      <c r="F17" s="189">
        <f ca="1">iRankMultiple!I116</f>
        <v>2012</v>
      </c>
      <c r="G17" s="185"/>
      <c r="H17" s="185">
        <f ca="1">iRankMultiple!K116</f>
        <v>1</v>
      </c>
      <c r="I17" s="186">
        <f ca="1">iRankMultiple!L116</f>
        <v>11</v>
      </c>
      <c r="J17" s="187" t="str">
        <f ca="1">iRankMultiple!M116</f>
        <v>Dominican Republic</v>
      </c>
      <c r="K17" s="248">
        <f ca="1">iRankMultiple!N116</f>
        <v>10.237</v>
      </c>
      <c r="L17" s="189">
        <f ca="1">iRankMultiple!O116</f>
        <v>2012</v>
      </c>
      <c r="M17" s="185"/>
      <c r="N17" s="185">
        <f ca="1">iRankMultiple!Q116</f>
        <v>1</v>
      </c>
      <c r="O17" s="186">
        <f ca="1">iRankMultiple!R116</f>
        <v>11</v>
      </c>
      <c r="P17" s="187" t="str">
        <f ca="1">iRankMultiple!S116</f>
        <v>Guyana</v>
      </c>
      <c r="Q17" s="188">
        <f ca="1">iRankMultiple!T116</f>
        <v>214970</v>
      </c>
      <c r="R17" s="189">
        <f ca="1">iRankMultiple!U116</f>
        <v>2012</v>
      </c>
      <c r="S17" s="185"/>
      <c r="T17" s="185">
        <f ca="1">iRankMultiple!W116</f>
        <v>1</v>
      </c>
      <c r="U17" s="186">
        <f ca="1">iRankMultiple!X116</f>
        <v>11</v>
      </c>
      <c r="V17" s="187" t="str">
        <f ca="1">iRankMultiple!Y116</f>
        <v>Uruguay</v>
      </c>
      <c r="W17" s="248">
        <f ca="1">iRankMultiple!Z116</f>
        <v>49.404000000000003</v>
      </c>
      <c r="X17" s="189"/>
      <c r="Y17" s="185"/>
      <c r="Z17" s="185"/>
    </row>
    <row r="18" spans="1:26" ht="14.45" x14ac:dyDescent="0.3">
      <c r="A18" s="138"/>
      <c r="B18" s="185">
        <f ca="1">iRankMultiple!E117</f>
        <v>1</v>
      </c>
      <c r="C18" s="186">
        <f ca="1">iRankMultiple!F117</f>
        <v>12</v>
      </c>
      <c r="D18" s="187" t="str">
        <f ca="1">iRankMultiple!G117</f>
        <v>Guyana</v>
      </c>
      <c r="E18" s="237">
        <f ca="1">iRankMultiple!H117</f>
        <v>6.2970213381781504</v>
      </c>
      <c r="F18" s="189">
        <f ca="1">iRankMultiple!I117</f>
        <v>2012</v>
      </c>
      <c r="G18" s="185"/>
      <c r="H18" s="185">
        <f ca="1">iRankMultiple!K117</f>
        <v>1</v>
      </c>
      <c r="I18" s="186">
        <f ca="1">iRankMultiple!L117</f>
        <v>12</v>
      </c>
      <c r="J18" s="187" t="str">
        <f ca="1">iRankMultiple!M117</f>
        <v>Bolivia</v>
      </c>
      <c r="K18" s="248">
        <f ca="1">iRankMultiple!N117</f>
        <v>10.029999999999999</v>
      </c>
      <c r="L18" s="189">
        <f ca="1">iRankMultiple!O117</f>
        <v>2012</v>
      </c>
      <c r="M18" s="185"/>
      <c r="N18" s="185">
        <f ca="1">iRankMultiple!Q117</f>
        <v>1</v>
      </c>
      <c r="O18" s="186">
        <f ca="1">iRankMultiple!R117</f>
        <v>12</v>
      </c>
      <c r="P18" s="187" t="str">
        <f ca="1">iRankMultiple!S117</f>
        <v>Uruguay</v>
      </c>
      <c r="Q18" s="188">
        <f ca="1">iRankMultiple!T117</f>
        <v>176220</v>
      </c>
      <c r="R18" s="189">
        <f ca="1">iRankMultiple!U117</f>
        <v>2012</v>
      </c>
      <c r="S18" s="185"/>
      <c r="T18" s="185">
        <f ca="1">iRankMultiple!W117</f>
        <v>1</v>
      </c>
      <c r="U18" s="186">
        <f ca="1">iRankMultiple!X117</f>
        <v>12</v>
      </c>
      <c r="V18" s="187" t="str">
        <f ca="1">iRankMultiple!Y117</f>
        <v>Costa Rica</v>
      </c>
      <c r="W18" s="248">
        <f ca="1">iRankMultiple!Z117</f>
        <v>45.107420042450002</v>
      </c>
      <c r="X18" s="189"/>
      <c r="Y18" s="185"/>
      <c r="Z18" s="185"/>
    </row>
    <row r="19" spans="1:26" ht="14.45" x14ac:dyDescent="0.3">
      <c r="A19" s="138"/>
      <c r="B19" s="185">
        <f ca="1">iRankMultiple!E118</f>
        <v>1</v>
      </c>
      <c r="C19" s="186">
        <f ca="1">iRankMultiple!F118</f>
        <v>13</v>
      </c>
      <c r="D19" s="187" t="str">
        <f ca="1">iRankMultiple!G118</f>
        <v>Suriname</v>
      </c>
      <c r="E19" s="237">
        <f ca="1">iRankMultiple!H118</f>
        <v>6.0552171063273095</v>
      </c>
      <c r="F19" s="189">
        <f ca="1">iRankMultiple!I118</f>
        <v>2012</v>
      </c>
      <c r="G19" s="185"/>
      <c r="H19" s="185">
        <f ca="1">iRankMultiple!K118</f>
        <v>1</v>
      </c>
      <c r="I19" s="186">
        <f ca="1">iRankMultiple!L118</f>
        <v>13</v>
      </c>
      <c r="J19" s="187" t="str">
        <f ca="1">iRankMultiple!M118</f>
        <v>Honduras</v>
      </c>
      <c r="K19" s="248">
        <f ca="1">iRankMultiple!N118</f>
        <v>8.2010000000000005</v>
      </c>
      <c r="L19" s="189">
        <f ca="1">iRankMultiple!O118</f>
        <v>2012</v>
      </c>
      <c r="M19" s="185"/>
      <c r="N19" s="185">
        <f ca="1">iRankMultiple!Q118</f>
        <v>1</v>
      </c>
      <c r="O19" s="186">
        <f ca="1">iRankMultiple!R118</f>
        <v>13</v>
      </c>
      <c r="P19" s="187" t="str">
        <f ca="1">iRankMultiple!S118</f>
        <v>Suriname</v>
      </c>
      <c r="Q19" s="188">
        <f ca="1">iRankMultiple!T118</f>
        <v>163820</v>
      </c>
      <c r="R19" s="189">
        <f ca="1">iRankMultiple!U118</f>
        <v>2012</v>
      </c>
      <c r="S19" s="185"/>
      <c r="T19" s="185">
        <f ca="1">iRankMultiple!W118</f>
        <v>1</v>
      </c>
      <c r="U19" s="186">
        <f ca="1">iRankMultiple!X118</f>
        <v>13</v>
      </c>
      <c r="V19" s="187" t="str">
        <f ca="1">iRankMultiple!Y118</f>
        <v>Panamá</v>
      </c>
      <c r="W19" s="248">
        <f ca="1">iRankMultiple!Z118</f>
        <v>36.253</v>
      </c>
      <c r="X19" s="189"/>
      <c r="Y19" s="185"/>
      <c r="Z19" s="185"/>
    </row>
    <row r="20" spans="1:26" ht="14.45" x14ac:dyDescent="0.3">
      <c r="A20" s="138"/>
      <c r="B20" s="185">
        <f ca="1">iRankMultiple!E119</f>
        <v>1</v>
      </c>
      <c r="C20" s="186">
        <f ca="1">iRankMultiple!F119</f>
        <v>14</v>
      </c>
      <c r="D20" s="187" t="str">
        <f ca="1">iRankMultiple!G119</f>
        <v>México</v>
      </c>
      <c r="E20" s="237">
        <f ca="1">iRankMultiple!H119</f>
        <v>5.9218808907268796</v>
      </c>
      <c r="F20" s="189">
        <f ca="1">iRankMultiple!I119</f>
        <v>2012</v>
      </c>
      <c r="G20" s="185"/>
      <c r="H20" s="185">
        <f ca="1">iRankMultiple!K119</f>
        <v>1</v>
      </c>
      <c r="I20" s="186">
        <f ca="1">iRankMultiple!L119</f>
        <v>14</v>
      </c>
      <c r="J20" s="187" t="str">
        <f ca="1">iRankMultiple!M119</f>
        <v>Paraguay</v>
      </c>
      <c r="K20" s="248">
        <f ca="1">iRankMultiple!N119</f>
        <v>6.6820320000000004</v>
      </c>
      <c r="L20" s="189">
        <f ca="1">iRankMultiple!O119</f>
        <v>2012</v>
      </c>
      <c r="M20" s="185"/>
      <c r="N20" s="185">
        <f ca="1">iRankMultiple!Q119</f>
        <v>1</v>
      </c>
      <c r="O20" s="186">
        <f ca="1">iRankMultiple!R119</f>
        <v>14</v>
      </c>
      <c r="P20" s="187" t="str">
        <f ca="1">iRankMultiple!S119</f>
        <v>Nicaragua</v>
      </c>
      <c r="Q20" s="188">
        <f ca="1">iRankMultiple!T119</f>
        <v>130370</v>
      </c>
      <c r="R20" s="189">
        <f ca="1">iRankMultiple!U119</f>
        <v>2012</v>
      </c>
      <c r="S20" s="185"/>
      <c r="T20" s="185">
        <f ca="1">iRankMultiple!W119</f>
        <v>1</v>
      </c>
      <c r="U20" s="186">
        <f ca="1">iRankMultiple!X119</f>
        <v>14</v>
      </c>
      <c r="V20" s="187" t="str">
        <f ca="1">iRankMultiple!Y119</f>
        <v>Bolivia</v>
      </c>
      <c r="W20" s="248">
        <f ca="1">iRankMultiple!Z119</f>
        <v>27.04</v>
      </c>
      <c r="X20" s="189"/>
      <c r="Y20" s="185"/>
      <c r="Z20" s="185"/>
    </row>
    <row r="21" spans="1:26" ht="14.45" x14ac:dyDescent="0.3">
      <c r="A21" s="138"/>
      <c r="B21" s="185">
        <f ca="1">iRankMultiple!E120</f>
        <v>1</v>
      </c>
      <c r="C21" s="186">
        <f ca="1">iRankMultiple!F120</f>
        <v>15</v>
      </c>
      <c r="D21" s="187" t="str">
        <f ca="1">iRankMultiple!G120</f>
        <v>El Salvador</v>
      </c>
      <c r="E21" s="237">
        <f ca="1">iRankMultiple!H120</f>
        <v>5.6016158710687201</v>
      </c>
      <c r="F21" s="189">
        <f ca="1">iRankMultiple!I120</f>
        <v>2012</v>
      </c>
      <c r="G21" s="185"/>
      <c r="H21" s="185">
        <f ca="1">iRankMultiple!K120</f>
        <v>1</v>
      </c>
      <c r="I21" s="186">
        <f ca="1">iRankMultiple!L120</f>
        <v>15</v>
      </c>
      <c r="J21" s="187" t="str">
        <f ca="1">iRankMultiple!M120</f>
        <v>El Salvador</v>
      </c>
      <c r="K21" s="248">
        <f ca="1">iRankMultiple!N120</f>
        <v>6.2492619999999999</v>
      </c>
      <c r="L21" s="189">
        <f ca="1">iRankMultiple!O120</f>
        <v>2012</v>
      </c>
      <c r="M21" s="185"/>
      <c r="N21" s="185">
        <f ca="1">iRankMultiple!Q120</f>
        <v>1</v>
      </c>
      <c r="O21" s="186">
        <f ca="1">iRankMultiple!R120</f>
        <v>15</v>
      </c>
      <c r="P21" s="187" t="str">
        <f ca="1">iRankMultiple!S120</f>
        <v>Honduras</v>
      </c>
      <c r="Q21" s="188">
        <f ca="1">iRankMultiple!T120</f>
        <v>112490</v>
      </c>
      <c r="R21" s="189">
        <f ca="1">iRankMultiple!U120</f>
        <v>2012</v>
      </c>
      <c r="S21" s="185"/>
      <c r="T21" s="185">
        <f ca="1">iRankMultiple!W120</f>
        <v>1</v>
      </c>
      <c r="U21" s="186">
        <f ca="1">iRankMultiple!X120</f>
        <v>15</v>
      </c>
      <c r="V21" s="187" t="str">
        <f ca="1">iRankMultiple!Y120</f>
        <v>Paraguay</v>
      </c>
      <c r="W21" s="248">
        <f ca="1">iRankMultiple!Z120</f>
        <v>26.088999999999999</v>
      </c>
      <c r="X21" s="189"/>
      <c r="Y21" s="185"/>
      <c r="Z21" s="185"/>
    </row>
    <row r="22" spans="1:26" ht="14.45" x14ac:dyDescent="0.3">
      <c r="A22" s="138"/>
      <c r="B22" s="185">
        <f ca="1">iRankMultiple!E121</f>
        <v>1</v>
      </c>
      <c r="C22" s="186">
        <f ca="1">iRankMultiple!F121</f>
        <v>16</v>
      </c>
      <c r="D22" s="187" t="str">
        <f ca="1">iRankMultiple!G121</f>
        <v>Trinidad and Tobago</v>
      </c>
      <c r="E22" s="237">
        <f ca="1">iRankMultiple!H121</f>
        <v>5.3618877032470706</v>
      </c>
      <c r="F22" s="189">
        <f ca="1">iRankMultiple!I121</f>
        <v>2012</v>
      </c>
      <c r="G22" s="185"/>
      <c r="H22" s="185">
        <f ca="1">iRankMultiple!K121</f>
        <v>1</v>
      </c>
      <c r="I22" s="186">
        <f ca="1">iRankMultiple!L121</f>
        <v>16</v>
      </c>
      <c r="J22" s="187" t="str">
        <f ca="1">iRankMultiple!M121</f>
        <v>Nicaragua</v>
      </c>
      <c r="K22" s="248">
        <f ca="1">iRankMultiple!N121</f>
        <v>5.9809999999999999</v>
      </c>
      <c r="L22" s="189">
        <f ca="1">iRankMultiple!O121</f>
        <v>2012</v>
      </c>
      <c r="M22" s="185"/>
      <c r="N22" s="185">
        <f ca="1">iRankMultiple!Q121</f>
        <v>1</v>
      </c>
      <c r="O22" s="186">
        <f ca="1">iRankMultiple!R121</f>
        <v>16</v>
      </c>
      <c r="P22" s="187" t="str">
        <f ca="1">iRankMultiple!S121</f>
        <v>Guatemala</v>
      </c>
      <c r="Q22" s="188">
        <f ca="1">iRankMultiple!T121</f>
        <v>108890</v>
      </c>
      <c r="R22" s="189">
        <f ca="1">iRankMultiple!U121</f>
        <v>2012</v>
      </c>
      <c r="S22" s="185"/>
      <c r="T22" s="185">
        <f ca="1">iRankMultiple!W121</f>
        <v>1</v>
      </c>
      <c r="U22" s="186">
        <f ca="1">iRankMultiple!X121</f>
        <v>16</v>
      </c>
      <c r="V22" s="187" t="str">
        <f ca="1">iRankMultiple!Y121</f>
        <v>Trinidad and Tobago</v>
      </c>
      <c r="W22" s="248">
        <f ca="1">iRankMultiple!Z121</f>
        <v>25.277000000000001</v>
      </c>
      <c r="X22" s="189"/>
      <c r="Y22" s="185"/>
      <c r="Z22" s="185"/>
    </row>
    <row r="23" spans="1:26" ht="14.45" x14ac:dyDescent="0.3">
      <c r="A23" s="138"/>
      <c r="B23" s="185">
        <f ca="1">iRankMultiple!E122</f>
        <v>1</v>
      </c>
      <c r="C23" s="186">
        <f ca="1">iRankMultiple!F122</f>
        <v>17</v>
      </c>
      <c r="D23" s="187" t="str">
        <f ca="1">iRankMultiple!G122</f>
        <v>Ecuador</v>
      </c>
      <c r="E23" s="237">
        <f ca="1">iRankMultiple!H122</f>
        <v>5.26505148816371</v>
      </c>
      <c r="F23" s="189">
        <f ca="1">iRankMultiple!I122</f>
        <v>2012</v>
      </c>
      <c r="G23" s="185"/>
      <c r="H23" s="185">
        <f ca="1">iRankMultiple!K122</f>
        <v>1</v>
      </c>
      <c r="I23" s="186">
        <f ca="1">iRankMultiple!L122</f>
        <v>17</v>
      </c>
      <c r="J23" s="187" t="str">
        <f ca="1">iRankMultiple!M122</f>
        <v>Costa Rica</v>
      </c>
      <c r="K23" s="248">
        <f ca="1">iRankMultiple!N122</f>
        <v>4.782</v>
      </c>
      <c r="L23" s="189">
        <f ca="1">iRankMultiple!O122</f>
        <v>2012</v>
      </c>
      <c r="M23" s="185"/>
      <c r="N23" s="185">
        <f ca="1">iRankMultiple!Q122</f>
        <v>1</v>
      </c>
      <c r="O23" s="186">
        <f ca="1">iRankMultiple!R122</f>
        <v>17</v>
      </c>
      <c r="P23" s="187" t="str">
        <f ca="1">iRankMultiple!S122</f>
        <v>Panamá</v>
      </c>
      <c r="Q23" s="188">
        <f ca="1">iRankMultiple!T122</f>
        <v>75420</v>
      </c>
      <c r="R23" s="189">
        <f ca="1">iRankMultiple!U122</f>
        <v>2012</v>
      </c>
      <c r="S23" s="185"/>
      <c r="T23" s="185">
        <f ca="1">iRankMultiple!W122</f>
        <v>1</v>
      </c>
      <c r="U23" s="186">
        <f ca="1">iRankMultiple!X122</f>
        <v>17</v>
      </c>
      <c r="V23" s="187" t="str">
        <f ca="1">iRankMultiple!Y122</f>
        <v>El Salvador</v>
      </c>
      <c r="W23" s="248">
        <f ca="1">iRankMultiple!Z122</f>
        <v>23.8644</v>
      </c>
      <c r="X23" s="189"/>
      <c r="Y23" s="185"/>
      <c r="Z23" s="185"/>
    </row>
    <row r="24" spans="1:26" ht="14.45" x14ac:dyDescent="0.3">
      <c r="A24" s="138"/>
      <c r="B24" s="185">
        <f ca="1">iRankMultiple!E123</f>
        <v>1</v>
      </c>
      <c r="C24" s="186">
        <f ca="1">iRankMultiple!F123</f>
        <v>18</v>
      </c>
      <c r="D24" s="187" t="str">
        <f ca="1">iRankMultiple!G123</f>
        <v>Nicaragua</v>
      </c>
      <c r="E24" s="237">
        <f ca="1">iRankMultiple!H123</f>
        <v>5</v>
      </c>
      <c r="F24" s="189">
        <f ca="1">iRankMultiple!I123</f>
        <v>2012</v>
      </c>
      <c r="G24" s="185"/>
      <c r="H24" s="185">
        <f ca="1">iRankMultiple!K123</f>
        <v>1</v>
      </c>
      <c r="I24" s="186">
        <f ca="1">iRankMultiple!L123</f>
        <v>18</v>
      </c>
      <c r="J24" s="187" t="str">
        <f ca="1">iRankMultiple!M123</f>
        <v>Panamá</v>
      </c>
      <c r="K24" s="248">
        <f ca="1">iRankMultiple!N123</f>
        <v>3.6549999999999998</v>
      </c>
      <c r="L24" s="189">
        <f ca="1">iRankMultiple!O123</f>
        <v>2012</v>
      </c>
      <c r="M24" s="185"/>
      <c r="N24" s="185">
        <f ca="1">iRankMultiple!Q123</f>
        <v>1</v>
      </c>
      <c r="O24" s="186">
        <f ca="1">iRankMultiple!R123</f>
        <v>18</v>
      </c>
      <c r="P24" s="187" t="str">
        <f ca="1">iRankMultiple!S123</f>
        <v>Costa Rica</v>
      </c>
      <c r="Q24" s="188">
        <f ca="1">iRankMultiple!T123</f>
        <v>51100</v>
      </c>
      <c r="R24" s="189">
        <f ca="1">iRankMultiple!U123</f>
        <v>2012</v>
      </c>
      <c r="S24" s="185"/>
      <c r="T24" s="185">
        <f ca="1">iRankMultiple!W123</f>
        <v>1</v>
      </c>
      <c r="U24" s="186">
        <f ca="1">iRankMultiple!X123</f>
        <v>18</v>
      </c>
      <c r="V24" s="187" t="str">
        <f ca="1">iRankMultiple!Y123</f>
        <v>Honduras</v>
      </c>
      <c r="W24" s="248">
        <f ca="1">iRankMultiple!Z123</f>
        <v>18.388000000000002</v>
      </c>
      <c r="X24" s="189"/>
      <c r="Y24" s="185"/>
      <c r="Z24" s="185"/>
    </row>
    <row r="25" spans="1:26" ht="14.45" x14ac:dyDescent="0.3">
      <c r="A25" s="138"/>
      <c r="B25" s="185">
        <f ca="1">iRankMultiple!E124</f>
        <v>1</v>
      </c>
      <c r="C25" s="186">
        <f ca="1">iRankMultiple!F124</f>
        <v>19</v>
      </c>
      <c r="D25" s="187" t="str">
        <f ca="1">iRankMultiple!G124</f>
        <v>Brasil</v>
      </c>
      <c r="E25" s="237">
        <f ca="1">iRankMultiple!H124</f>
        <v>4.5281547327290106</v>
      </c>
      <c r="F25" s="189">
        <f ca="1">iRankMultiple!I124</f>
        <v>2012</v>
      </c>
      <c r="G25" s="185"/>
      <c r="H25" s="185">
        <f ca="1">iRankMultiple!K124</f>
        <v>1</v>
      </c>
      <c r="I25" s="186">
        <f ca="1">iRankMultiple!L124</f>
        <v>19</v>
      </c>
      <c r="J25" s="187" t="str">
        <f ca="1">iRankMultiple!M124</f>
        <v>Uruguay</v>
      </c>
      <c r="K25" s="248">
        <f ca="1">iRankMultiple!N124</f>
        <v>3.3809999999999998</v>
      </c>
      <c r="L25" s="189">
        <f ca="1">iRankMultiple!O124</f>
        <v>2012</v>
      </c>
      <c r="M25" s="185"/>
      <c r="N25" s="185">
        <f ca="1">iRankMultiple!Q124</f>
        <v>1</v>
      </c>
      <c r="O25" s="186">
        <f ca="1">iRankMultiple!R124</f>
        <v>19</v>
      </c>
      <c r="P25" s="187" t="str">
        <f ca="1">iRankMultiple!S124</f>
        <v>Dominican Republic</v>
      </c>
      <c r="Q25" s="188">
        <f ca="1">iRankMultiple!T124</f>
        <v>48670</v>
      </c>
      <c r="R25" s="189">
        <f ca="1">iRankMultiple!U124</f>
        <v>2012</v>
      </c>
      <c r="S25" s="185"/>
      <c r="T25" s="185">
        <f ca="1">iRankMultiple!W124</f>
        <v>1</v>
      </c>
      <c r="U25" s="186">
        <f ca="1">iRankMultiple!X124</f>
        <v>19</v>
      </c>
      <c r="V25" s="187" t="str">
        <f ca="1">iRankMultiple!Y124</f>
        <v>Jamaica</v>
      </c>
      <c r="W25" s="248">
        <f ca="1">iRankMultiple!Z124</f>
        <v>15.262</v>
      </c>
      <c r="X25" s="189"/>
      <c r="Y25" s="185"/>
      <c r="Z25" s="185"/>
    </row>
    <row r="26" spans="1:26" ht="14.45" x14ac:dyDescent="0.3">
      <c r="A26" s="138"/>
      <c r="B26" s="185">
        <f ca="1">iRankMultiple!E125</f>
        <v>1</v>
      </c>
      <c r="C26" s="186">
        <f ca="1">iRankMultiple!F125</f>
        <v>20</v>
      </c>
      <c r="D26" s="187" t="str">
        <f ca="1">iRankMultiple!G125</f>
        <v>Uruguay</v>
      </c>
      <c r="E26" s="237">
        <f ca="1">iRankMultiple!H125</f>
        <v>4.3444985270182999</v>
      </c>
      <c r="F26" s="189">
        <f ca="1">iRankMultiple!I125</f>
        <v>2012</v>
      </c>
      <c r="G26" s="185"/>
      <c r="H26" s="185">
        <f ca="1">iRankMultiple!K125</f>
        <v>1</v>
      </c>
      <c r="I26" s="186">
        <f ca="1">iRankMultiple!L125</f>
        <v>20</v>
      </c>
      <c r="J26" s="187" t="str">
        <f ca="1">iRankMultiple!M125</f>
        <v>Jamaica</v>
      </c>
      <c r="K26" s="248">
        <f ca="1">iRankMultiple!N125</f>
        <v>2.7114760000000002</v>
      </c>
      <c r="L26" s="189">
        <f ca="1">iRankMultiple!O125</f>
        <v>2012</v>
      </c>
      <c r="M26" s="185"/>
      <c r="N26" s="185">
        <f ca="1">iRankMultiple!Q125</f>
        <v>1</v>
      </c>
      <c r="O26" s="186">
        <f ca="1">iRankMultiple!R125</f>
        <v>20</v>
      </c>
      <c r="P26" s="187" t="str">
        <f ca="1">iRankMultiple!S125</f>
        <v>Haiti</v>
      </c>
      <c r="Q26" s="188">
        <f ca="1">iRankMultiple!T125</f>
        <v>27750</v>
      </c>
      <c r="R26" s="189">
        <f ca="1">iRankMultiple!U125</f>
        <v>2012</v>
      </c>
      <c r="S26" s="185"/>
      <c r="T26" s="185">
        <f ca="1">iRankMultiple!W125</f>
        <v>1</v>
      </c>
      <c r="U26" s="186">
        <f ca="1">iRankMultiple!X125</f>
        <v>20</v>
      </c>
      <c r="V26" s="187" t="str">
        <f ca="1">iRankMultiple!Y125</f>
        <v>Nicaragua</v>
      </c>
      <c r="W26" s="248">
        <f ca="1">iRankMultiple!Z125</f>
        <v>10.506</v>
      </c>
      <c r="X26" s="189"/>
      <c r="Y26" s="185"/>
      <c r="Z26" s="185"/>
    </row>
    <row r="27" spans="1:26" ht="15" x14ac:dyDescent="0.25">
      <c r="A27" s="138"/>
      <c r="B27" s="185">
        <f ca="1">iRankMultiple!E126</f>
        <v>1</v>
      </c>
      <c r="C27" s="186">
        <f ca="1">iRankMultiple!F126</f>
        <v>21</v>
      </c>
      <c r="D27" s="187" t="str">
        <f ca="1">iRankMultiple!G126</f>
        <v>Chile</v>
      </c>
      <c r="E27" s="237">
        <f ca="1">iRankMultiple!H126</f>
        <v>4.01</v>
      </c>
      <c r="F27" s="189">
        <f ca="1">iRankMultiple!I126</f>
        <v>2012</v>
      </c>
      <c r="G27" s="185"/>
      <c r="H27" s="185">
        <f ca="1">iRankMultiple!K126</f>
        <v>1</v>
      </c>
      <c r="I27" s="186">
        <f ca="1">iRankMultiple!L126</f>
        <v>21</v>
      </c>
      <c r="J27" s="187" t="str">
        <f ca="1">iRankMultiple!M126</f>
        <v>Trinidad and Tobago</v>
      </c>
      <c r="K27" s="248">
        <f ca="1">iRankMultiple!N126</f>
        <v>1.329</v>
      </c>
      <c r="L27" s="189">
        <f ca="1">iRankMultiple!O126</f>
        <v>2012</v>
      </c>
      <c r="M27" s="185"/>
      <c r="N27" s="185">
        <f ca="1">iRankMultiple!Q126</f>
        <v>1</v>
      </c>
      <c r="O27" s="186">
        <f ca="1">iRankMultiple!R126</f>
        <v>21</v>
      </c>
      <c r="P27" s="187" t="str">
        <f ca="1">iRankMultiple!S126</f>
        <v>Belize</v>
      </c>
      <c r="Q27" s="188">
        <f ca="1">iRankMultiple!T126</f>
        <v>22970</v>
      </c>
      <c r="R27" s="189">
        <f ca="1">iRankMultiple!U126</f>
        <v>2012</v>
      </c>
      <c r="S27" s="185"/>
      <c r="T27" s="185">
        <f ca="1">iRankMultiple!W126</f>
        <v>1</v>
      </c>
      <c r="U27" s="186">
        <f ca="1">iRankMultiple!X126</f>
        <v>21</v>
      </c>
      <c r="V27" s="187" t="str">
        <f ca="1">iRankMultiple!Y126</f>
        <v>Bahamas</v>
      </c>
      <c r="W27" s="248">
        <f ca="1">iRankMultiple!Z126</f>
        <v>8.1490039999999997</v>
      </c>
      <c r="X27" s="189"/>
      <c r="Y27" s="185"/>
      <c r="Z27" s="185"/>
    </row>
    <row r="28" spans="1:26" ht="15" x14ac:dyDescent="0.25">
      <c r="A28" s="138"/>
      <c r="B28" s="185">
        <f ca="1">iRankMultiple!E127</f>
        <v>1</v>
      </c>
      <c r="C28" s="186">
        <f ca="1">iRankMultiple!F127</f>
        <v>22</v>
      </c>
      <c r="D28" s="187" t="str">
        <f ca="1">iRankMultiple!G127</f>
        <v>Bahamas</v>
      </c>
      <c r="E28" s="237">
        <f ca="1">iRankMultiple!H127</f>
        <v>3.91327578192378</v>
      </c>
      <c r="F28" s="189">
        <f ca="1">iRankMultiple!I127</f>
        <v>2012</v>
      </c>
      <c r="G28" s="185"/>
      <c r="H28" s="185">
        <f ca="1">iRankMultiple!K127</f>
        <v>1</v>
      </c>
      <c r="I28" s="186">
        <f ca="1">iRankMultiple!L127</f>
        <v>22</v>
      </c>
      <c r="J28" s="187" t="str">
        <f ca="1">iRankMultiple!M127</f>
        <v>Guyana</v>
      </c>
      <c r="K28" s="248">
        <f ca="1">iRankMultiple!N127</f>
        <v>0.75758700000000001</v>
      </c>
      <c r="L28" s="189">
        <f ca="1">iRankMultiple!O127</f>
        <v>2012</v>
      </c>
      <c r="M28" s="185"/>
      <c r="N28" s="185">
        <f ca="1">iRankMultiple!Q127</f>
        <v>1</v>
      </c>
      <c r="O28" s="186">
        <f ca="1">iRankMultiple!R127</f>
        <v>22</v>
      </c>
      <c r="P28" s="187" t="str">
        <f ca="1">iRankMultiple!S127</f>
        <v>El Salvador</v>
      </c>
      <c r="Q28" s="188">
        <f ca="1">iRankMultiple!T127</f>
        <v>21040</v>
      </c>
      <c r="R28" s="189">
        <f ca="1">iRankMultiple!U127</f>
        <v>2012</v>
      </c>
      <c r="S28" s="185"/>
      <c r="T28" s="185">
        <f ca="1">iRankMultiple!W127</f>
        <v>1</v>
      </c>
      <c r="U28" s="186">
        <f ca="1">iRankMultiple!X127</f>
        <v>22</v>
      </c>
      <c r="V28" s="187" t="str">
        <f ca="1">iRankMultiple!Y127</f>
        <v>Haiti</v>
      </c>
      <c r="W28" s="248">
        <f ca="1">iRankMultiple!Z127</f>
        <v>7.8949999999999996</v>
      </c>
      <c r="X28" s="189"/>
      <c r="Y28" s="185"/>
      <c r="Z28" s="185"/>
    </row>
    <row r="29" spans="1:26" ht="15" x14ac:dyDescent="0.25">
      <c r="A29" s="138"/>
      <c r="B29" s="185">
        <f ca="1">iRankMultiple!E128</f>
        <v>1</v>
      </c>
      <c r="C29" s="186">
        <f ca="1">iRankMultiple!F128</f>
        <v>23</v>
      </c>
      <c r="D29" s="187" t="str">
        <f ca="1">iRankMultiple!G128</f>
        <v>Belize</v>
      </c>
      <c r="E29" s="237">
        <f ca="1">iRankMultiple!H128</f>
        <v>3.6146611585719599</v>
      </c>
      <c r="F29" s="189">
        <f ca="1">iRankMultiple!I128</f>
        <v>2012</v>
      </c>
      <c r="G29" s="185"/>
      <c r="H29" s="185">
        <f ca="1">iRankMultiple!K128</f>
        <v>1</v>
      </c>
      <c r="I29" s="186">
        <f ca="1">iRankMultiple!L128</f>
        <v>23</v>
      </c>
      <c r="J29" s="187" t="str">
        <f ca="1">iRankMultiple!M128</f>
        <v>Suriname</v>
      </c>
      <c r="K29" s="248">
        <f ca="1">iRankMultiple!N128</f>
        <v>0.54600000000000004</v>
      </c>
      <c r="L29" s="189">
        <f ca="1">iRankMultiple!O128</f>
        <v>2012</v>
      </c>
      <c r="M29" s="185"/>
      <c r="N29" s="185">
        <f ca="1">iRankMultiple!Q128</f>
        <v>1</v>
      </c>
      <c r="O29" s="186">
        <f ca="1">iRankMultiple!R128</f>
        <v>23</v>
      </c>
      <c r="P29" s="187" t="str">
        <f ca="1">iRankMultiple!S128</f>
        <v>Bahamas</v>
      </c>
      <c r="Q29" s="188">
        <f ca="1">iRankMultiple!T128</f>
        <v>13880</v>
      </c>
      <c r="R29" s="189">
        <f ca="1">iRankMultiple!U128</f>
        <v>2012</v>
      </c>
      <c r="S29" s="185"/>
      <c r="T29" s="185">
        <f ca="1">iRankMultiple!W128</f>
        <v>1</v>
      </c>
      <c r="U29" s="186">
        <f ca="1">iRankMultiple!X128</f>
        <v>23</v>
      </c>
      <c r="V29" s="187" t="str">
        <f ca="1">iRankMultiple!Y128</f>
        <v>Suriname</v>
      </c>
      <c r="W29" s="248">
        <f ca="1">iRankMultiple!Z128</f>
        <v>4.7380000000000004</v>
      </c>
      <c r="X29" s="189"/>
      <c r="Y29" s="185"/>
      <c r="Z29" s="185"/>
    </row>
    <row r="30" spans="1:26" ht="15" x14ac:dyDescent="0.25">
      <c r="A30" s="138"/>
      <c r="B30" s="185">
        <f ca="1">iRankMultiple!E129</f>
        <v>1</v>
      </c>
      <c r="C30" s="186">
        <f ca="1">iRankMultiple!F129</f>
        <v>24</v>
      </c>
      <c r="D30" s="187" t="str">
        <f ca="1">iRankMultiple!G129</f>
        <v>Venezuela</v>
      </c>
      <c r="E30" s="237">
        <f ca="1">iRankMultiple!H129</f>
        <v>3.5627437840933798</v>
      </c>
      <c r="F30" s="189">
        <f ca="1">iRankMultiple!I129</f>
        <v>2012</v>
      </c>
      <c r="G30" s="185"/>
      <c r="H30" s="185">
        <f ca="1">iRankMultiple!K129</f>
        <v>1</v>
      </c>
      <c r="I30" s="186">
        <f ca="1">iRankMultiple!L129</f>
        <v>24</v>
      </c>
      <c r="J30" s="187" t="str">
        <f ca="1">iRankMultiple!M129</f>
        <v>Bahamas</v>
      </c>
      <c r="K30" s="248">
        <f ca="1">iRankMultiple!N129</f>
        <v>0.35199999999999998</v>
      </c>
      <c r="L30" s="189">
        <f ca="1">iRankMultiple!O129</f>
        <v>2012</v>
      </c>
      <c r="M30" s="185"/>
      <c r="N30" s="185">
        <f ca="1">iRankMultiple!Q129</f>
        <v>1</v>
      </c>
      <c r="O30" s="186">
        <f ca="1">iRankMultiple!R129</f>
        <v>24</v>
      </c>
      <c r="P30" s="187" t="str">
        <f ca="1">iRankMultiple!S129</f>
        <v>Jamaica</v>
      </c>
      <c r="Q30" s="188">
        <f ca="1">iRankMultiple!T129</f>
        <v>10990</v>
      </c>
      <c r="R30" s="189">
        <f ca="1">iRankMultiple!U129</f>
        <v>2012</v>
      </c>
      <c r="S30" s="185"/>
      <c r="T30" s="185">
        <f ca="1">iRankMultiple!W129</f>
        <v>1</v>
      </c>
      <c r="U30" s="186">
        <f ca="1">iRankMultiple!X129</f>
        <v>24</v>
      </c>
      <c r="V30" s="187" t="str">
        <f ca="1">iRankMultiple!Y129</f>
        <v>Barbados</v>
      </c>
      <c r="W30" s="248">
        <f ca="1">iRankMultiple!Z129</f>
        <v>4.5330000000000004</v>
      </c>
      <c r="X30" s="189"/>
      <c r="Y30" s="185"/>
      <c r="Z30" s="185"/>
    </row>
    <row r="31" spans="1:26" ht="15" x14ac:dyDescent="0.25">
      <c r="A31" s="138"/>
      <c r="B31" s="185">
        <f ca="1">iRankMultiple!E130</f>
        <v>1</v>
      </c>
      <c r="C31" s="186">
        <f ca="1">iRankMultiple!F130</f>
        <v>25</v>
      </c>
      <c r="D31" s="187" t="str">
        <f ca="1">iRankMultiple!G130</f>
        <v>Paraguay</v>
      </c>
      <c r="E31" s="237">
        <f ca="1">iRankMultiple!H130</f>
        <v>2.4994499559909897</v>
      </c>
      <c r="F31" s="189">
        <f ca="1">iRankMultiple!I130</f>
        <v>2012</v>
      </c>
      <c r="G31" s="185"/>
      <c r="H31" s="185">
        <f ca="1">iRankMultiple!K130</f>
        <v>1</v>
      </c>
      <c r="I31" s="186">
        <f ca="1">iRankMultiple!L130</f>
        <v>25</v>
      </c>
      <c r="J31" s="187" t="str">
        <f ca="1">iRankMultiple!M130</f>
        <v>Belize</v>
      </c>
      <c r="K31" s="248">
        <f ca="1">iRankMultiple!N130</f>
        <v>0.34195588378800001</v>
      </c>
      <c r="L31" s="189">
        <f ca="1">iRankMultiple!O130</f>
        <v>2012</v>
      </c>
      <c r="M31" s="185"/>
      <c r="N31" s="185">
        <f ca="1">iRankMultiple!Q130</f>
        <v>1</v>
      </c>
      <c r="O31" s="186">
        <f ca="1">iRankMultiple!R130</f>
        <v>25</v>
      </c>
      <c r="P31" s="187" t="str">
        <f ca="1">iRankMultiple!S130</f>
        <v>Trinidad and Tobago</v>
      </c>
      <c r="Q31" s="188">
        <f ca="1">iRankMultiple!T130</f>
        <v>5130</v>
      </c>
      <c r="R31" s="189">
        <f ca="1">iRankMultiple!U130</f>
        <v>2012</v>
      </c>
      <c r="S31" s="185"/>
      <c r="T31" s="185">
        <f ca="1">iRankMultiple!W130</f>
        <v>1</v>
      </c>
      <c r="U31" s="186">
        <f ca="1">iRankMultiple!X130</f>
        <v>25</v>
      </c>
      <c r="V31" s="187" t="str">
        <f ca="1">iRankMultiple!Y130</f>
        <v>Guyana</v>
      </c>
      <c r="W31" s="248">
        <f ca="1">iRankMultiple!Z130</f>
        <v>2.7879999999999998</v>
      </c>
      <c r="X31" s="189"/>
      <c r="Y31" s="185"/>
      <c r="Z31" s="185"/>
    </row>
    <row r="32" spans="1:26" ht="15" x14ac:dyDescent="0.25">
      <c r="A32" s="138"/>
      <c r="B32" s="185">
        <f ca="1">iRankMultiple!E131</f>
        <v>1</v>
      </c>
      <c r="C32" s="186" t="str">
        <f ca="1">iRankMultiple!F131</f>
        <v/>
      </c>
      <c r="D32" s="187" t="str">
        <f ca="1">iRankMultiple!G131</f>
        <v/>
      </c>
      <c r="E32" s="237" t="str">
        <f ca="1">iRankMultiple!H131</f>
        <v/>
      </c>
      <c r="F32" s="189" t="str">
        <f ca="1">iRankMultiple!I131</f>
        <v/>
      </c>
      <c r="G32" s="185"/>
      <c r="H32" s="185">
        <f ca="1">iRankMultiple!K131</f>
        <v>1</v>
      </c>
      <c r="I32" s="186">
        <f ca="1">iRankMultiple!L131</f>
        <v>26</v>
      </c>
      <c r="J32" s="187" t="str">
        <f ca="1">iRankMultiple!M131</f>
        <v>Barbados</v>
      </c>
      <c r="K32" s="248">
        <f ca="1">iRankMultiple!N131</f>
        <v>0.27451900000000001</v>
      </c>
      <c r="L32" s="189">
        <f ca="1">iRankMultiple!O131</f>
        <v>2012</v>
      </c>
      <c r="M32" s="185"/>
      <c r="N32" s="185">
        <f ca="1">iRankMultiple!Q131</f>
        <v>1</v>
      </c>
      <c r="O32" s="186">
        <f ca="1">iRankMultiple!R131</f>
        <v>26</v>
      </c>
      <c r="P32" s="187" t="str">
        <f ca="1">iRankMultiple!S131</f>
        <v>Barbados</v>
      </c>
      <c r="Q32" s="188">
        <f ca="1">iRankMultiple!T131</f>
        <v>430</v>
      </c>
      <c r="R32" s="189">
        <f ca="1">iRankMultiple!U131</f>
        <v>2012</v>
      </c>
      <c r="S32" s="185"/>
      <c r="T32" s="185">
        <f ca="1">iRankMultiple!W131</f>
        <v>1</v>
      </c>
      <c r="U32" s="186">
        <f ca="1">iRankMultiple!X131</f>
        <v>26</v>
      </c>
      <c r="V32" s="187" t="str">
        <f ca="1">iRankMultiple!Y131</f>
        <v>Belize</v>
      </c>
      <c r="W32" s="248">
        <f ca="1">iRankMultiple!Z131</f>
        <v>1.554</v>
      </c>
      <c r="X32" s="189">
        <f ca="1">iRankMultiple!AA131</f>
        <v>2012</v>
      </c>
      <c r="Y32" s="185"/>
      <c r="Z32" s="185"/>
    </row>
    <row r="33" spans="1:27" ht="15" x14ac:dyDescent="0.25">
      <c r="A33" s="138"/>
      <c r="B33" s="185"/>
      <c r="C33" s="186"/>
      <c r="D33" s="187"/>
      <c r="E33" s="188"/>
      <c r="F33" s="189"/>
      <c r="G33" s="185"/>
      <c r="H33" s="185"/>
      <c r="I33" s="186"/>
      <c r="J33" s="187"/>
      <c r="K33" s="188"/>
      <c r="L33" s="189"/>
      <c r="M33" s="185"/>
      <c r="N33" s="185"/>
      <c r="O33" s="186"/>
      <c r="P33" s="187"/>
      <c r="Q33" s="188"/>
      <c r="R33" s="189"/>
      <c r="S33" s="185"/>
      <c r="T33" s="185"/>
      <c r="U33" s="186"/>
      <c r="V33" s="187"/>
      <c r="W33" s="188"/>
      <c r="X33" s="189"/>
      <c r="Y33" s="185"/>
      <c r="Z33" s="185"/>
    </row>
    <row r="34" spans="1:27" ht="15" x14ac:dyDescent="0.25">
      <c r="A34" s="138"/>
      <c r="B34" s="185"/>
      <c r="C34" s="186"/>
      <c r="D34" s="187"/>
      <c r="E34" s="188"/>
      <c r="F34" s="189"/>
      <c r="G34" s="185"/>
      <c r="H34" s="185"/>
      <c r="I34" s="186"/>
      <c r="J34" s="187"/>
      <c r="K34" s="188"/>
      <c r="L34" s="189"/>
      <c r="M34" s="185"/>
      <c r="N34" s="185"/>
      <c r="O34" s="186"/>
      <c r="P34" s="187"/>
      <c r="Q34" s="188"/>
      <c r="R34" s="189"/>
      <c r="S34" s="185"/>
      <c r="T34" s="185"/>
      <c r="U34" s="186"/>
      <c r="V34" s="187"/>
      <c r="W34" s="188"/>
      <c r="X34" s="189"/>
      <c r="Y34" s="185"/>
      <c r="Z34" s="185"/>
    </row>
    <row r="35" spans="1:27" s="25" customFormat="1" ht="15" x14ac:dyDescent="0.25">
      <c r="A35" s="116"/>
      <c r="B35" s="116"/>
      <c r="C35" s="268" t="str">
        <f>iRankMultiple!AD102</f>
        <v>GENERAL INDICATORS »</v>
      </c>
      <c r="D35" s="268"/>
      <c r="E35" s="268"/>
      <c r="F35" s="268"/>
      <c r="G35" s="116"/>
      <c r="H35" s="190"/>
      <c r="I35" s="268" t="str">
        <f>iRankMultiple!AJ102</f>
        <v>GENERAL INDICATORS »</v>
      </c>
      <c r="J35" s="268"/>
      <c r="K35" s="268"/>
      <c r="L35" s="268"/>
      <c r="M35" s="116"/>
      <c r="N35" s="190"/>
      <c r="O35" s="268" t="str">
        <f>iRankMultiple!AP102</f>
        <v>GENERAL INDICATORS »</v>
      </c>
      <c r="P35" s="268"/>
      <c r="Q35" s="268"/>
      <c r="R35" s="268"/>
      <c r="S35" s="190"/>
      <c r="T35" s="190"/>
      <c r="U35" s="268" t="str">
        <f>iRankMultiple!AV102</f>
        <v>GENERAL INDICATORS »</v>
      </c>
      <c r="V35" s="268"/>
      <c r="W35" s="268"/>
      <c r="X35" s="268"/>
      <c r="Y35" s="184"/>
      <c r="Z35" s="184"/>
      <c r="AA35" s="183"/>
    </row>
    <row r="36" spans="1:27" s="40" customFormat="1" ht="30" customHeight="1" x14ac:dyDescent="0.25">
      <c r="A36" s="116"/>
      <c r="B36" s="116"/>
      <c r="C36" s="266" t="str">
        <f>iRankMultiple!AD103</f>
        <v>GDP-PPP</v>
      </c>
      <c r="D36" s="266"/>
      <c r="E36" s="266"/>
      <c r="F36" s="266"/>
      <c r="G36" s="116"/>
      <c r="H36" s="191"/>
      <c r="I36" s="266" t="str">
        <f>iRankMultiple!AJ103</f>
        <v>Transport service imports</v>
      </c>
      <c r="J36" s="266"/>
      <c r="K36" s="266"/>
      <c r="L36" s="266"/>
      <c r="M36" s="116"/>
      <c r="N36" s="191"/>
      <c r="O36" s="266" t="str">
        <f>iRankMultiple!AP103</f>
        <v>Transport service exports</v>
      </c>
      <c r="P36" s="266"/>
      <c r="Q36" s="266"/>
      <c r="R36" s="266"/>
      <c r="S36" s="191"/>
      <c r="T36" s="191"/>
      <c r="U36" s="266" t="str">
        <f>iRankMultiple!AV103</f>
        <v>Value of exports</v>
      </c>
      <c r="V36" s="266"/>
      <c r="W36" s="266"/>
      <c r="X36" s="266"/>
      <c r="Y36" s="184"/>
      <c r="Z36" s="184"/>
      <c r="AA36" s="148"/>
    </row>
    <row r="37" spans="1:27" ht="13.5" customHeight="1" x14ac:dyDescent="0.25">
      <c r="A37" s="116"/>
      <c r="B37" s="116"/>
      <c r="C37" s="267" t="str">
        <f>iRankMultiple!AD104</f>
        <v>US$ (billions)</v>
      </c>
      <c r="D37" s="267"/>
      <c r="E37" s="267"/>
      <c r="F37" s="267"/>
      <c r="G37" s="116"/>
      <c r="H37" s="184"/>
      <c r="I37" s="267" t="str">
        <f>iRankMultiple!AJ104</f>
        <v>US$ (billions)</v>
      </c>
      <c r="J37" s="267"/>
      <c r="K37" s="267"/>
      <c r="L37" s="267"/>
      <c r="M37" s="116"/>
      <c r="N37" s="184"/>
      <c r="O37" s="267" t="str">
        <f>iRankMultiple!AP104</f>
        <v>US$ (billions)</v>
      </c>
      <c r="P37" s="267"/>
      <c r="Q37" s="267"/>
      <c r="R37" s="267"/>
      <c r="S37" s="184"/>
      <c r="T37" s="184"/>
      <c r="U37" s="267" t="str">
        <f>iRankMultiple!AV104</f>
        <v>US$ (billions)</v>
      </c>
      <c r="V37" s="267"/>
      <c r="W37" s="267"/>
      <c r="X37" s="267"/>
      <c r="Y37" s="184"/>
      <c r="Z37" s="184"/>
    </row>
    <row r="38" spans="1:27" ht="15" x14ac:dyDescent="0.25">
      <c r="A38" s="138"/>
      <c r="B38" s="138">
        <f ca="1">iRankMultiple!AC106</f>
        <v>1</v>
      </c>
      <c r="C38" s="186">
        <f ca="1">iRankMultiple!AD106</f>
        <v>1</v>
      </c>
      <c r="D38" s="187" t="str">
        <f ca="1">iRankMultiple!AE106</f>
        <v>Brasil</v>
      </c>
      <c r="E38" s="248">
        <f ca="1">iRankMultiple!AF106</f>
        <v>2355.5859999999998</v>
      </c>
      <c r="F38" s="189">
        <f ca="1">iRankMultiple!AG106</f>
        <v>2012</v>
      </c>
      <c r="G38" s="185"/>
      <c r="H38" s="185">
        <f ca="1">iRankMultiple!AI106</f>
        <v>1</v>
      </c>
      <c r="I38" s="186">
        <f ca="1">iRankMultiple!AJ106</f>
        <v>1</v>
      </c>
      <c r="J38" s="187" t="str">
        <f ca="1">iRankMultiple!AK106</f>
        <v>Brasil</v>
      </c>
      <c r="K38" s="248">
        <f ca="1">iRankMultiple!AL106</f>
        <v>16.966999999999999</v>
      </c>
      <c r="L38" s="189">
        <f ca="1">iRankMultiple!AM106</f>
        <v>2012</v>
      </c>
      <c r="M38" s="138"/>
      <c r="N38" s="185">
        <f ca="1">iRankMultiple!AO106</f>
        <v>1</v>
      </c>
      <c r="O38" s="186">
        <f ca="1">iRankMultiple!AP106</f>
        <v>1</v>
      </c>
      <c r="P38" s="187" t="str">
        <f ca="1">iRankMultiple!AQ106</f>
        <v>Chile</v>
      </c>
      <c r="Q38" s="248">
        <f ca="1">iRankMultiple!AR106</f>
        <v>6.7264964210000002</v>
      </c>
      <c r="R38" s="189">
        <f ca="1">iRankMultiple!AS106</f>
        <v>2012</v>
      </c>
      <c r="S38" s="185"/>
      <c r="T38" s="185">
        <f ca="1">iRankMultiple!AU106</f>
        <v>1</v>
      </c>
      <c r="U38" s="186">
        <f ca="1">iRankMultiple!AV106</f>
        <v>1</v>
      </c>
      <c r="V38" s="187" t="str">
        <f ca="1">iRankMultiple!AW106</f>
        <v>México</v>
      </c>
      <c r="W38" s="248">
        <f ca="1">iRankMultiple!AX106</f>
        <v>370.00369590000003</v>
      </c>
      <c r="X38" s="189">
        <f ca="1">iRankMultiple!AY106</f>
        <v>2012</v>
      </c>
      <c r="Y38" s="185"/>
      <c r="Z38" s="185"/>
    </row>
    <row r="39" spans="1:27" ht="15" x14ac:dyDescent="0.25">
      <c r="A39" s="138"/>
      <c r="B39" s="185">
        <f ca="1">iRankMultiple!AC107</f>
        <v>1</v>
      </c>
      <c r="C39" s="186">
        <f ca="1">iRankMultiple!AD107</f>
        <v>2</v>
      </c>
      <c r="D39" s="187" t="str">
        <f ca="1">iRankMultiple!AE107</f>
        <v>México</v>
      </c>
      <c r="E39" s="248">
        <f ca="1">iRankMultiple!AF107</f>
        <v>1758.896</v>
      </c>
      <c r="F39" s="189">
        <f ca="1">iRankMultiple!AG107</f>
        <v>2012</v>
      </c>
      <c r="G39" s="185"/>
      <c r="H39" s="185">
        <f ca="1">iRankMultiple!AI107</f>
        <v>1</v>
      </c>
      <c r="I39" s="186">
        <f ca="1">iRankMultiple!AJ107</f>
        <v>2</v>
      </c>
      <c r="J39" s="187" t="str">
        <f ca="1">iRankMultiple!AK107</f>
        <v>México</v>
      </c>
      <c r="K39" s="248">
        <f ca="1">iRankMultiple!AL107</f>
        <v>14.015862500000001</v>
      </c>
      <c r="L39" s="189">
        <f ca="1">iRankMultiple!AM107</f>
        <v>2012</v>
      </c>
      <c r="M39" s="138"/>
      <c r="N39" s="185">
        <f ca="1">iRankMultiple!AO107</f>
        <v>1</v>
      </c>
      <c r="O39" s="186">
        <f ca="1">iRankMultiple!AP107</f>
        <v>2</v>
      </c>
      <c r="P39" s="187" t="str">
        <f ca="1">iRankMultiple!AQ107</f>
        <v>Brasil</v>
      </c>
      <c r="Q39" s="248">
        <f ca="1">iRankMultiple!AR107</f>
        <v>6.7060000000000004</v>
      </c>
      <c r="R39" s="189">
        <f ca="1">iRankMultiple!AS107</f>
        <v>2012</v>
      </c>
      <c r="S39" s="185"/>
      <c r="T39" s="185">
        <f ca="1">iRankMultiple!AU107</f>
        <v>1</v>
      </c>
      <c r="U39" s="186">
        <f ca="1">iRankMultiple!AV107</f>
        <v>2</v>
      </c>
      <c r="V39" s="187" t="str">
        <f ca="1">iRankMultiple!AW107</f>
        <v>Brasil</v>
      </c>
      <c r="W39" s="248">
        <f ca="1">iRankMultiple!AX107</f>
        <v>244.5488751</v>
      </c>
      <c r="X39" s="189">
        <f ca="1">iRankMultiple!AY107</f>
        <v>2012</v>
      </c>
      <c r="Y39" s="185"/>
      <c r="Z39" s="185"/>
    </row>
    <row r="40" spans="1:27" ht="15" x14ac:dyDescent="0.25">
      <c r="A40" s="138"/>
      <c r="B40" s="185">
        <f ca="1">iRankMultiple!AC108</f>
        <v>1</v>
      </c>
      <c r="C40" s="186">
        <f ca="1">iRankMultiple!AD108</f>
        <v>3</v>
      </c>
      <c r="D40" s="187" t="str">
        <f ca="1">iRankMultiple!AE108</f>
        <v>Argentina</v>
      </c>
      <c r="E40" s="248">
        <f ca="1">iRankMultiple!AF108</f>
        <v>746.92700000000002</v>
      </c>
      <c r="F40" s="189">
        <f ca="1">iRankMultiple!AG108</f>
        <v>2012</v>
      </c>
      <c r="G40" s="185"/>
      <c r="H40" s="185">
        <f ca="1">iRankMultiple!AI108</f>
        <v>1</v>
      </c>
      <c r="I40" s="186">
        <f ca="1">iRankMultiple!AJ108</f>
        <v>3</v>
      </c>
      <c r="J40" s="187" t="str">
        <f ca="1">iRankMultiple!AK108</f>
        <v>Chile</v>
      </c>
      <c r="K40" s="248">
        <f ca="1">iRankMultiple!AL108</f>
        <v>7.1905953890000003</v>
      </c>
      <c r="L40" s="189">
        <f ca="1">iRankMultiple!AM108</f>
        <v>2012</v>
      </c>
      <c r="M40" s="185"/>
      <c r="N40" s="185">
        <f ca="1">iRankMultiple!AO108</f>
        <v>1</v>
      </c>
      <c r="O40" s="186">
        <f ca="1">iRankMultiple!AP108</f>
        <v>3</v>
      </c>
      <c r="P40" s="187" t="str">
        <f ca="1">iRankMultiple!AQ108</f>
        <v>Panamá</v>
      </c>
      <c r="Q40" s="248">
        <f ca="1">iRankMultiple!AR108</f>
        <v>4.5293999999999999</v>
      </c>
      <c r="R40" s="189">
        <f ca="1">iRankMultiple!AS108</f>
        <v>2012</v>
      </c>
      <c r="S40" s="185"/>
      <c r="T40" s="185">
        <f ca="1">iRankMultiple!AU108</f>
        <v>1</v>
      </c>
      <c r="U40" s="186">
        <f ca="1">iRankMultiple!AV108</f>
        <v>3</v>
      </c>
      <c r="V40" s="187" t="str">
        <f ca="1">iRankMultiple!AW108</f>
        <v>Venezuela</v>
      </c>
      <c r="W40" s="248">
        <f ca="1">iRankMultiple!AX108</f>
        <v>96.461419800000002</v>
      </c>
      <c r="X40" s="189">
        <f ca="1">iRankMultiple!AY108</f>
        <v>2012</v>
      </c>
      <c r="Y40" s="185"/>
      <c r="Z40" s="185"/>
    </row>
    <row r="41" spans="1:27" ht="15" x14ac:dyDescent="0.25">
      <c r="A41" s="138"/>
      <c r="B41" s="185">
        <f ca="1">iRankMultiple!AC109</f>
        <v>1</v>
      </c>
      <c r="C41" s="186">
        <f ca="1">iRankMultiple!AD109</f>
        <v>4</v>
      </c>
      <c r="D41" s="187" t="str">
        <f ca="1">iRankMultiple!AE109</f>
        <v>Colombia</v>
      </c>
      <c r="E41" s="248">
        <f ca="1">iRankMultiple!AF109</f>
        <v>502.87400000000002</v>
      </c>
      <c r="F41" s="189">
        <f ca="1">iRankMultiple!AG109</f>
        <v>2012</v>
      </c>
      <c r="G41" s="185"/>
      <c r="H41" s="185">
        <f ca="1">iRankMultiple!AI109</f>
        <v>1</v>
      </c>
      <c r="I41" s="186">
        <f ca="1">iRankMultiple!AJ109</f>
        <v>4</v>
      </c>
      <c r="J41" s="187" t="str">
        <f ca="1">iRankMultiple!AK109</f>
        <v>Argentina</v>
      </c>
      <c r="K41" s="248">
        <f ca="1">iRankMultiple!AL109</f>
        <v>5.3750454000000003</v>
      </c>
      <c r="L41" s="189">
        <f ca="1">iRankMultiple!AM109</f>
        <v>2012</v>
      </c>
      <c r="M41" s="185"/>
      <c r="N41" s="185">
        <f ca="1">iRankMultiple!AO109</f>
        <v>1</v>
      </c>
      <c r="O41" s="186">
        <f ca="1">iRankMultiple!AP109</f>
        <v>4</v>
      </c>
      <c r="P41" s="187" t="str">
        <f ca="1">iRankMultiple!AQ109</f>
        <v>Argentina</v>
      </c>
      <c r="Q41" s="248">
        <f ca="1">iRankMultiple!AR109</f>
        <v>2.4069547999999998</v>
      </c>
      <c r="R41" s="189">
        <f ca="1">iRankMultiple!AS109</f>
        <v>2012</v>
      </c>
      <c r="S41" s="185"/>
      <c r="T41" s="185">
        <f ca="1">iRankMultiple!AU109</f>
        <v>1</v>
      </c>
      <c r="U41" s="186">
        <f ca="1">iRankMultiple!AV109</f>
        <v>4</v>
      </c>
      <c r="V41" s="187" t="str">
        <f ca="1">iRankMultiple!AW109</f>
        <v>Argentina</v>
      </c>
      <c r="W41" s="248">
        <f ca="1">iRankMultiple!AX109</f>
        <v>81.903149600000006</v>
      </c>
      <c r="X41" s="189">
        <f ca="1">iRankMultiple!AY109</f>
        <v>2012</v>
      </c>
      <c r="Y41" s="185"/>
      <c r="Z41" s="185"/>
    </row>
    <row r="42" spans="1:27" ht="15" x14ac:dyDescent="0.25">
      <c r="A42" s="138"/>
      <c r="B42" s="185">
        <f ca="1">iRankMultiple!AC110</f>
        <v>1</v>
      </c>
      <c r="C42" s="186">
        <f ca="1">iRankMultiple!AD110</f>
        <v>5</v>
      </c>
      <c r="D42" s="187" t="str">
        <f ca="1">iRankMultiple!AE110</f>
        <v>Venezuela</v>
      </c>
      <c r="E42" s="248">
        <f ca="1">iRankMultiple!AF110</f>
        <v>401.89800000000002</v>
      </c>
      <c r="F42" s="189">
        <f ca="1">iRankMultiple!AG110</f>
        <v>2012</v>
      </c>
      <c r="G42" s="185"/>
      <c r="H42" s="185">
        <f ca="1">iRankMultiple!AI110</f>
        <v>1</v>
      </c>
      <c r="I42" s="186">
        <f ca="1">iRankMultiple!AJ110</f>
        <v>5</v>
      </c>
      <c r="J42" s="187" t="str">
        <f ca="1">iRankMultiple!AK110</f>
        <v>Venezuela</v>
      </c>
      <c r="K42" s="248">
        <f ca="1">iRankMultiple!AL110</f>
        <v>3.7890000000000001</v>
      </c>
      <c r="L42" s="189">
        <f ca="1">iRankMultiple!AM110</f>
        <v>2012</v>
      </c>
      <c r="M42" s="185"/>
      <c r="N42" s="185">
        <f ca="1">iRankMultiple!AO110</f>
        <v>1</v>
      </c>
      <c r="O42" s="186">
        <f ca="1">iRankMultiple!AP110</f>
        <v>5</v>
      </c>
      <c r="P42" s="187" t="str">
        <f ca="1">iRankMultiple!AQ110</f>
        <v>Ecuador</v>
      </c>
      <c r="Q42" s="248">
        <f ca="1">iRankMultiple!AR110</f>
        <v>1.7828835000000001</v>
      </c>
      <c r="R42" s="189">
        <f ca="1">iRankMultiple!AS110</f>
        <v>2012</v>
      </c>
      <c r="S42" s="185"/>
      <c r="T42" s="185">
        <f ca="1">iRankMultiple!AU110</f>
        <v>1</v>
      </c>
      <c r="U42" s="186">
        <f ca="1">iRankMultiple!AV110</f>
        <v>5</v>
      </c>
      <c r="V42" s="187" t="str">
        <f ca="1">iRankMultiple!AW110</f>
        <v>Chile</v>
      </c>
      <c r="W42" s="248">
        <f ca="1">iRankMultiple!AX110</f>
        <v>78.276982606000004</v>
      </c>
      <c r="X42" s="189">
        <f ca="1">iRankMultiple!AY110</f>
        <v>2012</v>
      </c>
      <c r="Y42" s="185"/>
      <c r="Z42" s="185"/>
    </row>
    <row r="43" spans="1:27" ht="15" x14ac:dyDescent="0.25">
      <c r="A43" s="138"/>
      <c r="B43" s="185">
        <f ca="1">iRankMultiple!AC111</f>
        <v>1</v>
      </c>
      <c r="C43" s="186">
        <f ca="1">iRankMultiple!AD111</f>
        <v>6</v>
      </c>
      <c r="D43" s="187" t="str">
        <f ca="1">iRankMultiple!AE111</f>
        <v>Peru</v>
      </c>
      <c r="E43" s="248">
        <f ca="1">iRankMultiple!AF111</f>
        <v>326.661</v>
      </c>
      <c r="F43" s="189">
        <f ca="1">iRankMultiple!AG111</f>
        <v>2012</v>
      </c>
      <c r="G43" s="185"/>
      <c r="H43" s="185">
        <f ca="1">iRankMultiple!AI111</f>
        <v>1</v>
      </c>
      <c r="I43" s="186">
        <f ca="1">iRankMultiple!AJ111</f>
        <v>6</v>
      </c>
      <c r="J43" s="187" t="str">
        <f ca="1">iRankMultiple!AK111</f>
        <v>Colombia</v>
      </c>
      <c r="K43" s="248">
        <f ca="1">iRankMultiple!AL111</f>
        <v>3.4607169999999998</v>
      </c>
      <c r="L43" s="189">
        <f ca="1">iRankMultiple!AM111</f>
        <v>2012</v>
      </c>
      <c r="M43" s="185"/>
      <c r="N43" s="185">
        <f ca="1">iRankMultiple!AO111</f>
        <v>1</v>
      </c>
      <c r="O43" s="186">
        <f ca="1">iRankMultiple!AP111</f>
        <v>6</v>
      </c>
      <c r="P43" s="187" t="str">
        <f ca="1">iRankMultiple!AQ111</f>
        <v>Colombia</v>
      </c>
      <c r="Q43" s="248">
        <f ca="1">iRankMultiple!AR111</f>
        <v>1.4703040000000001</v>
      </c>
      <c r="R43" s="189">
        <f ca="1">iRankMultiple!AS111</f>
        <v>2012</v>
      </c>
      <c r="S43" s="185"/>
      <c r="T43" s="185">
        <f ca="1">iRankMultiple!AU111</f>
        <v>1</v>
      </c>
      <c r="U43" s="186">
        <f ca="1">iRankMultiple!AV111</f>
        <v>6</v>
      </c>
      <c r="V43" s="187" t="str">
        <f ca="1">iRankMultiple!AW111</f>
        <v>Colombia</v>
      </c>
      <c r="W43" s="248">
        <f ca="1">iRankMultiple!AX111</f>
        <v>60.125165917929998</v>
      </c>
      <c r="X43" s="189">
        <f ca="1">iRankMultiple!AY111</f>
        <v>2012</v>
      </c>
      <c r="Y43" s="185"/>
      <c r="Z43" s="185"/>
    </row>
    <row r="44" spans="1:27" ht="15" x14ac:dyDescent="0.25">
      <c r="A44" s="138"/>
      <c r="B44" s="185">
        <f ca="1">iRankMultiple!AC112</f>
        <v>1</v>
      </c>
      <c r="C44" s="186">
        <f ca="1">iRankMultiple!AD112</f>
        <v>7</v>
      </c>
      <c r="D44" s="187" t="str">
        <f ca="1">iRankMultiple!AE112</f>
        <v>Chile</v>
      </c>
      <c r="E44" s="248">
        <f ca="1">iRankMultiple!AF112</f>
        <v>320.54000000000002</v>
      </c>
      <c r="F44" s="189">
        <f ca="1">iRankMultiple!AG112</f>
        <v>2012</v>
      </c>
      <c r="G44" s="185"/>
      <c r="H44" s="185">
        <f ca="1">iRankMultiple!AI112</f>
        <v>1</v>
      </c>
      <c r="I44" s="186">
        <f ca="1">iRankMultiple!AJ112</f>
        <v>7</v>
      </c>
      <c r="J44" s="187" t="str">
        <f ca="1">iRankMultiple!AK112</f>
        <v>Ecuador</v>
      </c>
      <c r="K44" s="248">
        <f ca="1">iRankMultiple!AL112</f>
        <v>3.3943321000000002</v>
      </c>
      <c r="L44" s="189">
        <f ca="1">iRankMultiple!AM112</f>
        <v>2012</v>
      </c>
      <c r="M44" s="185"/>
      <c r="N44" s="185">
        <f ca="1">iRankMultiple!AO112</f>
        <v>1</v>
      </c>
      <c r="O44" s="186">
        <f ca="1">iRankMultiple!AP112</f>
        <v>7</v>
      </c>
      <c r="P44" s="187" t="str">
        <f ca="1">iRankMultiple!AQ112</f>
        <v>Peru</v>
      </c>
      <c r="Q44" s="248">
        <f ca="1">iRankMultiple!AR112</f>
        <v>1.1391036000000001</v>
      </c>
      <c r="R44" s="189">
        <f ca="1">iRankMultiple!AS112</f>
        <v>2012</v>
      </c>
      <c r="S44" s="185"/>
      <c r="T44" s="185">
        <f ca="1">iRankMultiple!AU112</f>
        <v>1</v>
      </c>
      <c r="U44" s="186">
        <f ca="1">iRankMultiple!AV112</f>
        <v>7</v>
      </c>
      <c r="V44" s="187" t="str">
        <f ca="1">iRankMultiple!AW112</f>
        <v>Peru</v>
      </c>
      <c r="W44" s="248">
        <f ca="1">iRankMultiple!AX112</f>
        <v>45.383964800000001</v>
      </c>
      <c r="X44" s="189">
        <f ca="1">iRankMultiple!AY112</f>
        <v>2012</v>
      </c>
      <c r="Y44" s="185"/>
      <c r="Z44" s="185"/>
    </row>
    <row r="45" spans="1:27" ht="15" x14ac:dyDescent="0.25">
      <c r="A45" s="138"/>
      <c r="B45" s="185">
        <f ca="1">iRankMultiple!AC113</f>
        <v>1</v>
      </c>
      <c r="C45" s="186">
        <f ca="1">iRankMultiple!AD113</f>
        <v>8</v>
      </c>
      <c r="D45" s="187" t="str">
        <f ca="1">iRankMultiple!AE113</f>
        <v>Ecuador</v>
      </c>
      <c r="E45" s="248">
        <f ca="1">iRankMultiple!AF113</f>
        <v>142.04900000000001</v>
      </c>
      <c r="F45" s="189">
        <f ca="1">iRankMultiple!AG113</f>
        <v>2012</v>
      </c>
      <c r="G45" s="185"/>
      <c r="H45" s="185">
        <f ca="1">iRankMultiple!AI113</f>
        <v>1</v>
      </c>
      <c r="I45" s="186">
        <f ca="1">iRankMultiple!AJ113</f>
        <v>8</v>
      </c>
      <c r="J45" s="187" t="str">
        <f ca="1">iRankMultiple!AK113</f>
        <v>Peru</v>
      </c>
      <c r="K45" s="248">
        <f ca="1">iRankMultiple!AL113</f>
        <v>2.5815804999999998</v>
      </c>
      <c r="L45" s="189">
        <f ca="1">iRankMultiple!AM113</f>
        <v>2012</v>
      </c>
      <c r="M45" s="185"/>
      <c r="N45" s="185">
        <f ca="1">iRankMultiple!AO113</f>
        <v>1</v>
      </c>
      <c r="O45" s="186">
        <f ca="1">iRankMultiple!AP113</f>
        <v>8</v>
      </c>
      <c r="P45" s="187" t="str">
        <f ca="1">iRankMultiple!AQ113</f>
        <v>Uruguay</v>
      </c>
      <c r="Q45" s="248">
        <f ca="1">iRankMultiple!AR113</f>
        <v>0.85620932189668597</v>
      </c>
      <c r="R45" s="189">
        <f ca="1">iRankMultiple!AS113</f>
        <v>2012</v>
      </c>
      <c r="S45" s="185"/>
      <c r="T45" s="185">
        <f ca="1">iRankMultiple!AU113</f>
        <v>1</v>
      </c>
      <c r="U45" s="186">
        <f ca="1">iRankMultiple!AV113</f>
        <v>8</v>
      </c>
      <c r="V45" s="187" t="str">
        <f ca="1">iRankMultiple!AW113</f>
        <v>Ecuador</v>
      </c>
      <c r="W45" s="248">
        <f ca="1">iRankMultiple!AX113</f>
        <v>24.922507499999998</v>
      </c>
      <c r="X45" s="189">
        <f ca="1">iRankMultiple!AY113</f>
        <v>2012</v>
      </c>
      <c r="Y45" s="185"/>
      <c r="Z45" s="185"/>
    </row>
    <row r="46" spans="1:27" ht="15" x14ac:dyDescent="0.25">
      <c r="A46" s="138"/>
      <c r="B46" s="185">
        <f ca="1">iRankMultiple!AC114</f>
        <v>1</v>
      </c>
      <c r="C46" s="186">
        <f ca="1">iRankMultiple!AD114</f>
        <v>9</v>
      </c>
      <c r="D46" s="187" t="str">
        <f ca="1">iRankMultiple!AE114</f>
        <v>Dominican Republic</v>
      </c>
      <c r="E46" s="248">
        <f ca="1">iRankMultiple!AF114</f>
        <v>98.747</v>
      </c>
      <c r="F46" s="189">
        <f ca="1">iRankMultiple!AG114</f>
        <v>2012</v>
      </c>
      <c r="G46" s="185"/>
      <c r="H46" s="185">
        <f ca="1">iRankMultiple!AI114</f>
        <v>1</v>
      </c>
      <c r="I46" s="186">
        <f ca="1">iRankMultiple!AJ114</f>
        <v>9</v>
      </c>
      <c r="J46" s="187" t="str">
        <f ca="1">iRankMultiple!AK114</f>
        <v>Panamá</v>
      </c>
      <c r="K46" s="248">
        <f ca="1">iRankMultiple!AL114</f>
        <v>1.9410000000000001</v>
      </c>
      <c r="L46" s="189">
        <f ca="1">iRankMultiple!AM114</f>
        <v>2012</v>
      </c>
      <c r="M46" s="185"/>
      <c r="N46" s="185">
        <f ca="1">iRankMultiple!AO114</f>
        <v>1</v>
      </c>
      <c r="O46" s="186">
        <f ca="1">iRankMultiple!AP114</f>
        <v>9</v>
      </c>
      <c r="P46" s="187" t="str">
        <f ca="1">iRankMultiple!AQ114</f>
        <v>México</v>
      </c>
      <c r="Q46" s="248">
        <f ca="1">iRankMultiple!AR114</f>
        <v>0.63758579999999998</v>
      </c>
      <c r="R46" s="189">
        <f ca="1">iRankMultiple!AS114</f>
        <v>2012</v>
      </c>
      <c r="S46" s="185"/>
      <c r="T46" s="185">
        <f ca="1">iRankMultiple!AU114</f>
        <v>1</v>
      </c>
      <c r="U46" s="186">
        <f ca="1">iRankMultiple!AV114</f>
        <v>9</v>
      </c>
      <c r="V46" s="187" t="str">
        <f ca="1">iRankMultiple!AW114</f>
        <v>Panamá</v>
      </c>
      <c r="W46" s="248">
        <f ca="1">iRankMultiple!AX114</f>
        <v>18.024983800000001</v>
      </c>
      <c r="X46" s="189">
        <f ca="1">iRankMultiple!AY114</f>
        <v>2012</v>
      </c>
      <c r="Y46" s="185"/>
      <c r="Z46" s="185"/>
    </row>
    <row r="47" spans="1:27" ht="15" x14ac:dyDescent="0.25">
      <c r="A47" s="138"/>
      <c r="B47" s="185">
        <f ca="1">iRankMultiple!AC115</f>
        <v>1</v>
      </c>
      <c r="C47" s="186">
        <f ca="1">iRankMultiple!AD115</f>
        <v>10</v>
      </c>
      <c r="D47" s="187" t="str">
        <f ca="1">iRankMultiple!AE115</f>
        <v>Guatemala</v>
      </c>
      <c r="E47" s="248">
        <f ca="1">iRankMultiple!AF115</f>
        <v>78.680999999999997</v>
      </c>
      <c r="F47" s="189">
        <f ca="1">iRankMultiple!AG115</f>
        <v>2012</v>
      </c>
      <c r="G47" s="185"/>
      <c r="H47" s="185">
        <f ca="1">iRankMultiple!AI115</f>
        <v>1</v>
      </c>
      <c r="I47" s="186">
        <f ca="1">iRankMultiple!AJ115</f>
        <v>10</v>
      </c>
      <c r="J47" s="187" t="str">
        <f ca="1">iRankMultiple!AK115</f>
        <v>Guatemala</v>
      </c>
      <c r="K47" s="248">
        <f ca="1">iRankMultiple!AL115</f>
        <v>1.28566</v>
      </c>
      <c r="L47" s="189">
        <f ca="1">iRankMultiple!AM115</f>
        <v>2012</v>
      </c>
      <c r="M47" s="185"/>
      <c r="N47" s="185">
        <f ca="1">iRankMultiple!AO115</f>
        <v>1</v>
      </c>
      <c r="O47" s="186">
        <f ca="1">iRankMultiple!AP115</f>
        <v>10</v>
      </c>
      <c r="P47" s="187" t="str">
        <f ca="1">iRankMultiple!AQ115</f>
        <v>Costa Rica</v>
      </c>
      <c r="Q47" s="248">
        <f ca="1">iRankMultiple!AR115</f>
        <v>0.452263928883467</v>
      </c>
      <c r="R47" s="189">
        <f ca="1">iRankMultiple!AS115</f>
        <v>2012</v>
      </c>
      <c r="S47" s="185"/>
      <c r="T47" s="185">
        <f ca="1">iRankMultiple!AU115</f>
        <v>1</v>
      </c>
      <c r="U47" s="186">
        <f ca="1">iRankMultiple!AV115</f>
        <v>10</v>
      </c>
      <c r="V47" s="187" t="str">
        <f ca="1">iRankMultiple!AW115</f>
        <v>Trinidad and Tobago</v>
      </c>
      <c r="W47" s="248">
        <f ca="1">iRankMultiple!AX115</f>
        <v>14.235201399999999</v>
      </c>
      <c r="X47" s="189"/>
      <c r="Y47" s="185"/>
      <c r="Z47" s="185"/>
    </row>
    <row r="48" spans="1:27" ht="15" x14ac:dyDescent="0.25">
      <c r="A48" s="138"/>
      <c r="B48" s="185">
        <f ca="1">iRankMultiple!AC116</f>
        <v>1</v>
      </c>
      <c r="C48" s="186">
        <f ca="1">iRankMultiple!AD116</f>
        <v>11</v>
      </c>
      <c r="D48" s="187" t="str">
        <f ca="1">iRankMultiple!AE116</f>
        <v>Costa Rica</v>
      </c>
      <c r="E48" s="248">
        <f ca="1">iRankMultiple!AF116</f>
        <v>58.822000000000003</v>
      </c>
      <c r="F48" s="189">
        <f ca="1">iRankMultiple!AG116</f>
        <v>2012</v>
      </c>
      <c r="G48" s="185"/>
      <c r="H48" s="185">
        <f ca="1">iRankMultiple!AI116</f>
        <v>1</v>
      </c>
      <c r="I48" s="186">
        <f ca="1">iRankMultiple!AJ116</f>
        <v>11</v>
      </c>
      <c r="J48" s="187" t="str">
        <f ca="1">iRankMultiple!AK116</f>
        <v>Dominican Republic</v>
      </c>
      <c r="K48" s="248">
        <f ca="1">iRankMultiple!AL116</f>
        <v>0.97430000000000005</v>
      </c>
      <c r="L48" s="189">
        <f ca="1">iRankMultiple!AM116</f>
        <v>2012</v>
      </c>
      <c r="M48" s="185"/>
      <c r="N48" s="185">
        <f ca="1">iRankMultiple!AO116</f>
        <v>1</v>
      </c>
      <c r="O48" s="186">
        <f ca="1">iRankMultiple!AP116</f>
        <v>11</v>
      </c>
      <c r="P48" s="187" t="str">
        <f ca="1">iRankMultiple!AQ116</f>
        <v>El Salvador</v>
      </c>
      <c r="Q48" s="248">
        <f ca="1">iRankMultiple!AR116</f>
        <v>0.41239999999999999</v>
      </c>
      <c r="R48" s="189">
        <f ca="1">iRankMultiple!AS116</f>
        <v>2012</v>
      </c>
      <c r="S48" s="185"/>
      <c r="T48" s="185">
        <f ca="1">iRankMultiple!AU116</f>
        <v>1</v>
      </c>
      <c r="U48" s="186">
        <f ca="1">iRankMultiple!AV116</f>
        <v>11</v>
      </c>
      <c r="V48" s="187" t="str">
        <f ca="1">iRankMultiple!AW116</f>
        <v>Costa Rica</v>
      </c>
      <c r="W48" s="248">
        <f ca="1">iRankMultiple!AX116</f>
        <v>11.4573</v>
      </c>
      <c r="X48" s="189"/>
      <c r="Y48" s="185"/>
      <c r="Z48" s="185"/>
    </row>
    <row r="49" spans="1:26" ht="15" x14ac:dyDescent="0.25">
      <c r="A49" s="138"/>
      <c r="B49" s="185">
        <f ca="1">iRankMultiple!AC117</f>
        <v>1</v>
      </c>
      <c r="C49" s="186">
        <f ca="1">iRankMultiple!AD117</f>
        <v>12</v>
      </c>
      <c r="D49" s="187" t="str">
        <f ca="1">iRankMultiple!AE117</f>
        <v>Panamá</v>
      </c>
      <c r="E49" s="248">
        <f ca="1">iRankMultiple!AF117</f>
        <v>57.079000000000001</v>
      </c>
      <c r="F49" s="189">
        <f ca="1">iRankMultiple!AG117</f>
        <v>2012</v>
      </c>
      <c r="G49" s="185"/>
      <c r="H49" s="185">
        <f ca="1">iRankMultiple!AI117</f>
        <v>1</v>
      </c>
      <c r="I49" s="186">
        <f ca="1">iRankMultiple!AJ117</f>
        <v>12</v>
      </c>
      <c r="J49" s="187" t="str">
        <f ca="1">iRankMultiple!AK117</f>
        <v>Jamaica</v>
      </c>
      <c r="K49" s="248">
        <f ca="1">iRankMultiple!AL117</f>
        <v>0.97197560000000005</v>
      </c>
      <c r="L49" s="189">
        <f ca="1">iRankMultiple!AM117</f>
        <v>2012</v>
      </c>
      <c r="M49" s="185"/>
      <c r="N49" s="185">
        <f ca="1">iRankMultiple!AO117</f>
        <v>1</v>
      </c>
      <c r="O49" s="186">
        <f ca="1">iRankMultiple!AP117</f>
        <v>12</v>
      </c>
      <c r="P49" s="187" t="str">
        <f ca="1">iRankMultiple!AQ117</f>
        <v>Paraguay</v>
      </c>
      <c r="Q49" s="248">
        <f ca="1">iRankMultiple!AR117</f>
        <v>0.35527150000000002</v>
      </c>
      <c r="R49" s="189">
        <f ca="1">iRankMultiple!AS117</f>
        <v>2012</v>
      </c>
      <c r="S49" s="185"/>
      <c r="T49" s="185">
        <f ca="1">iRankMultiple!AU117</f>
        <v>1</v>
      </c>
      <c r="U49" s="186">
        <f ca="1">iRankMultiple!AV117</f>
        <v>12</v>
      </c>
      <c r="V49" s="187" t="str">
        <f ca="1">iRankMultiple!AW117</f>
        <v>Guatemala</v>
      </c>
      <c r="W49" s="248">
        <f ca="1">iRankMultiple!AX117</f>
        <v>10.6265</v>
      </c>
      <c r="X49" s="189"/>
      <c r="Y49" s="185"/>
      <c r="Z49" s="185"/>
    </row>
    <row r="50" spans="1:26" ht="15" x14ac:dyDescent="0.25">
      <c r="A50" s="138"/>
      <c r="B50" s="185">
        <f ca="1">iRankMultiple!AC118</f>
        <v>1</v>
      </c>
      <c r="C50" s="186">
        <f ca="1">iRankMultiple!AD118</f>
        <v>13</v>
      </c>
      <c r="D50" s="187" t="str">
        <f ca="1">iRankMultiple!AE118</f>
        <v>Bolivia</v>
      </c>
      <c r="E50" s="248">
        <f ca="1">iRankMultiple!AF118</f>
        <v>54.360999999999997</v>
      </c>
      <c r="F50" s="189">
        <f ca="1">iRankMultiple!AG118</f>
        <v>2012</v>
      </c>
      <c r="G50" s="185"/>
      <c r="H50" s="185">
        <f ca="1">iRankMultiple!AI118</f>
        <v>1</v>
      </c>
      <c r="I50" s="186">
        <f ca="1">iRankMultiple!AJ118</f>
        <v>13</v>
      </c>
      <c r="J50" s="187" t="str">
        <f ca="1">iRankMultiple!AK118</f>
        <v>Costa Rica</v>
      </c>
      <c r="K50" s="248">
        <f ca="1">iRankMultiple!AL118</f>
        <v>0.88429171746711699</v>
      </c>
      <c r="L50" s="189">
        <f ca="1">iRankMultiple!AM118</f>
        <v>2012</v>
      </c>
      <c r="M50" s="185"/>
      <c r="N50" s="185">
        <f ca="1">iRankMultiple!AO118</f>
        <v>1</v>
      </c>
      <c r="O50" s="186">
        <f ca="1">iRankMultiple!AP118</f>
        <v>13</v>
      </c>
      <c r="P50" s="187" t="str">
        <f ca="1">iRankMultiple!AQ118</f>
        <v>Guatemala</v>
      </c>
      <c r="Q50" s="248">
        <f ca="1">iRankMultiple!AR118</f>
        <v>0.33935999999999999</v>
      </c>
      <c r="R50" s="189">
        <f ca="1">iRankMultiple!AS118</f>
        <v>2012</v>
      </c>
      <c r="S50" s="185"/>
      <c r="T50" s="185">
        <f ca="1">iRankMultiple!AU118</f>
        <v>1</v>
      </c>
      <c r="U50" s="186">
        <f ca="1">iRankMultiple!AV118</f>
        <v>13</v>
      </c>
      <c r="V50" s="187" t="str">
        <f ca="1">iRankMultiple!AW118</f>
        <v>Uruguay</v>
      </c>
      <c r="W50" s="248">
        <f ca="1">iRankMultiple!AX118</f>
        <v>9.9065930590204303</v>
      </c>
      <c r="X50" s="189"/>
      <c r="Y50" s="185"/>
      <c r="Z50" s="185"/>
    </row>
    <row r="51" spans="1:26" ht="15" x14ac:dyDescent="0.25">
      <c r="A51" s="138"/>
      <c r="B51" s="185">
        <f ca="1">iRankMultiple!AC119</f>
        <v>1</v>
      </c>
      <c r="C51" s="186">
        <f ca="1">iRankMultiple!AD119</f>
        <v>14</v>
      </c>
      <c r="D51" s="187" t="str">
        <f ca="1">iRankMultiple!AE119</f>
        <v>Uruguay</v>
      </c>
      <c r="E51" s="248">
        <f ca="1">iRankMultiple!AF119</f>
        <v>53.786999999999999</v>
      </c>
      <c r="F51" s="189">
        <f ca="1">iRankMultiple!AG119</f>
        <v>2012</v>
      </c>
      <c r="G51" s="185"/>
      <c r="H51" s="185">
        <f ca="1">iRankMultiple!AI119</f>
        <v>1</v>
      </c>
      <c r="I51" s="186">
        <f ca="1">iRankMultiple!AJ119</f>
        <v>14</v>
      </c>
      <c r="J51" s="187" t="str">
        <f ca="1">iRankMultiple!AK119</f>
        <v>Honduras</v>
      </c>
      <c r="K51" s="248">
        <f ca="1">iRankMultiple!AL119</f>
        <v>0.80289999999999995</v>
      </c>
      <c r="L51" s="189">
        <f ca="1">iRankMultiple!AM119</f>
        <v>2012</v>
      </c>
      <c r="M51" s="185"/>
      <c r="N51" s="185">
        <f ca="1">iRankMultiple!AO119</f>
        <v>1</v>
      </c>
      <c r="O51" s="186">
        <f ca="1">iRankMultiple!AP119</f>
        <v>14</v>
      </c>
      <c r="P51" s="187" t="str">
        <f ca="1">iRankMultiple!AQ119</f>
        <v>Jamaica</v>
      </c>
      <c r="Q51" s="248">
        <f ca="1">iRankMultiple!AR119</f>
        <v>0.29434460000000001</v>
      </c>
      <c r="R51" s="189">
        <f ca="1">iRankMultiple!AS119</f>
        <v>2012</v>
      </c>
      <c r="S51" s="185"/>
      <c r="T51" s="185">
        <f ca="1">iRankMultiple!AU119</f>
        <v>1</v>
      </c>
      <c r="U51" s="186">
        <f ca="1">iRankMultiple!AV119</f>
        <v>14</v>
      </c>
      <c r="V51" s="187" t="str">
        <f ca="1">iRankMultiple!AW119</f>
        <v>Bolivia</v>
      </c>
      <c r="W51" s="248">
        <f ca="1">iRankMultiple!AX119</f>
        <v>9.6820997999999996</v>
      </c>
      <c r="X51" s="189"/>
      <c r="Y51" s="185"/>
      <c r="Z51" s="185"/>
    </row>
    <row r="52" spans="1:26" ht="15" x14ac:dyDescent="0.25">
      <c r="A52" s="138"/>
      <c r="B52" s="185">
        <f ca="1">iRankMultiple!AC120</f>
        <v>1</v>
      </c>
      <c r="C52" s="186">
        <f ca="1">iRankMultiple!AD120</f>
        <v>15</v>
      </c>
      <c r="D52" s="187" t="str">
        <f ca="1">iRankMultiple!AE120</f>
        <v>El Salvador</v>
      </c>
      <c r="E52" s="248">
        <f ca="1">iRankMultiple!AF120</f>
        <v>46.329000000000001</v>
      </c>
      <c r="F52" s="189">
        <f ca="1">iRankMultiple!AG120</f>
        <v>2012</v>
      </c>
      <c r="G52" s="185"/>
      <c r="H52" s="185">
        <f ca="1">iRankMultiple!AI120</f>
        <v>1</v>
      </c>
      <c r="I52" s="186">
        <f ca="1">iRankMultiple!AJ120</f>
        <v>15</v>
      </c>
      <c r="J52" s="187" t="str">
        <f ca="1">iRankMultiple!AK120</f>
        <v>Paraguay</v>
      </c>
      <c r="K52" s="248">
        <f ca="1">iRankMultiple!AL120</f>
        <v>0.70270149999999998</v>
      </c>
      <c r="L52" s="189">
        <f ca="1">iRankMultiple!AM120</f>
        <v>2012</v>
      </c>
      <c r="M52" s="185"/>
      <c r="N52" s="185">
        <f ca="1">iRankMultiple!AO120</f>
        <v>1</v>
      </c>
      <c r="O52" s="186">
        <f ca="1">iRankMultiple!AP120</f>
        <v>15</v>
      </c>
      <c r="P52" s="187" t="str">
        <f ca="1">iRankMultiple!AQ120</f>
        <v>Venezuela</v>
      </c>
      <c r="Q52" s="248">
        <f ca="1">iRankMultiple!AR120</f>
        <v>0.28100000000000003</v>
      </c>
      <c r="R52" s="189">
        <f ca="1">iRankMultiple!AS120</f>
        <v>2012</v>
      </c>
      <c r="S52" s="185"/>
      <c r="T52" s="185">
        <f ca="1">iRankMultiple!AU120</f>
        <v>1</v>
      </c>
      <c r="U52" s="186">
        <f ca="1">iRankMultiple!AV120</f>
        <v>15</v>
      </c>
      <c r="V52" s="187" t="str">
        <f ca="1">iRankMultiple!AW120</f>
        <v>Paraguay</v>
      </c>
      <c r="W52" s="248">
        <f ca="1">iRankMultiple!AX120</f>
        <v>9.2874298</v>
      </c>
      <c r="X52" s="189"/>
      <c r="Y52" s="185"/>
      <c r="Z52" s="185"/>
    </row>
    <row r="53" spans="1:26" ht="15" x14ac:dyDescent="0.25">
      <c r="A53" s="138"/>
      <c r="B53" s="185">
        <f ca="1">iRankMultiple!AC121</f>
        <v>1</v>
      </c>
      <c r="C53" s="186">
        <f ca="1">iRankMultiple!AD121</f>
        <v>16</v>
      </c>
      <c r="D53" s="187" t="str">
        <f ca="1">iRankMultiple!AE121</f>
        <v>Paraguay</v>
      </c>
      <c r="E53" s="248">
        <f ca="1">iRankMultiple!AF121</f>
        <v>40.685000000000002</v>
      </c>
      <c r="F53" s="189">
        <f ca="1">iRankMultiple!AG121</f>
        <v>2012</v>
      </c>
      <c r="G53" s="185"/>
      <c r="H53" s="185">
        <f ca="1">iRankMultiple!AI121</f>
        <v>1</v>
      </c>
      <c r="I53" s="186">
        <f ca="1">iRankMultiple!AJ121</f>
        <v>16</v>
      </c>
      <c r="J53" s="187" t="str">
        <f ca="1">iRankMultiple!AK121</f>
        <v>Haiti</v>
      </c>
      <c r="K53" s="248">
        <f ca="1">iRankMultiple!AL121</f>
        <v>0.69539200000000001</v>
      </c>
      <c r="L53" s="189">
        <f ca="1">iRankMultiple!AM121</f>
        <v>2012</v>
      </c>
      <c r="M53" s="185"/>
      <c r="N53" s="185">
        <f ca="1">iRankMultiple!AO121</f>
        <v>1</v>
      </c>
      <c r="O53" s="186">
        <f ca="1">iRankMultiple!AP121</f>
        <v>16</v>
      </c>
      <c r="P53" s="187" t="str">
        <f ca="1">iRankMultiple!AQ121</f>
        <v>Trinidad and Tobago</v>
      </c>
      <c r="Q53" s="248">
        <f ca="1">iRankMultiple!AR121</f>
        <v>0.23949999999999999</v>
      </c>
      <c r="R53" s="189">
        <f ca="1">iRankMultiple!AS121</f>
        <v>2012</v>
      </c>
      <c r="S53" s="185"/>
      <c r="T53" s="185">
        <f ca="1">iRankMultiple!AU121</f>
        <v>1</v>
      </c>
      <c r="U53" s="186">
        <f ca="1">iRankMultiple!AV121</f>
        <v>16</v>
      </c>
      <c r="V53" s="187" t="str">
        <f ca="1">iRankMultiple!AW121</f>
        <v>Dominican Republic</v>
      </c>
      <c r="W53" s="248">
        <f ca="1">iRankMultiple!AX121</f>
        <v>9.0161134999999994</v>
      </c>
      <c r="X53" s="189"/>
      <c r="Y53" s="185"/>
      <c r="Z53" s="185"/>
    </row>
    <row r="54" spans="1:26" ht="15" x14ac:dyDescent="0.25">
      <c r="A54" s="138"/>
      <c r="B54" s="185">
        <f ca="1">iRankMultiple!AC122</f>
        <v>1</v>
      </c>
      <c r="C54" s="186">
        <f ca="1">iRankMultiple!AD122</f>
        <v>17</v>
      </c>
      <c r="D54" s="187" t="str">
        <f ca="1">iRankMultiple!AE122</f>
        <v>Honduras</v>
      </c>
      <c r="E54" s="248">
        <f ca="1">iRankMultiple!AF122</f>
        <v>37.802</v>
      </c>
      <c r="F54" s="189">
        <f ca="1">iRankMultiple!AG122</f>
        <v>2012</v>
      </c>
      <c r="G54" s="185"/>
      <c r="H54" s="185">
        <f ca="1">iRankMultiple!AI122</f>
        <v>1</v>
      </c>
      <c r="I54" s="186">
        <f ca="1">iRankMultiple!AJ122</f>
        <v>17</v>
      </c>
      <c r="J54" s="187" t="str">
        <f ca="1">iRankMultiple!AK122</f>
        <v>Bolivia</v>
      </c>
      <c r="K54" s="248">
        <f ca="1">iRankMultiple!AL122</f>
        <v>0.63114000000000003</v>
      </c>
      <c r="L54" s="189">
        <f ca="1">iRankMultiple!AM122</f>
        <v>2012</v>
      </c>
      <c r="M54" s="185"/>
      <c r="N54" s="185">
        <f ca="1">iRankMultiple!AO122</f>
        <v>1</v>
      </c>
      <c r="O54" s="186">
        <f ca="1">iRankMultiple!AP122</f>
        <v>17</v>
      </c>
      <c r="P54" s="187" t="str">
        <f ca="1">iRankMultiple!AQ122</f>
        <v>Bahamas</v>
      </c>
      <c r="Q54" s="248">
        <f ca="1">iRankMultiple!AR122</f>
        <v>0.1183715</v>
      </c>
      <c r="R54" s="189">
        <f ca="1">iRankMultiple!AS122</f>
        <v>2012</v>
      </c>
      <c r="S54" s="185"/>
      <c r="T54" s="185">
        <f ca="1">iRankMultiple!AU122</f>
        <v>1</v>
      </c>
      <c r="U54" s="186">
        <f ca="1">iRankMultiple!AV122</f>
        <v>17</v>
      </c>
      <c r="V54" s="187" t="str">
        <f ca="1">iRankMultiple!AW122</f>
        <v>Honduras</v>
      </c>
      <c r="W54" s="248">
        <f ca="1">iRankMultiple!AX122</f>
        <v>7.4744000000000002</v>
      </c>
      <c r="X54" s="189"/>
      <c r="Y54" s="185"/>
      <c r="Z54" s="185"/>
    </row>
    <row r="55" spans="1:26" ht="15" x14ac:dyDescent="0.25">
      <c r="A55" s="138"/>
      <c r="B55" s="185">
        <f ca="1">iRankMultiple!AC123</f>
        <v>1</v>
      </c>
      <c r="C55" s="186">
        <f ca="1">iRankMultiple!AD123</f>
        <v>18</v>
      </c>
      <c r="D55" s="187" t="str">
        <f ca="1">iRankMultiple!AE123</f>
        <v>Trinidad and Tobago</v>
      </c>
      <c r="E55" s="248">
        <f ca="1">iRankMultiple!AF123</f>
        <v>26.696999999999999</v>
      </c>
      <c r="F55" s="189">
        <f ca="1">iRankMultiple!AG123</f>
        <v>2012</v>
      </c>
      <c r="G55" s="185"/>
      <c r="H55" s="185">
        <f ca="1">iRankMultiple!AI123</f>
        <v>1</v>
      </c>
      <c r="I55" s="186">
        <f ca="1">iRankMultiple!AJ123</f>
        <v>18</v>
      </c>
      <c r="J55" s="187" t="str">
        <f ca="1">iRankMultiple!AK123</f>
        <v>Uruguay</v>
      </c>
      <c r="K55" s="248">
        <f ca="1">iRankMultiple!AL123</f>
        <v>0.59451360722281898</v>
      </c>
      <c r="L55" s="189">
        <f ca="1">iRankMultiple!AM123</f>
        <v>2012</v>
      </c>
      <c r="M55" s="185"/>
      <c r="N55" s="185">
        <f ca="1">iRankMultiple!AO123</f>
        <v>1</v>
      </c>
      <c r="O55" s="186">
        <f ca="1">iRankMultiple!AP123</f>
        <v>18</v>
      </c>
      <c r="P55" s="187" t="str">
        <f ca="1">iRankMultiple!AQ123</f>
        <v>Honduras</v>
      </c>
      <c r="Q55" s="248">
        <f ca="1">iRankMultiple!AR123</f>
        <v>8.2199999999999995E-2</v>
      </c>
      <c r="R55" s="189">
        <f ca="1">iRankMultiple!AS123</f>
        <v>2012</v>
      </c>
      <c r="S55" s="185"/>
      <c r="T55" s="185">
        <f ca="1">iRankMultiple!AU123</f>
        <v>1</v>
      </c>
      <c r="U55" s="186">
        <f ca="1">iRankMultiple!AV123</f>
        <v>18</v>
      </c>
      <c r="V55" s="187" t="str">
        <f ca="1">iRankMultiple!AW123</f>
        <v>El Salvador</v>
      </c>
      <c r="W55" s="248">
        <f ca="1">iRankMultiple!AX123</f>
        <v>5.33908839331</v>
      </c>
      <c r="X55" s="189"/>
      <c r="Y55" s="185"/>
      <c r="Z55" s="185"/>
    </row>
    <row r="56" spans="1:26" ht="15" x14ac:dyDescent="0.25">
      <c r="A56" s="138"/>
      <c r="B56" s="185">
        <f ca="1">iRankMultiple!AC124</f>
        <v>1</v>
      </c>
      <c r="C56" s="186">
        <f ca="1">iRankMultiple!AD124</f>
        <v>19</v>
      </c>
      <c r="D56" s="187" t="str">
        <f ca="1">iRankMultiple!AE124</f>
        <v>Nicaragua</v>
      </c>
      <c r="E56" s="248">
        <f ca="1">iRankMultiple!AF124</f>
        <v>26.666</v>
      </c>
      <c r="F56" s="189">
        <f ca="1">iRankMultiple!AG124</f>
        <v>2012</v>
      </c>
      <c r="G56" s="185"/>
      <c r="H56" s="185">
        <f ca="1">iRankMultiple!AI124</f>
        <v>1</v>
      </c>
      <c r="I56" s="186">
        <f ca="1">iRankMultiple!AJ124</f>
        <v>19</v>
      </c>
      <c r="J56" s="187" t="str">
        <f ca="1">iRankMultiple!AK124</f>
        <v>El Salvador</v>
      </c>
      <c r="K56" s="248">
        <f ca="1">iRankMultiple!AL124</f>
        <v>0.53259999999999996</v>
      </c>
      <c r="L56" s="189">
        <f ca="1">iRankMultiple!AM124</f>
        <v>2012</v>
      </c>
      <c r="M56" s="185"/>
      <c r="N56" s="185">
        <f ca="1">iRankMultiple!AO124</f>
        <v>1</v>
      </c>
      <c r="O56" s="186">
        <f ca="1">iRankMultiple!AP124</f>
        <v>19</v>
      </c>
      <c r="P56" s="187" t="str">
        <f ca="1">iRankMultiple!AQ124</f>
        <v>Bolivia</v>
      </c>
      <c r="Q56" s="248">
        <f ca="1">iRankMultiple!AR124</f>
        <v>7.0767499999999997E-2</v>
      </c>
      <c r="R56" s="189">
        <f ca="1">iRankMultiple!AS124</f>
        <v>2012</v>
      </c>
      <c r="S56" s="185"/>
      <c r="T56" s="185">
        <f ca="1">iRankMultiple!AU124</f>
        <v>1</v>
      </c>
      <c r="U56" s="186">
        <f ca="1">iRankMultiple!AV124</f>
        <v>19</v>
      </c>
      <c r="V56" s="187" t="str">
        <f ca="1">iRankMultiple!AW124</f>
        <v>Nicaragua</v>
      </c>
      <c r="W56" s="248">
        <f ca="1">iRankMultiple!AX124</f>
        <v>4.2699411999999999</v>
      </c>
      <c r="X56" s="189"/>
      <c r="Y56" s="185"/>
      <c r="Z56" s="185"/>
    </row>
    <row r="57" spans="1:26" ht="15" x14ac:dyDescent="0.25">
      <c r="A57" s="138"/>
      <c r="B57" s="185">
        <f ca="1">iRankMultiple!AC125</f>
        <v>1</v>
      </c>
      <c r="C57" s="186">
        <f ca="1">iRankMultiple!AD125</f>
        <v>20</v>
      </c>
      <c r="D57" s="187" t="str">
        <f ca="1">iRankMultiple!AE125</f>
        <v>Jamaica</v>
      </c>
      <c r="E57" s="248">
        <f ca="1">iRankMultiple!AF125</f>
        <v>25.184000000000001</v>
      </c>
      <c r="F57" s="189">
        <f ca="1">iRankMultiple!AG125</f>
        <v>2012</v>
      </c>
      <c r="G57" s="185"/>
      <c r="H57" s="185">
        <f ca="1">iRankMultiple!AI125</f>
        <v>1</v>
      </c>
      <c r="I57" s="186">
        <f ca="1">iRankMultiple!AJ125</f>
        <v>20</v>
      </c>
      <c r="J57" s="187" t="str">
        <f ca="1">iRankMultiple!AK125</f>
        <v>Nicaragua</v>
      </c>
      <c r="K57" s="248">
        <f ca="1">iRankMultiple!AL125</f>
        <v>0.39829999999999999</v>
      </c>
      <c r="L57" s="189">
        <f ca="1">iRankMultiple!AM125</f>
        <v>2012</v>
      </c>
      <c r="M57" s="185"/>
      <c r="N57" s="185">
        <f ca="1">iRankMultiple!AO125</f>
        <v>1</v>
      </c>
      <c r="O57" s="186">
        <f ca="1">iRankMultiple!AP125</f>
        <v>20</v>
      </c>
      <c r="P57" s="187" t="str">
        <f ca="1">iRankMultiple!AQ125</f>
        <v>Nicaragua</v>
      </c>
      <c r="Q57" s="248">
        <f ca="1">iRankMultiple!AR125</f>
        <v>5.2900000000000003E-2</v>
      </c>
      <c r="R57" s="189">
        <f ca="1">iRankMultiple!AS125</f>
        <v>2012</v>
      </c>
      <c r="S57" s="185"/>
      <c r="T57" s="185">
        <f ca="1">iRankMultiple!AU125</f>
        <v>1</v>
      </c>
      <c r="U57" s="186">
        <f ca="1">iRankMultiple!AV125</f>
        <v>20</v>
      </c>
      <c r="V57" s="187" t="str">
        <f ca="1">iRankMultiple!AW125</f>
        <v>Suriname</v>
      </c>
      <c r="W57" s="248">
        <f ca="1">iRankMultiple!AX125</f>
        <v>2.0964399999999999</v>
      </c>
      <c r="X57" s="189"/>
      <c r="Y57" s="185"/>
      <c r="Z57" s="185"/>
    </row>
    <row r="58" spans="1:26" ht="15" x14ac:dyDescent="0.25">
      <c r="A58" s="138"/>
      <c r="B58" s="185">
        <f ca="1">iRankMultiple!AC126</f>
        <v>1</v>
      </c>
      <c r="C58" s="186">
        <f ca="1">iRankMultiple!AD126</f>
        <v>21</v>
      </c>
      <c r="D58" s="187" t="str">
        <f ca="1">iRankMultiple!AE126</f>
        <v>Haiti</v>
      </c>
      <c r="E58" s="248">
        <f ca="1">iRankMultiple!AF126</f>
        <v>13.132</v>
      </c>
      <c r="F58" s="189">
        <f ca="1">iRankMultiple!AG126</f>
        <v>2012</v>
      </c>
      <c r="G58" s="185"/>
      <c r="H58" s="185">
        <f ca="1">iRankMultiple!AI126</f>
        <v>1</v>
      </c>
      <c r="I58" s="186">
        <f ca="1">iRankMultiple!AJ126</f>
        <v>21</v>
      </c>
      <c r="J58" s="187" t="str">
        <f ca="1">iRankMultiple!AK126</f>
        <v>Bahamas</v>
      </c>
      <c r="K58" s="248">
        <f ca="1">iRankMultiple!AL126</f>
        <v>0.38949630000000002</v>
      </c>
      <c r="L58" s="189">
        <f ca="1">iRankMultiple!AM126</f>
        <v>2012</v>
      </c>
      <c r="M58" s="185"/>
      <c r="N58" s="185">
        <f ca="1">iRankMultiple!AO126</f>
        <v>1</v>
      </c>
      <c r="O58" s="186">
        <f ca="1">iRankMultiple!AP126</f>
        <v>21</v>
      </c>
      <c r="P58" s="187" t="str">
        <f ca="1">iRankMultiple!AQ126</f>
        <v>Barbados</v>
      </c>
      <c r="Q58" s="248">
        <f ca="1">iRankMultiple!AR126</f>
        <v>4.4231699999999999E-2</v>
      </c>
      <c r="R58" s="189">
        <f ca="1">iRankMultiple!AS126</f>
        <v>2012</v>
      </c>
      <c r="S58" s="185"/>
      <c r="T58" s="185">
        <f ca="1">iRankMultiple!AU126</f>
        <v>1</v>
      </c>
      <c r="U58" s="186">
        <f ca="1">iRankMultiple!AV126</f>
        <v>21</v>
      </c>
      <c r="V58" s="187" t="str">
        <f ca="1">iRankMultiple!AW126</f>
        <v>Jamaica</v>
      </c>
      <c r="W58" s="248">
        <f ca="1">iRankMultiple!AX126</f>
        <v>1.7322</v>
      </c>
      <c r="X58" s="189"/>
      <c r="Y58" s="185"/>
      <c r="Z58" s="185"/>
    </row>
    <row r="59" spans="1:26" ht="15" x14ac:dyDescent="0.25">
      <c r="A59" s="138"/>
      <c r="B59" s="185">
        <f ca="1">iRankMultiple!AC127</f>
        <v>1</v>
      </c>
      <c r="C59" s="186">
        <f ca="1">iRankMultiple!AD127</f>
        <v>22</v>
      </c>
      <c r="D59" s="187" t="str">
        <f ca="1">iRankMultiple!AE127</f>
        <v>Bahamas</v>
      </c>
      <c r="E59" s="248">
        <f ca="1">iRankMultiple!AF127</f>
        <v>11.037000000000001</v>
      </c>
      <c r="F59" s="189">
        <f ca="1">iRankMultiple!AG127</f>
        <v>2012</v>
      </c>
      <c r="G59" s="185"/>
      <c r="H59" s="185">
        <f ca="1">iRankMultiple!AI127</f>
        <v>1</v>
      </c>
      <c r="I59" s="186">
        <f ca="1">iRankMultiple!AJ127</f>
        <v>22</v>
      </c>
      <c r="J59" s="187" t="str">
        <f ca="1">iRankMultiple!AK127</f>
        <v>Guyana</v>
      </c>
      <c r="K59" s="248">
        <f ca="1">iRankMultiple!AL127</f>
        <v>0.2311281</v>
      </c>
      <c r="L59" s="189">
        <f ca="1">iRankMultiple!AM127</f>
        <v>2012</v>
      </c>
      <c r="M59" s="185"/>
      <c r="N59" s="185">
        <f ca="1">iRankMultiple!AO127</f>
        <v>1</v>
      </c>
      <c r="O59" s="186">
        <f ca="1">iRankMultiple!AP127</f>
        <v>22</v>
      </c>
      <c r="P59" s="187" t="str">
        <f ca="1">iRankMultiple!AQ127</f>
        <v>Guyana</v>
      </c>
      <c r="Q59" s="248">
        <f ca="1">iRankMultiple!AR127</f>
        <v>2.44628E-2</v>
      </c>
      <c r="R59" s="189">
        <f ca="1">iRankMultiple!AS127</f>
        <v>2012</v>
      </c>
      <c r="S59" s="185"/>
      <c r="T59" s="185">
        <f ca="1">iRankMultiple!AU127</f>
        <v>1</v>
      </c>
      <c r="U59" s="186">
        <f ca="1">iRankMultiple!AV127</f>
        <v>22</v>
      </c>
      <c r="V59" s="187" t="str">
        <f ca="1">iRankMultiple!AW127</f>
        <v>Guyana</v>
      </c>
      <c r="W59" s="248">
        <f ca="1">iRankMultiple!AX127</f>
        <v>1.232</v>
      </c>
      <c r="X59" s="189"/>
      <c r="Y59" s="185"/>
      <c r="Z59" s="185"/>
    </row>
    <row r="60" spans="1:26" ht="15" x14ac:dyDescent="0.25">
      <c r="A60" s="138"/>
      <c r="B60" s="185">
        <f ca="1">iRankMultiple!AC128</f>
        <v>1</v>
      </c>
      <c r="C60" s="186">
        <f ca="1">iRankMultiple!AD128</f>
        <v>23</v>
      </c>
      <c r="D60" s="187" t="str">
        <f ca="1">iRankMultiple!AE128</f>
        <v>Barbados</v>
      </c>
      <c r="E60" s="248">
        <f ca="1">iRankMultiple!AF128</f>
        <v>7.0910000000000002</v>
      </c>
      <c r="F60" s="189">
        <f ca="1">iRankMultiple!AG128</f>
        <v>2012</v>
      </c>
      <c r="G60" s="185"/>
      <c r="H60" s="185">
        <f ca="1">iRankMultiple!AI128</f>
        <v>1</v>
      </c>
      <c r="I60" s="186">
        <f ca="1">iRankMultiple!AJ128</f>
        <v>23</v>
      </c>
      <c r="J60" s="187" t="str">
        <f ca="1">iRankMultiple!AK128</f>
        <v>Barbados</v>
      </c>
      <c r="K60" s="248">
        <f ca="1">iRankMultiple!AL128</f>
        <v>0.16877030000000001</v>
      </c>
      <c r="L60" s="189">
        <f ca="1">iRankMultiple!AM128</f>
        <v>2012</v>
      </c>
      <c r="M60" s="185"/>
      <c r="N60" s="185">
        <f ca="1">iRankMultiple!AO128</f>
        <v>1</v>
      </c>
      <c r="O60" s="186">
        <f ca="1">iRankMultiple!AP128</f>
        <v>23</v>
      </c>
      <c r="P60" s="187" t="str">
        <f ca="1">iRankMultiple!AQ128</f>
        <v>Suriname</v>
      </c>
      <c r="Q60" s="248">
        <f ca="1">iRankMultiple!AR128</f>
        <v>2.0910000000000002E-2</v>
      </c>
      <c r="R60" s="189">
        <f ca="1">iRankMultiple!AS128</f>
        <v>2012</v>
      </c>
      <c r="S60" s="185"/>
      <c r="T60" s="185">
        <f ca="1">iRankMultiple!AU128</f>
        <v>1</v>
      </c>
      <c r="U60" s="186">
        <f ca="1">iRankMultiple!AV128</f>
        <v>23</v>
      </c>
      <c r="V60" s="187" t="str">
        <f ca="1">iRankMultiple!AW128</f>
        <v>Bahamas</v>
      </c>
      <c r="W60" s="248">
        <f ca="1">iRankMultiple!AX128</f>
        <v>0.88939109999999999</v>
      </c>
      <c r="X60" s="189"/>
      <c r="Y60" s="185"/>
      <c r="Z60" s="185"/>
    </row>
    <row r="61" spans="1:26" ht="15" x14ac:dyDescent="0.25">
      <c r="A61" s="138"/>
      <c r="B61" s="185">
        <f ca="1">iRankMultiple!AC129</f>
        <v>1</v>
      </c>
      <c r="C61" s="186">
        <f ca="1">iRankMultiple!AD129</f>
        <v>24</v>
      </c>
      <c r="D61" s="187" t="str">
        <f ca="1">iRankMultiple!AE129</f>
        <v>Suriname</v>
      </c>
      <c r="E61" s="248">
        <f ca="1">iRankMultiple!AF129</f>
        <v>6.7629999999999999</v>
      </c>
      <c r="F61" s="189">
        <f ca="1">iRankMultiple!AG129</f>
        <v>2012</v>
      </c>
      <c r="G61" s="185"/>
      <c r="H61" s="185">
        <f ca="1">iRankMultiple!AI129</f>
        <v>1</v>
      </c>
      <c r="I61" s="186">
        <f ca="1">iRankMultiple!AJ129</f>
        <v>24</v>
      </c>
      <c r="J61" s="187" t="str">
        <f ca="1">iRankMultiple!AK129</f>
        <v>Trinidad and Tobago</v>
      </c>
      <c r="K61" s="248">
        <f ca="1">iRankMultiple!AL129</f>
        <v>0.11070000000000001</v>
      </c>
      <c r="L61" s="189">
        <f ca="1">iRankMultiple!AM129</f>
        <v>2012</v>
      </c>
      <c r="M61" s="185"/>
      <c r="N61" s="185">
        <f ca="1">iRankMultiple!AO129</f>
        <v>1</v>
      </c>
      <c r="O61" s="186">
        <f ca="1">iRankMultiple!AP129</f>
        <v>24</v>
      </c>
      <c r="P61" s="187" t="str">
        <f ca="1">iRankMultiple!AQ129</f>
        <v>Belize</v>
      </c>
      <c r="Q61" s="248">
        <f ca="1">iRankMultiple!AR129</f>
        <v>1.205E-2</v>
      </c>
      <c r="R61" s="189">
        <f ca="1">iRankMultiple!AS129</f>
        <v>2012</v>
      </c>
      <c r="S61" s="185"/>
      <c r="T61" s="185">
        <f ca="1">iRankMultiple!AU129</f>
        <v>1</v>
      </c>
      <c r="U61" s="186">
        <f ca="1">iRankMultiple!AV129</f>
        <v>24</v>
      </c>
      <c r="V61" s="187" t="str">
        <f ca="1">iRankMultiple!AW129</f>
        <v>Haiti</v>
      </c>
      <c r="W61" s="248">
        <f ca="1">iRankMultiple!AX129</f>
        <v>0.78622999999999998</v>
      </c>
      <c r="X61" s="189"/>
      <c r="Y61" s="185"/>
      <c r="Z61" s="185"/>
    </row>
    <row r="62" spans="1:26" ht="15" x14ac:dyDescent="0.25">
      <c r="A62" s="138"/>
      <c r="B62" s="185">
        <f ca="1">iRankMultiple!AC130</f>
        <v>1</v>
      </c>
      <c r="C62" s="186">
        <f ca="1">iRankMultiple!AD130</f>
        <v>25</v>
      </c>
      <c r="D62" s="187" t="str">
        <f ca="1">iRankMultiple!AE130</f>
        <v>Guyana</v>
      </c>
      <c r="E62" s="248">
        <f ca="1">iRankMultiple!AF130</f>
        <v>6.1639999999999997</v>
      </c>
      <c r="F62" s="189">
        <f ca="1">iRankMultiple!AG130</f>
        <v>2012</v>
      </c>
      <c r="G62" s="185"/>
      <c r="H62" s="185">
        <f ca="1">iRankMultiple!AI130</f>
        <v>1</v>
      </c>
      <c r="I62" s="186">
        <f ca="1">iRankMultiple!AJ130</f>
        <v>25</v>
      </c>
      <c r="J62" s="187" t="str">
        <f ca="1">iRankMultiple!AK130</f>
        <v>Belize</v>
      </c>
      <c r="K62" s="248">
        <f ca="1">iRankMultiple!AL130</f>
        <v>7.9100000000000004E-2</v>
      </c>
      <c r="L62" s="189">
        <f ca="1">iRankMultiple!AM130</f>
        <v>2012</v>
      </c>
      <c r="M62" s="185"/>
      <c r="N62" s="185">
        <f ca="1">iRankMultiple!AO130</f>
        <v>1</v>
      </c>
      <c r="O62" s="186" t="str">
        <f ca="1">iRankMultiple!AP130</f>
        <v/>
      </c>
      <c r="P62" s="187" t="str">
        <f ca="1">iRankMultiple!AQ130</f>
        <v/>
      </c>
      <c r="Q62" s="248" t="str">
        <f ca="1">iRankMultiple!AR130</f>
        <v/>
      </c>
      <c r="R62" s="189" t="str">
        <f ca="1">iRankMultiple!AS130</f>
        <v/>
      </c>
      <c r="S62" s="185"/>
      <c r="T62" s="185">
        <f ca="1">iRankMultiple!AU130</f>
        <v>1</v>
      </c>
      <c r="U62" s="186">
        <f ca="1">iRankMultiple!AV130</f>
        <v>25</v>
      </c>
      <c r="V62" s="187" t="str">
        <f ca="1">iRankMultiple!AW130</f>
        <v>Belize</v>
      </c>
      <c r="W62" s="248">
        <f ca="1">iRankMultiple!AX130</f>
        <v>0.63690000000000002</v>
      </c>
      <c r="X62" s="189"/>
      <c r="Y62" s="185"/>
      <c r="Z62" s="185"/>
    </row>
    <row r="63" spans="1:26" ht="15" x14ac:dyDescent="0.25">
      <c r="A63" s="138"/>
      <c r="B63" s="185">
        <f ca="1">iRankMultiple!AC131</f>
        <v>1</v>
      </c>
      <c r="C63" s="186">
        <f ca="1">iRankMultiple!AD131</f>
        <v>26</v>
      </c>
      <c r="D63" s="187" t="str">
        <f ca="1">iRankMultiple!AE131</f>
        <v>Belize</v>
      </c>
      <c r="E63" s="248">
        <f ca="1">iRankMultiple!AF131</f>
        <v>2.9990000000000001</v>
      </c>
      <c r="F63" s="189">
        <f ca="1">iRankMultiple!AG131</f>
        <v>2012</v>
      </c>
      <c r="G63" s="185"/>
      <c r="H63" s="185">
        <f ca="1">iRankMultiple!AI131</f>
        <v>1</v>
      </c>
      <c r="I63" s="186">
        <f ca="1">iRankMultiple!AJ131</f>
        <v>26</v>
      </c>
      <c r="J63" s="187" t="str">
        <f ca="1">iRankMultiple!AK131</f>
        <v>Suriname</v>
      </c>
      <c r="K63" s="248">
        <f ca="1">iRankMultiple!AL131</f>
        <v>7.8880000000000006E-2</v>
      </c>
      <c r="L63" s="189">
        <f ca="1">iRankMultiple!AM131</f>
        <v>2012</v>
      </c>
      <c r="M63" s="185"/>
      <c r="N63" s="185">
        <f ca="1">iRankMultiple!AO131</f>
        <v>1</v>
      </c>
      <c r="O63" s="186" t="str">
        <f ca="1">iRankMultiple!AP131</f>
        <v/>
      </c>
      <c r="P63" s="187" t="str">
        <f ca="1">iRankMultiple!AQ131</f>
        <v/>
      </c>
      <c r="Q63" s="248" t="str">
        <f ca="1">iRankMultiple!AR131</f>
        <v/>
      </c>
      <c r="R63" s="189" t="str">
        <f ca="1">iRankMultiple!AS131</f>
        <v/>
      </c>
      <c r="S63" s="185"/>
      <c r="T63" s="185">
        <f ca="1">iRankMultiple!AU131</f>
        <v>1</v>
      </c>
      <c r="U63" s="186">
        <f ca="1">iRankMultiple!AV131</f>
        <v>26</v>
      </c>
      <c r="V63" s="187" t="str">
        <f ca="1">iRankMultiple!AW131</f>
        <v>Barbados</v>
      </c>
      <c r="W63" s="248">
        <f ca="1">iRankMultiple!AX131</f>
        <v>0.47486099999999998</v>
      </c>
      <c r="X63" s="189">
        <f ca="1">iRankMultiple!AY131</f>
        <v>2012</v>
      </c>
      <c r="Y63" s="185"/>
      <c r="Z63" s="185"/>
    </row>
    <row r="64" spans="1:26" ht="15" x14ac:dyDescent="0.25">
      <c r="A64" s="138"/>
      <c r="B64" s="185"/>
      <c r="C64" s="186"/>
      <c r="D64" s="187"/>
      <c r="E64" s="188"/>
      <c r="F64" s="189"/>
      <c r="G64" s="185"/>
      <c r="H64" s="185"/>
      <c r="I64" s="186"/>
      <c r="J64" s="187"/>
      <c r="K64" s="188"/>
      <c r="L64" s="189"/>
      <c r="M64" s="185"/>
      <c r="N64" s="185"/>
      <c r="O64" s="186"/>
      <c r="P64" s="187"/>
      <c r="Q64" s="188"/>
      <c r="R64" s="189"/>
      <c r="S64" s="185"/>
      <c r="T64" s="185"/>
      <c r="U64" s="186"/>
      <c r="V64" s="187"/>
      <c r="W64" s="188"/>
      <c r="X64" s="189"/>
      <c r="Y64" s="185"/>
      <c r="Z64" s="185"/>
    </row>
    <row r="65" spans="1:27" ht="15" x14ac:dyDescent="0.25">
      <c r="A65" s="138"/>
      <c r="B65" s="185"/>
      <c r="C65" s="186"/>
      <c r="D65" s="187"/>
      <c r="E65" s="188"/>
      <c r="F65" s="189"/>
      <c r="G65" s="185"/>
      <c r="H65" s="185"/>
      <c r="I65" s="186"/>
      <c r="J65" s="187"/>
      <c r="K65" s="188"/>
      <c r="L65" s="189"/>
      <c r="M65" s="185"/>
      <c r="N65" s="185"/>
      <c r="O65" s="186"/>
      <c r="P65" s="187"/>
      <c r="Q65" s="188"/>
      <c r="R65" s="189"/>
      <c r="S65" s="185"/>
      <c r="T65" s="185"/>
      <c r="U65" s="186"/>
      <c r="V65" s="187"/>
      <c r="W65" s="188"/>
      <c r="X65" s="189"/>
      <c r="Y65" s="185"/>
      <c r="Z65" s="185"/>
    </row>
    <row r="66" spans="1:27" s="25" customFormat="1" ht="15" x14ac:dyDescent="0.25">
      <c r="A66" s="116"/>
      <c r="B66" s="116"/>
      <c r="C66" s="268" t="str">
        <f>iRankMultiple!BB102</f>
        <v>GENERAL INDICATORS »</v>
      </c>
      <c r="D66" s="268"/>
      <c r="E66" s="268"/>
      <c r="F66" s="268"/>
      <c r="G66" s="116"/>
      <c r="H66" s="190"/>
      <c r="I66" s="268" t="str">
        <f>iRankMultiple!BH102</f>
        <v>GENERAL INDICATORS »</v>
      </c>
      <c r="J66" s="268"/>
      <c r="K66" s="268"/>
      <c r="L66" s="268"/>
      <c r="M66" s="116"/>
      <c r="N66" s="190"/>
      <c r="O66" s="268" t="str">
        <f>iRankMultiple!BN102</f>
        <v>GENERAL INDICATORS »</v>
      </c>
      <c r="P66" s="268"/>
      <c r="Q66" s="268"/>
      <c r="R66" s="268"/>
      <c r="S66" s="190"/>
      <c r="T66" s="190"/>
      <c r="U66" s="268" t="str">
        <f>iRankMultiple!BT102</f>
        <v/>
      </c>
      <c r="V66" s="268"/>
      <c r="W66" s="268"/>
      <c r="X66" s="268"/>
      <c r="Y66" s="184"/>
      <c r="Z66" s="184"/>
      <c r="AA66" s="183"/>
    </row>
    <row r="67" spans="1:27" s="40" customFormat="1" ht="30" customHeight="1" x14ac:dyDescent="0.25">
      <c r="A67" s="116"/>
      <c r="B67" s="116"/>
      <c r="C67" s="266" t="str">
        <f>iRankMultiple!BB103</f>
        <v>Volume of exports</v>
      </c>
      <c r="D67" s="266"/>
      <c r="E67" s="266"/>
      <c r="F67" s="266"/>
      <c r="G67" s="116"/>
      <c r="H67" s="191"/>
      <c r="I67" s="266" t="str">
        <f>iRankMultiple!BH103</f>
        <v>Value of imports</v>
      </c>
      <c r="J67" s="266"/>
      <c r="K67" s="266"/>
      <c r="L67" s="266"/>
      <c r="M67" s="116"/>
      <c r="N67" s="191"/>
      <c r="O67" s="266" t="str">
        <f>iRankMultiple!BN103</f>
        <v>Volume of imports</v>
      </c>
      <c r="P67" s="266"/>
      <c r="Q67" s="266"/>
      <c r="R67" s="266"/>
      <c r="S67" s="191"/>
      <c r="T67" s="191"/>
      <c r="U67" s="266" t="str">
        <f>iRankMultiple!BT103</f>
        <v/>
      </c>
      <c r="V67" s="266"/>
      <c r="W67" s="266"/>
      <c r="X67" s="266"/>
      <c r="Y67" s="184"/>
      <c r="Z67" s="184"/>
      <c r="AA67" s="148"/>
    </row>
    <row r="68" spans="1:27" ht="13.5" customHeight="1" x14ac:dyDescent="0.25">
      <c r="A68" s="116"/>
      <c r="B68" s="116"/>
      <c r="C68" s="267" t="str">
        <f>iRankMultiple!BB104</f>
        <v>ton</v>
      </c>
      <c r="D68" s="267"/>
      <c r="E68" s="267"/>
      <c r="F68" s="267"/>
      <c r="G68" s="116"/>
      <c r="H68" s="184"/>
      <c r="I68" s="267" t="str">
        <f>iRankMultiple!BH104</f>
        <v>US$ (billions)</v>
      </c>
      <c r="J68" s="267"/>
      <c r="K68" s="267"/>
      <c r="L68" s="267"/>
      <c r="M68" s="116"/>
      <c r="N68" s="184"/>
      <c r="O68" s="267" t="str">
        <f>iRankMultiple!BN104</f>
        <v>tons</v>
      </c>
      <c r="P68" s="267"/>
      <c r="Q68" s="267"/>
      <c r="R68" s="267"/>
      <c r="S68" s="184"/>
      <c r="T68" s="184"/>
      <c r="U68" s="267" t="str">
        <f>iRankMultiple!BT104</f>
        <v/>
      </c>
      <c r="V68" s="267"/>
      <c r="W68" s="267"/>
      <c r="X68" s="267"/>
      <c r="Y68" s="184"/>
      <c r="Z68" s="184"/>
    </row>
    <row r="69" spans="1:27" ht="15" x14ac:dyDescent="0.25">
      <c r="A69" s="138"/>
      <c r="B69" s="138">
        <f ca="1">iRankMultiple!BA106</f>
        <v>1</v>
      </c>
      <c r="C69" s="186">
        <f ca="1">iRankMultiple!BB106</f>
        <v>1</v>
      </c>
      <c r="D69" s="187" t="str">
        <f ca="1">iRankMultiple!BC106</f>
        <v>Brasil</v>
      </c>
      <c r="E69" s="188">
        <f ca="1">iRankMultiple!BD106</f>
        <v>537536631.38199997</v>
      </c>
      <c r="F69" s="189">
        <f ca="1">iRankMultiple!BE106</f>
        <v>2012</v>
      </c>
      <c r="G69" s="185"/>
      <c r="H69" s="185">
        <f ca="1">iRankMultiple!BG106</f>
        <v>1</v>
      </c>
      <c r="I69" s="186">
        <f ca="1">iRankMultiple!BH106</f>
        <v>1</v>
      </c>
      <c r="J69" s="187" t="str">
        <f ca="1">iRankMultiple!BI106</f>
        <v>México</v>
      </c>
      <c r="K69" s="248">
        <f ca="1">iRankMultiple!BJ106</f>
        <v>370.32722419999999</v>
      </c>
      <c r="L69" s="189">
        <f ca="1">iRankMultiple!BK106</f>
        <v>2012</v>
      </c>
      <c r="M69" s="138"/>
      <c r="N69" s="185">
        <f ca="1">iRankMultiple!BM106</f>
        <v>1</v>
      </c>
      <c r="O69" s="186">
        <f ca="1">iRankMultiple!BN106</f>
        <v>1</v>
      </c>
      <c r="P69" s="187" t="str">
        <f ca="1">iRankMultiple!BO106</f>
        <v>México</v>
      </c>
      <c r="Q69" s="188">
        <f ca="1">iRankMultiple!BP106</f>
        <v>2265438676.3790002</v>
      </c>
      <c r="R69" s="189">
        <f ca="1">iRankMultiple!BQ106</f>
        <v>2012</v>
      </c>
      <c r="S69" s="185"/>
      <c r="T69" s="185">
        <f ca="1">iRankMultiple!BS106</f>
        <v>0</v>
      </c>
      <c r="U69" s="186" t="str">
        <f ca="1">iRankMultiple!BT106</f>
        <v/>
      </c>
      <c r="V69" s="187" t="str">
        <f ca="1">iRankMultiple!BU106</f>
        <v/>
      </c>
      <c r="W69" s="188" t="str">
        <f ca="1">iRankMultiple!BV106</f>
        <v/>
      </c>
      <c r="X69" s="189" t="str">
        <f ca="1">iRankMultiple!BW106</f>
        <v/>
      </c>
      <c r="Y69" s="185"/>
      <c r="Z69" s="185"/>
    </row>
    <row r="70" spans="1:27" ht="15" x14ac:dyDescent="0.25">
      <c r="A70" s="138"/>
      <c r="B70" s="185">
        <f ca="1">iRankMultiple!BA107</f>
        <v>1</v>
      </c>
      <c r="C70" s="186">
        <f ca="1">iRankMultiple!BB107</f>
        <v>2</v>
      </c>
      <c r="D70" s="187" t="str">
        <f ca="1">iRankMultiple!BC107</f>
        <v>Colombia</v>
      </c>
      <c r="E70" s="188">
        <f ca="1">iRankMultiple!BD107</f>
        <v>129355981.10087</v>
      </c>
      <c r="F70" s="189">
        <f ca="1">iRankMultiple!BE107</f>
        <v>2012</v>
      </c>
      <c r="G70" s="185"/>
      <c r="H70" s="185">
        <f ca="1">iRankMultiple!BG107</f>
        <v>1</v>
      </c>
      <c r="I70" s="186">
        <f ca="1">iRankMultiple!BH107</f>
        <v>2</v>
      </c>
      <c r="J70" s="187" t="str">
        <f ca="1">iRankMultiple!BI107</f>
        <v>Brasil</v>
      </c>
      <c r="K70" s="248">
        <f ca="1">iRankMultiple!BJ107</f>
        <v>226.3847342</v>
      </c>
      <c r="L70" s="189">
        <f ca="1">iRankMultiple!BK107</f>
        <v>2012</v>
      </c>
      <c r="M70" s="138"/>
      <c r="N70" s="185">
        <f ca="1">iRankMultiple!BM107</f>
        <v>1</v>
      </c>
      <c r="O70" s="186">
        <f ca="1">iRankMultiple!BN107</f>
        <v>2</v>
      </c>
      <c r="P70" s="187" t="str">
        <f ca="1">iRankMultiple!BO107</f>
        <v>Brasil</v>
      </c>
      <c r="Q70" s="188">
        <f ca="1">iRankMultiple!BP107</f>
        <v>140958417.26899999</v>
      </c>
      <c r="R70" s="189">
        <f ca="1">iRankMultiple!BQ107</f>
        <v>2012</v>
      </c>
      <c r="S70" s="185"/>
      <c r="T70" s="185">
        <f ca="1">iRankMultiple!BS107</f>
        <v>0</v>
      </c>
      <c r="U70" s="186" t="str">
        <f ca="1">iRankMultiple!BT107</f>
        <v/>
      </c>
      <c r="V70" s="187" t="str">
        <f ca="1">iRankMultiple!BU107</f>
        <v/>
      </c>
      <c r="W70" s="188" t="str">
        <f ca="1">iRankMultiple!BV107</f>
        <v/>
      </c>
      <c r="X70" s="189" t="str">
        <f ca="1">iRankMultiple!BW107</f>
        <v/>
      </c>
      <c r="Y70" s="185"/>
      <c r="Z70" s="185"/>
    </row>
    <row r="71" spans="1:27" ht="15" x14ac:dyDescent="0.25">
      <c r="A71" s="138"/>
      <c r="B71" s="185">
        <f ca="1">iRankMultiple!BA108</f>
        <v>1</v>
      </c>
      <c r="C71" s="186">
        <f ca="1">iRankMultiple!BB108</f>
        <v>3</v>
      </c>
      <c r="D71" s="187" t="str">
        <f ca="1">iRankMultiple!BC108</f>
        <v>Venezuela</v>
      </c>
      <c r="E71" s="188">
        <f ca="1">iRankMultiple!BD108</f>
        <v>117437477.006</v>
      </c>
      <c r="F71" s="189">
        <f ca="1">iRankMultiple!BE108</f>
        <v>2012</v>
      </c>
      <c r="G71" s="185"/>
      <c r="H71" s="185">
        <f ca="1">iRankMultiple!BG108</f>
        <v>1</v>
      </c>
      <c r="I71" s="186">
        <f ca="1">iRankMultiple!BH108</f>
        <v>3</v>
      </c>
      <c r="J71" s="187" t="str">
        <f ca="1">iRankMultiple!BI108</f>
        <v>Chile</v>
      </c>
      <c r="K71" s="248">
        <f ca="1">iRankMultiple!BJ108</f>
        <v>74.855107519000001</v>
      </c>
      <c r="L71" s="189">
        <f ca="1">iRankMultiple!BK108</f>
        <v>2012</v>
      </c>
      <c r="M71" s="185"/>
      <c r="N71" s="185">
        <f ca="1">iRankMultiple!BM108</f>
        <v>1</v>
      </c>
      <c r="O71" s="186">
        <f ca="1">iRankMultiple!BN108</f>
        <v>3</v>
      </c>
      <c r="P71" s="187" t="str">
        <f ca="1">iRankMultiple!BO108</f>
        <v>Chile</v>
      </c>
      <c r="Q71" s="188">
        <f ca="1">iRankMultiple!BP108</f>
        <v>52120843.663999997</v>
      </c>
      <c r="R71" s="189">
        <f ca="1">iRankMultiple!BQ108</f>
        <v>2012</v>
      </c>
      <c r="S71" s="185"/>
      <c r="T71" s="185">
        <f ca="1">iRankMultiple!BS108</f>
        <v>0</v>
      </c>
      <c r="U71" s="186" t="str">
        <f ca="1">iRankMultiple!BT108</f>
        <v/>
      </c>
      <c r="V71" s="187" t="str">
        <f ca="1">iRankMultiple!BU108</f>
        <v/>
      </c>
      <c r="W71" s="188" t="str">
        <f ca="1">iRankMultiple!BV108</f>
        <v/>
      </c>
      <c r="X71" s="189" t="str">
        <f ca="1">iRankMultiple!BW108</f>
        <v/>
      </c>
      <c r="Y71" s="185"/>
      <c r="Z71" s="185"/>
    </row>
    <row r="72" spans="1:27" ht="15" x14ac:dyDescent="0.25">
      <c r="A72" s="138"/>
      <c r="B72" s="185">
        <f ca="1">iRankMultiple!BA109</f>
        <v>1</v>
      </c>
      <c r="C72" s="186">
        <f ca="1">iRankMultiple!BB109</f>
        <v>4</v>
      </c>
      <c r="D72" s="187" t="str">
        <f ca="1">iRankMultiple!BC109</f>
        <v>Argentina</v>
      </c>
      <c r="E72" s="188">
        <f ca="1">iRankMultiple!BD109</f>
        <v>100244570.502</v>
      </c>
      <c r="F72" s="189">
        <f ca="1">iRankMultiple!BE109</f>
        <v>2012</v>
      </c>
      <c r="G72" s="185"/>
      <c r="H72" s="185">
        <f ca="1">iRankMultiple!BG109</f>
        <v>1</v>
      </c>
      <c r="I72" s="186">
        <f ca="1">iRankMultiple!BH109</f>
        <v>4</v>
      </c>
      <c r="J72" s="187" t="str">
        <f ca="1">iRankMultiple!BI109</f>
        <v>Argentina</v>
      </c>
      <c r="K72" s="248">
        <f ca="1">iRankMultiple!BJ109</f>
        <v>65.773621199999994</v>
      </c>
      <c r="L72" s="189">
        <f ca="1">iRankMultiple!BK109</f>
        <v>2012</v>
      </c>
      <c r="M72" s="185"/>
      <c r="N72" s="185">
        <f ca="1">iRankMultiple!BM109</f>
        <v>1</v>
      </c>
      <c r="O72" s="186">
        <f ca="1">iRankMultiple!BN109</f>
        <v>4</v>
      </c>
      <c r="P72" s="187" t="str">
        <f ca="1">iRankMultiple!BO109</f>
        <v>Argentina</v>
      </c>
      <c r="Q72" s="188">
        <f ca="1">iRankMultiple!BP109</f>
        <v>33687227.989</v>
      </c>
      <c r="R72" s="189">
        <f ca="1">iRankMultiple!BQ109</f>
        <v>2012</v>
      </c>
      <c r="S72" s="185"/>
      <c r="T72" s="185">
        <f ca="1">iRankMultiple!BS109</f>
        <v>0</v>
      </c>
      <c r="U72" s="186" t="str">
        <f ca="1">iRankMultiple!BT109</f>
        <v/>
      </c>
      <c r="V72" s="187" t="str">
        <f ca="1">iRankMultiple!BU109</f>
        <v/>
      </c>
      <c r="W72" s="188" t="str">
        <f ca="1">iRankMultiple!BV109</f>
        <v/>
      </c>
      <c r="X72" s="189" t="str">
        <f ca="1">iRankMultiple!BW109</f>
        <v/>
      </c>
      <c r="Y72" s="185"/>
      <c r="Z72" s="185"/>
    </row>
    <row r="73" spans="1:27" ht="15" x14ac:dyDescent="0.25">
      <c r="A73" s="138"/>
      <c r="B73" s="185">
        <f ca="1">iRankMultiple!BA110</f>
        <v>1</v>
      </c>
      <c r="C73" s="186">
        <f ca="1">iRankMultiple!BB110</f>
        <v>5</v>
      </c>
      <c r="D73" s="187" t="str">
        <f ca="1">iRankMultiple!BC110</f>
        <v>México</v>
      </c>
      <c r="E73" s="188">
        <f ca="1">iRankMultiple!BD110</f>
        <v>75436910.116999999</v>
      </c>
      <c r="F73" s="189">
        <f ca="1">iRankMultiple!BE110</f>
        <v>2012</v>
      </c>
      <c r="G73" s="185"/>
      <c r="H73" s="185">
        <f ca="1">iRankMultiple!BG110</f>
        <v>1</v>
      </c>
      <c r="I73" s="186">
        <f ca="1">iRankMultiple!BH110</f>
        <v>5</v>
      </c>
      <c r="J73" s="187" t="str">
        <f ca="1">iRankMultiple!BI110</f>
        <v>Venezuela</v>
      </c>
      <c r="K73" s="248">
        <f ca="1">iRankMultiple!BJ110</f>
        <v>56.392989100000001</v>
      </c>
      <c r="L73" s="189">
        <f ca="1">iRankMultiple!BK110</f>
        <v>2012</v>
      </c>
      <c r="M73" s="185"/>
      <c r="N73" s="185">
        <f ca="1">iRankMultiple!BM110</f>
        <v>1</v>
      </c>
      <c r="O73" s="186">
        <f ca="1">iRankMultiple!BN110</f>
        <v>5</v>
      </c>
      <c r="P73" s="187" t="str">
        <f ca="1">iRankMultiple!BO110</f>
        <v>Colombia</v>
      </c>
      <c r="Q73" s="188">
        <f ca="1">iRankMultiple!BP110</f>
        <v>30292238.4263</v>
      </c>
      <c r="R73" s="189">
        <f ca="1">iRankMultiple!BQ110</f>
        <v>2012</v>
      </c>
      <c r="S73" s="185"/>
      <c r="T73" s="185">
        <f ca="1">iRankMultiple!BS110</f>
        <v>0</v>
      </c>
      <c r="U73" s="186" t="str">
        <f ca="1">iRankMultiple!BT110</f>
        <v/>
      </c>
      <c r="V73" s="187" t="str">
        <f ca="1">iRankMultiple!BU110</f>
        <v/>
      </c>
      <c r="W73" s="188" t="str">
        <f ca="1">iRankMultiple!BV110</f>
        <v/>
      </c>
      <c r="X73" s="189" t="str">
        <f ca="1">iRankMultiple!BW110</f>
        <v/>
      </c>
      <c r="Y73" s="185"/>
      <c r="Z73" s="185"/>
    </row>
    <row r="74" spans="1:27" ht="15" x14ac:dyDescent="0.25">
      <c r="A74" s="138"/>
      <c r="B74" s="185">
        <f ca="1">iRankMultiple!BA111</f>
        <v>1</v>
      </c>
      <c r="C74" s="186">
        <f ca="1">iRankMultiple!BB111</f>
        <v>6</v>
      </c>
      <c r="D74" s="187" t="str">
        <f ca="1">iRankMultiple!BC111</f>
        <v>Chile</v>
      </c>
      <c r="E74" s="188">
        <f ca="1">iRankMultiple!BD111</f>
        <v>43837764.449000001</v>
      </c>
      <c r="F74" s="189">
        <f ca="1">iRankMultiple!BE111</f>
        <v>2012</v>
      </c>
      <c r="G74" s="185"/>
      <c r="H74" s="185">
        <f ca="1">iRankMultiple!BG111</f>
        <v>1</v>
      </c>
      <c r="I74" s="186">
        <f ca="1">iRankMultiple!BH111</f>
        <v>6</v>
      </c>
      <c r="J74" s="187" t="str">
        <f ca="1">iRankMultiple!BI111</f>
        <v>Colombia</v>
      </c>
      <c r="K74" s="248">
        <f ca="1">iRankMultiple!BJ111</f>
        <v>56.092407639420003</v>
      </c>
      <c r="L74" s="189">
        <f ca="1">iRankMultiple!BK111</f>
        <v>2012</v>
      </c>
      <c r="M74" s="185"/>
      <c r="N74" s="185">
        <f ca="1">iRankMultiple!BM111</f>
        <v>1</v>
      </c>
      <c r="O74" s="186">
        <f ca="1">iRankMultiple!BN111</f>
        <v>6</v>
      </c>
      <c r="P74" s="187" t="str">
        <f ca="1">iRankMultiple!BO111</f>
        <v>Peru</v>
      </c>
      <c r="Q74" s="188">
        <f ca="1">iRankMultiple!BP111</f>
        <v>26737647.521000002</v>
      </c>
      <c r="R74" s="189">
        <f ca="1">iRankMultiple!BQ111</f>
        <v>2012</v>
      </c>
      <c r="S74" s="185"/>
      <c r="T74" s="185">
        <f ca="1">iRankMultiple!BS111</f>
        <v>0</v>
      </c>
      <c r="U74" s="186" t="str">
        <f ca="1">iRankMultiple!BT111</f>
        <v/>
      </c>
      <c r="V74" s="187" t="str">
        <f ca="1">iRankMultiple!BU111</f>
        <v/>
      </c>
      <c r="W74" s="188" t="str">
        <f ca="1">iRankMultiple!BV111</f>
        <v/>
      </c>
      <c r="X74" s="189" t="str">
        <f ca="1">iRankMultiple!BW111</f>
        <v/>
      </c>
      <c r="Y74" s="185"/>
      <c r="Z74" s="185"/>
    </row>
    <row r="75" spans="1:27" ht="15" x14ac:dyDescent="0.25">
      <c r="A75" s="138"/>
      <c r="B75" s="185">
        <f ca="1">iRankMultiple!BA112</f>
        <v>1</v>
      </c>
      <c r="C75" s="186">
        <f ca="1">iRankMultiple!BB112</f>
        <v>7</v>
      </c>
      <c r="D75" s="187" t="str">
        <f ca="1">iRankMultiple!BC112</f>
        <v>Peru</v>
      </c>
      <c r="E75" s="188">
        <f ca="1">iRankMultiple!BD112</f>
        <v>37059596.365000002</v>
      </c>
      <c r="F75" s="189">
        <f ca="1">iRankMultiple!BE112</f>
        <v>2012</v>
      </c>
      <c r="G75" s="185"/>
      <c r="H75" s="185">
        <f ca="1">iRankMultiple!BG112</f>
        <v>1</v>
      </c>
      <c r="I75" s="186">
        <f ca="1">iRankMultiple!BH112</f>
        <v>7</v>
      </c>
      <c r="J75" s="187" t="str">
        <f ca="1">iRankMultiple!BI112</f>
        <v>Peru</v>
      </c>
      <c r="K75" s="248">
        <f ca="1">iRankMultiple!BJ112</f>
        <v>40.220317899999998</v>
      </c>
      <c r="L75" s="189">
        <f ca="1">iRankMultiple!BK112</f>
        <v>2012</v>
      </c>
      <c r="M75" s="185"/>
      <c r="N75" s="185">
        <f ca="1">iRankMultiple!BM112</f>
        <v>1</v>
      </c>
      <c r="O75" s="186">
        <f ca="1">iRankMultiple!BN112</f>
        <v>7</v>
      </c>
      <c r="P75" s="187" t="str">
        <f ca="1">iRankMultiple!BO112</f>
        <v>Dominican Republic</v>
      </c>
      <c r="Q75" s="188">
        <f ca="1">iRankMultiple!BP112</f>
        <v>16893447.26289</v>
      </c>
      <c r="R75" s="189">
        <f ca="1">iRankMultiple!BQ112</f>
        <v>2012</v>
      </c>
      <c r="S75" s="185"/>
      <c r="T75" s="185">
        <f ca="1">iRankMultiple!BS112</f>
        <v>0</v>
      </c>
      <c r="U75" s="186" t="str">
        <f ca="1">iRankMultiple!BT112</f>
        <v/>
      </c>
      <c r="V75" s="187" t="str">
        <f ca="1">iRankMultiple!BU112</f>
        <v/>
      </c>
      <c r="W75" s="188" t="str">
        <f ca="1">iRankMultiple!BV112</f>
        <v/>
      </c>
      <c r="X75" s="189" t="str">
        <f ca="1">iRankMultiple!BW112</f>
        <v/>
      </c>
      <c r="Y75" s="185"/>
      <c r="Z75" s="185"/>
    </row>
    <row r="76" spans="1:27" ht="15" x14ac:dyDescent="0.25">
      <c r="A76" s="138"/>
      <c r="B76" s="185">
        <f ca="1">iRankMultiple!BA113</f>
        <v>1</v>
      </c>
      <c r="C76" s="186">
        <f ca="1">iRankMultiple!BB113</f>
        <v>8</v>
      </c>
      <c r="D76" s="187" t="str">
        <f ca="1">iRankMultiple!BC113</f>
        <v>Ecuador</v>
      </c>
      <c r="E76" s="188">
        <f ca="1">iRankMultiple!BD113</f>
        <v>27849775.333000001</v>
      </c>
      <c r="F76" s="189">
        <f ca="1">iRankMultiple!BE113</f>
        <v>2012</v>
      </c>
      <c r="G76" s="185"/>
      <c r="H76" s="185">
        <f ca="1">iRankMultiple!BG113</f>
        <v>1</v>
      </c>
      <c r="I76" s="186">
        <f ca="1">iRankMultiple!BH113</f>
        <v>8</v>
      </c>
      <c r="J76" s="187" t="str">
        <f ca="1">iRankMultiple!BI113</f>
        <v>Ecuador</v>
      </c>
      <c r="K76" s="248">
        <f ca="1">iRankMultiple!BJ113</f>
        <v>24.904233000000001</v>
      </c>
      <c r="L76" s="189">
        <f ca="1">iRankMultiple!BK113</f>
        <v>2012</v>
      </c>
      <c r="M76" s="185"/>
      <c r="N76" s="185">
        <f ca="1">iRankMultiple!BM113</f>
        <v>1</v>
      </c>
      <c r="O76" s="186">
        <f ca="1">iRankMultiple!BN113</f>
        <v>8</v>
      </c>
      <c r="P76" s="187" t="str">
        <f ca="1">iRankMultiple!BO113</f>
        <v>Ecuador</v>
      </c>
      <c r="Q76" s="188">
        <f ca="1">iRankMultiple!BP113</f>
        <v>14253231.348999999</v>
      </c>
      <c r="R76" s="189">
        <f ca="1">iRankMultiple!BQ113</f>
        <v>2012</v>
      </c>
      <c r="S76" s="185"/>
      <c r="T76" s="185">
        <f ca="1">iRankMultiple!BS113</f>
        <v>0</v>
      </c>
      <c r="U76" s="186" t="str">
        <f ca="1">iRankMultiple!BT113</f>
        <v/>
      </c>
      <c r="V76" s="187" t="str">
        <f ca="1">iRankMultiple!BU113</f>
        <v/>
      </c>
      <c r="W76" s="188" t="str">
        <f ca="1">iRankMultiple!BV113</f>
        <v/>
      </c>
      <c r="X76" s="189" t="str">
        <f ca="1">iRankMultiple!BW113</f>
        <v/>
      </c>
      <c r="Y76" s="185"/>
      <c r="Z76" s="185"/>
    </row>
    <row r="77" spans="1:27" ht="15" x14ac:dyDescent="0.25">
      <c r="A77" s="138"/>
      <c r="B77" s="185">
        <f ca="1">iRankMultiple!BA114</f>
        <v>1</v>
      </c>
      <c r="C77" s="186">
        <f ca="1">iRankMultiple!BB114</f>
        <v>9</v>
      </c>
      <c r="D77" s="187" t="str">
        <f ca="1">iRankMultiple!BC114</f>
        <v>Trinidad and Tobago</v>
      </c>
      <c r="E77" s="188">
        <f ca="1">iRankMultiple!BD114</f>
        <v>25518635.283</v>
      </c>
      <c r="F77" s="189">
        <f ca="1">iRankMultiple!BE114</f>
        <v>2012</v>
      </c>
      <c r="G77" s="185"/>
      <c r="H77" s="185">
        <f ca="1">iRankMultiple!BG114</f>
        <v>1</v>
      </c>
      <c r="I77" s="186">
        <f ca="1">iRankMultiple!BH114</f>
        <v>9</v>
      </c>
      <c r="J77" s="187" t="str">
        <f ca="1">iRankMultiple!BI114</f>
        <v>Panamá</v>
      </c>
      <c r="K77" s="248">
        <f ca="1">iRankMultiple!BJ114</f>
        <v>24.321147100000001</v>
      </c>
      <c r="L77" s="189">
        <f ca="1">iRankMultiple!BK114</f>
        <v>2012</v>
      </c>
      <c r="M77" s="185"/>
      <c r="N77" s="185">
        <f ca="1">iRankMultiple!BM114</f>
        <v>1</v>
      </c>
      <c r="O77" s="186">
        <f ca="1">iRankMultiple!BN114</f>
        <v>9</v>
      </c>
      <c r="P77" s="187" t="str">
        <f ca="1">iRankMultiple!BO114</f>
        <v>Costa Rica</v>
      </c>
      <c r="Q77" s="188">
        <f ca="1">iRankMultiple!BP114</f>
        <v>13140756.194470899</v>
      </c>
      <c r="R77" s="189">
        <f ca="1">iRankMultiple!BQ114</f>
        <v>2012</v>
      </c>
      <c r="S77" s="185"/>
      <c r="T77" s="185">
        <f ca="1">iRankMultiple!BS114</f>
        <v>0</v>
      </c>
      <c r="U77" s="186" t="str">
        <f ca="1">iRankMultiple!BT114</f>
        <v/>
      </c>
      <c r="V77" s="187" t="str">
        <f ca="1">iRankMultiple!BU114</f>
        <v/>
      </c>
      <c r="W77" s="188" t="str">
        <f ca="1">iRankMultiple!BV114</f>
        <v/>
      </c>
      <c r="X77" s="189" t="str">
        <f ca="1">iRankMultiple!BW114</f>
        <v/>
      </c>
      <c r="Y77" s="185"/>
      <c r="Z77" s="185"/>
    </row>
    <row r="78" spans="1:27" ht="15" x14ac:dyDescent="0.25">
      <c r="A78" s="138"/>
      <c r="B78" s="185">
        <f ca="1">iRankMultiple!BA115</f>
        <v>1</v>
      </c>
      <c r="C78" s="186">
        <f ca="1">iRankMultiple!BB115</f>
        <v>10</v>
      </c>
      <c r="D78" s="187" t="str">
        <f ca="1">iRankMultiple!BC115</f>
        <v>Bolivia</v>
      </c>
      <c r="E78" s="188">
        <f ca="1">iRankMultiple!BD115</f>
        <v>15599157.466</v>
      </c>
      <c r="F78" s="189">
        <f ca="1">iRankMultiple!BE115</f>
        <v>2012</v>
      </c>
      <c r="G78" s="185"/>
      <c r="H78" s="185">
        <f ca="1">iRankMultiple!BG115</f>
        <v>1</v>
      </c>
      <c r="I78" s="186">
        <f ca="1">iRankMultiple!BH115</f>
        <v>10</v>
      </c>
      <c r="J78" s="187" t="str">
        <f ca="1">iRankMultiple!BI115</f>
        <v>Dominican Republic</v>
      </c>
      <c r="K78" s="248">
        <f ca="1">iRankMultiple!BJ115</f>
        <v>17.811321400000001</v>
      </c>
      <c r="L78" s="189">
        <f ca="1">iRankMultiple!BK115</f>
        <v>2012</v>
      </c>
      <c r="M78" s="185"/>
      <c r="N78" s="185">
        <f ca="1">iRankMultiple!BM115</f>
        <v>1</v>
      </c>
      <c r="O78" s="186">
        <f ca="1">iRankMultiple!BN115</f>
        <v>10</v>
      </c>
      <c r="P78" s="187" t="str">
        <f ca="1">iRankMultiple!BO115</f>
        <v>Guatemala</v>
      </c>
      <c r="Q78" s="188">
        <f ca="1">iRankMultiple!BP115</f>
        <v>12275771.696</v>
      </c>
      <c r="R78" s="189">
        <f ca="1">iRankMultiple!BQ115</f>
        <v>2012</v>
      </c>
      <c r="S78" s="185"/>
      <c r="T78" s="185">
        <f ca="1">iRankMultiple!BS115</f>
        <v>0</v>
      </c>
      <c r="U78" s="186" t="str">
        <f ca="1">iRankMultiple!BT115</f>
        <v/>
      </c>
      <c r="V78" s="187" t="str">
        <f ca="1">iRankMultiple!BU115</f>
        <v/>
      </c>
      <c r="W78" s="188" t="str">
        <f ca="1">iRankMultiple!BV115</f>
        <v/>
      </c>
      <c r="X78" s="189"/>
      <c r="Y78" s="185"/>
      <c r="Z78" s="185"/>
    </row>
    <row r="79" spans="1:27" ht="15" x14ac:dyDescent="0.25">
      <c r="A79" s="138"/>
      <c r="B79" s="185">
        <f ca="1">iRankMultiple!BA116</f>
        <v>1</v>
      </c>
      <c r="C79" s="186">
        <f ca="1">iRankMultiple!BB116</f>
        <v>11</v>
      </c>
      <c r="D79" s="187" t="str">
        <f ca="1">iRankMultiple!BC116</f>
        <v>Costa Rica</v>
      </c>
      <c r="E79" s="188">
        <f ca="1">iRankMultiple!BD116</f>
        <v>14320485.425000001</v>
      </c>
      <c r="F79" s="189">
        <f ca="1">iRankMultiple!BE116</f>
        <v>2012</v>
      </c>
      <c r="G79" s="185"/>
      <c r="H79" s="185">
        <f ca="1">iRankMultiple!BG116</f>
        <v>1</v>
      </c>
      <c r="I79" s="186">
        <f ca="1">iRankMultiple!BH116</f>
        <v>11</v>
      </c>
      <c r="J79" s="187" t="str">
        <f ca="1">iRankMultiple!BI116</f>
        <v>Costa Rica</v>
      </c>
      <c r="K79" s="248">
        <f ca="1">iRankMultiple!BJ116</f>
        <v>17.590800000000002</v>
      </c>
      <c r="L79" s="189">
        <f ca="1">iRankMultiple!BK116</f>
        <v>2012</v>
      </c>
      <c r="M79" s="185"/>
      <c r="N79" s="185">
        <f ca="1">iRankMultiple!BM116</f>
        <v>1</v>
      </c>
      <c r="O79" s="186">
        <f ca="1">iRankMultiple!BN116</f>
        <v>11</v>
      </c>
      <c r="P79" s="187" t="str">
        <f ca="1">iRankMultiple!BO116</f>
        <v>Panamá</v>
      </c>
      <c r="Q79" s="188">
        <f ca="1">iRankMultiple!BP116</f>
        <v>8243321.2489999998</v>
      </c>
      <c r="R79" s="189">
        <f ca="1">iRankMultiple!BQ116</f>
        <v>2012</v>
      </c>
      <c r="S79" s="185"/>
      <c r="T79" s="185">
        <f ca="1">iRankMultiple!BS116</f>
        <v>0</v>
      </c>
      <c r="U79" s="186" t="str">
        <f ca="1">iRankMultiple!BT116</f>
        <v/>
      </c>
      <c r="V79" s="187" t="str">
        <f ca="1">iRankMultiple!BU116</f>
        <v/>
      </c>
      <c r="W79" s="188" t="str">
        <f ca="1">iRankMultiple!BV116</f>
        <v/>
      </c>
      <c r="X79" s="189"/>
      <c r="Y79" s="185"/>
      <c r="Z79" s="185"/>
    </row>
    <row r="80" spans="1:27" ht="15" x14ac:dyDescent="0.25">
      <c r="A80" s="138"/>
      <c r="B80" s="185">
        <f ca="1">iRankMultiple!BA117</f>
        <v>1</v>
      </c>
      <c r="C80" s="186">
        <f ca="1">iRankMultiple!BB117</f>
        <v>12</v>
      </c>
      <c r="D80" s="187" t="str">
        <f ca="1">iRankMultiple!BC117</f>
        <v>Uruguay</v>
      </c>
      <c r="E80" s="188">
        <f ca="1">iRankMultiple!BD117</f>
        <v>11953003.3525899</v>
      </c>
      <c r="F80" s="189">
        <f ca="1">iRankMultiple!BE117</f>
        <v>2012</v>
      </c>
      <c r="G80" s="185"/>
      <c r="H80" s="185">
        <f ca="1">iRankMultiple!BG117</f>
        <v>1</v>
      </c>
      <c r="I80" s="186">
        <f ca="1">iRankMultiple!BH117</f>
        <v>12</v>
      </c>
      <c r="J80" s="187" t="str">
        <f ca="1">iRankMultiple!BI117</f>
        <v>Guatemala</v>
      </c>
      <c r="K80" s="248">
        <f ca="1">iRankMultiple!BJ117</f>
        <v>16.174189999999999</v>
      </c>
      <c r="L80" s="189">
        <f ca="1">iRankMultiple!BK117</f>
        <v>2012</v>
      </c>
      <c r="M80" s="185"/>
      <c r="N80" s="185">
        <f ca="1">iRankMultiple!BM117</f>
        <v>1</v>
      </c>
      <c r="O80" s="186">
        <f ca="1">iRankMultiple!BN117</f>
        <v>12</v>
      </c>
      <c r="P80" s="187" t="str">
        <f ca="1">iRankMultiple!BO117</f>
        <v>Trinidad and Tobago</v>
      </c>
      <c r="Q80" s="188">
        <f ca="1">iRankMultiple!BP117</f>
        <v>7706328.2539999997</v>
      </c>
      <c r="R80" s="189">
        <f ca="1">iRankMultiple!BQ117</f>
        <v>2012</v>
      </c>
      <c r="S80" s="185"/>
      <c r="T80" s="185">
        <f ca="1">iRankMultiple!BS117</f>
        <v>0</v>
      </c>
      <c r="U80" s="186" t="str">
        <f ca="1">iRankMultiple!BT117</f>
        <v/>
      </c>
      <c r="V80" s="187" t="str">
        <f ca="1">iRankMultiple!BU117</f>
        <v/>
      </c>
      <c r="W80" s="188" t="str">
        <f ca="1">iRankMultiple!BV117</f>
        <v/>
      </c>
      <c r="X80" s="189"/>
      <c r="Y80" s="185"/>
      <c r="Z80" s="185"/>
    </row>
    <row r="81" spans="1:26" ht="15" x14ac:dyDescent="0.25">
      <c r="A81" s="138"/>
      <c r="B81" s="185">
        <f ca="1">iRankMultiple!BA118</f>
        <v>1</v>
      </c>
      <c r="C81" s="186">
        <f ca="1">iRankMultiple!BB118</f>
        <v>13</v>
      </c>
      <c r="D81" s="187" t="str">
        <f ca="1">iRankMultiple!BC118</f>
        <v>Paraguay</v>
      </c>
      <c r="E81" s="188">
        <f ca="1">iRankMultiple!BD118</f>
        <v>11816765.481977999</v>
      </c>
      <c r="F81" s="189">
        <f ca="1">iRankMultiple!BE118</f>
        <v>2012</v>
      </c>
      <c r="G81" s="185"/>
      <c r="H81" s="185">
        <f ca="1">iRankMultiple!BG118</f>
        <v>1</v>
      </c>
      <c r="I81" s="186">
        <f ca="1">iRankMultiple!BH118</f>
        <v>13</v>
      </c>
      <c r="J81" s="187" t="str">
        <f ca="1">iRankMultiple!BI118</f>
        <v>Uruguay</v>
      </c>
      <c r="K81" s="248">
        <f ca="1">iRankMultiple!BJ118</f>
        <v>12.217000623701001</v>
      </c>
      <c r="L81" s="189">
        <f ca="1">iRankMultiple!BK118</f>
        <v>2012</v>
      </c>
      <c r="M81" s="185"/>
      <c r="N81" s="185">
        <f ca="1">iRankMultiple!BM118</f>
        <v>1</v>
      </c>
      <c r="O81" s="186">
        <f ca="1">iRankMultiple!BN118</f>
        <v>13</v>
      </c>
      <c r="P81" s="187" t="str">
        <f ca="1">iRankMultiple!BO118</f>
        <v>El Salvador</v>
      </c>
      <c r="Q81" s="188">
        <f ca="1">iRankMultiple!BP118</f>
        <v>7574949.6176000005</v>
      </c>
      <c r="R81" s="189">
        <f ca="1">iRankMultiple!BQ118</f>
        <v>2012</v>
      </c>
      <c r="S81" s="185"/>
      <c r="T81" s="185">
        <f ca="1">iRankMultiple!BS118</f>
        <v>0</v>
      </c>
      <c r="U81" s="186" t="str">
        <f ca="1">iRankMultiple!BT118</f>
        <v/>
      </c>
      <c r="V81" s="187" t="str">
        <f ca="1">iRankMultiple!BU118</f>
        <v/>
      </c>
      <c r="W81" s="188" t="str">
        <f ca="1">iRankMultiple!BV118</f>
        <v/>
      </c>
      <c r="X81" s="189"/>
      <c r="Y81" s="185"/>
      <c r="Z81" s="185"/>
    </row>
    <row r="82" spans="1:26" ht="15" x14ac:dyDescent="0.25">
      <c r="A82" s="138"/>
      <c r="B82" s="185">
        <f ca="1">iRankMultiple!BA119</f>
        <v>1</v>
      </c>
      <c r="C82" s="186">
        <f ca="1">iRankMultiple!BB119</f>
        <v>14</v>
      </c>
      <c r="D82" s="187" t="str">
        <f ca="1">iRankMultiple!BC119</f>
        <v>Guatemala</v>
      </c>
      <c r="E82" s="188">
        <f ca="1">iRankMultiple!BD119</f>
        <v>9525017.4810000006</v>
      </c>
      <c r="F82" s="189">
        <f ca="1">iRankMultiple!BE119</f>
        <v>2012</v>
      </c>
      <c r="G82" s="185"/>
      <c r="H82" s="185">
        <f ca="1">iRankMultiple!BG119</f>
        <v>1</v>
      </c>
      <c r="I82" s="186">
        <f ca="1">iRankMultiple!BH119</f>
        <v>14</v>
      </c>
      <c r="J82" s="187" t="str">
        <f ca="1">iRankMultiple!BI119</f>
        <v>Paraguay</v>
      </c>
      <c r="K82" s="248">
        <f ca="1">iRankMultiple!BJ119</f>
        <v>11.1228345</v>
      </c>
      <c r="L82" s="189">
        <f ca="1">iRankMultiple!BK119</f>
        <v>2012</v>
      </c>
      <c r="M82" s="185"/>
      <c r="N82" s="185">
        <f ca="1">iRankMultiple!BM119</f>
        <v>1</v>
      </c>
      <c r="O82" s="186">
        <f ca="1">iRankMultiple!BN119</f>
        <v>14</v>
      </c>
      <c r="P82" s="187" t="str">
        <f ca="1">iRankMultiple!BO119</f>
        <v>Jamaica</v>
      </c>
      <c r="Q82" s="188">
        <f ca="1">iRankMultiple!BP119</f>
        <v>6850561.3870000001</v>
      </c>
      <c r="R82" s="189">
        <f ca="1">iRankMultiple!BQ119</f>
        <v>2012</v>
      </c>
      <c r="S82" s="185"/>
      <c r="T82" s="185">
        <f ca="1">iRankMultiple!BS119</f>
        <v>0</v>
      </c>
      <c r="U82" s="186" t="str">
        <f ca="1">iRankMultiple!BT119</f>
        <v/>
      </c>
      <c r="V82" s="187" t="str">
        <f ca="1">iRankMultiple!BU119</f>
        <v/>
      </c>
      <c r="W82" s="188" t="str">
        <f ca="1">iRankMultiple!BV119</f>
        <v/>
      </c>
      <c r="X82" s="189"/>
      <c r="Y82" s="185"/>
      <c r="Z82" s="185"/>
    </row>
    <row r="83" spans="1:26" ht="15" x14ac:dyDescent="0.25">
      <c r="A83" s="138"/>
      <c r="B83" s="185">
        <f ca="1">iRankMultiple!BA120</f>
        <v>1</v>
      </c>
      <c r="C83" s="186">
        <f ca="1">iRankMultiple!BB120</f>
        <v>15</v>
      </c>
      <c r="D83" s="187" t="str">
        <f ca="1">iRankMultiple!BC120</f>
        <v>Jamaica</v>
      </c>
      <c r="E83" s="188">
        <f ca="1">iRankMultiple!BD120</f>
        <v>7537315.4819999998</v>
      </c>
      <c r="F83" s="189">
        <f ca="1">iRankMultiple!BE120</f>
        <v>2012</v>
      </c>
      <c r="G83" s="185"/>
      <c r="H83" s="185">
        <f ca="1">iRankMultiple!BG120</f>
        <v>1</v>
      </c>
      <c r="I83" s="186">
        <f ca="1">iRankMultiple!BH120</f>
        <v>15</v>
      </c>
      <c r="J83" s="187" t="str">
        <f ca="1">iRankMultiple!BI120</f>
        <v>Honduras</v>
      </c>
      <c r="K83" s="248">
        <f ca="1">iRankMultiple!BJ120</f>
        <v>10.882300000000001</v>
      </c>
      <c r="L83" s="189">
        <f ca="1">iRankMultiple!BK120</f>
        <v>2012</v>
      </c>
      <c r="M83" s="185"/>
      <c r="N83" s="185">
        <f ca="1">iRankMultiple!BM120</f>
        <v>1</v>
      </c>
      <c r="O83" s="186">
        <f ca="1">iRankMultiple!BN120</f>
        <v>15</v>
      </c>
      <c r="P83" s="187" t="str">
        <f ca="1">iRankMultiple!BO120</f>
        <v>Paraguay</v>
      </c>
      <c r="Q83" s="188">
        <f ca="1">iRankMultiple!BP120</f>
        <v>6752616.1527020195</v>
      </c>
      <c r="R83" s="189">
        <f ca="1">iRankMultiple!BQ120</f>
        <v>2012</v>
      </c>
      <c r="S83" s="185"/>
      <c r="T83" s="185">
        <f ca="1">iRankMultiple!BS120</f>
        <v>0</v>
      </c>
      <c r="U83" s="186" t="str">
        <f ca="1">iRankMultiple!BT120</f>
        <v/>
      </c>
      <c r="V83" s="187" t="str">
        <f ca="1">iRankMultiple!BU120</f>
        <v/>
      </c>
      <c r="W83" s="188" t="str">
        <f ca="1">iRankMultiple!BV120</f>
        <v/>
      </c>
      <c r="X83" s="189"/>
      <c r="Y83" s="185"/>
      <c r="Z83" s="185"/>
    </row>
    <row r="84" spans="1:26" ht="15" x14ac:dyDescent="0.25">
      <c r="A84" s="138"/>
      <c r="B84" s="185">
        <f ca="1">iRankMultiple!BA121</f>
        <v>1</v>
      </c>
      <c r="C84" s="186">
        <f ca="1">iRankMultiple!BB121</f>
        <v>16</v>
      </c>
      <c r="D84" s="187" t="str">
        <f ca="1">iRankMultiple!BC121</f>
        <v>Dominican Republic</v>
      </c>
      <c r="E84" s="188">
        <f ca="1">iRankMultiple!BD121</f>
        <v>5487326.78623203</v>
      </c>
      <c r="F84" s="189">
        <f ca="1">iRankMultiple!BE121</f>
        <v>2012</v>
      </c>
      <c r="G84" s="185"/>
      <c r="H84" s="185">
        <f ca="1">iRankMultiple!BG121</f>
        <v>1</v>
      </c>
      <c r="I84" s="186">
        <f ca="1">iRankMultiple!BH121</f>
        <v>16</v>
      </c>
      <c r="J84" s="187" t="str">
        <f ca="1">iRankMultiple!BI121</f>
        <v>El Salvador</v>
      </c>
      <c r="K84" s="248">
        <f ca="1">iRankMultiple!BJ121</f>
        <v>10.26962660621</v>
      </c>
      <c r="L84" s="189">
        <f ca="1">iRankMultiple!BK121</f>
        <v>2012</v>
      </c>
      <c r="M84" s="185"/>
      <c r="N84" s="185">
        <f ca="1">iRankMultiple!BM121</f>
        <v>1</v>
      </c>
      <c r="O84" s="186">
        <f ca="1">iRankMultiple!BN121</f>
        <v>16</v>
      </c>
      <c r="P84" s="187" t="str">
        <f ca="1">iRankMultiple!BO121</f>
        <v>Uruguay</v>
      </c>
      <c r="Q84" s="188">
        <f ca="1">iRankMultiple!BP121</f>
        <v>5859956.7151799798</v>
      </c>
      <c r="R84" s="189">
        <f ca="1">iRankMultiple!BQ121</f>
        <v>2012</v>
      </c>
      <c r="S84" s="185"/>
      <c r="T84" s="185">
        <f ca="1">iRankMultiple!BS121</f>
        <v>0</v>
      </c>
      <c r="U84" s="186" t="str">
        <f ca="1">iRankMultiple!BT121</f>
        <v/>
      </c>
      <c r="V84" s="187" t="str">
        <f ca="1">iRankMultiple!BU121</f>
        <v/>
      </c>
      <c r="W84" s="188" t="str">
        <f ca="1">iRankMultiple!BV121</f>
        <v/>
      </c>
      <c r="X84" s="189"/>
      <c r="Y84" s="185"/>
      <c r="Z84" s="185"/>
    </row>
    <row r="85" spans="1:26" ht="15" x14ac:dyDescent="0.25">
      <c r="A85" s="138"/>
      <c r="B85" s="185">
        <f ca="1">iRankMultiple!BA122</f>
        <v>1</v>
      </c>
      <c r="C85" s="186">
        <f ca="1">iRankMultiple!BB122</f>
        <v>17</v>
      </c>
      <c r="D85" s="187" t="str">
        <f ca="1">iRankMultiple!BC122</f>
        <v>Honduras</v>
      </c>
      <c r="E85" s="188">
        <f ca="1">iRankMultiple!BD122</f>
        <v>3286099</v>
      </c>
      <c r="F85" s="189">
        <f ca="1">iRankMultiple!BE122</f>
        <v>2012</v>
      </c>
      <c r="G85" s="185"/>
      <c r="H85" s="185">
        <f ca="1">iRankMultiple!BG122</f>
        <v>1</v>
      </c>
      <c r="I85" s="186">
        <f ca="1">iRankMultiple!BH122</f>
        <v>17</v>
      </c>
      <c r="J85" s="187" t="str">
        <f ca="1">iRankMultiple!BI122</f>
        <v>Trinidad and Tobago</v>
      </c>
      <c r="K85" s="248">
        <f ca="1">iRankMultiple!BJ122</f>
        <v>10.04832</v>
      </c>
      <c r="L85" s="189">
        <f ca="1">iRankMultiple!BK122</f>
        <v>2012</v>
      </c>
      <c r="M85" s="185"/>
      <c r="N85" s="185">
        <f ca="1">iRankMultiple!BM122</f>
        <v>1</v>
      </c>
      <c r="O85" s="186">
        <f ca="1">iRankMultiple!BN122</f>
        <v>17</v>
      </c>
      <c r="P85" s="187" t="str">
        <f ca="1">iRankMultiple!BO122</f>
        <v>Honduras</v>
      </c>
      <c r="Q85" s="188">
        <f ca="1">iRankMultiple!BP122</f>
        <v>5245343.7580000004</v>
      </c>
      <c r="R85" s="189">
        <f ca="1">iRankMultiple!BQ122</f>
        <v>2012</v>
      </c>
      <c r="S85" s="185"/>
      <c r="T85" s="185">
        <f ca="1">iRankMultiple!BS122</f>
        <v>0</v>
      </c>
      <c r="U85" s="186" t="str">
        <f ca="1">iRankMultiple!BT122</f>
        <v/>
      </c>
      <c r="V85" s="187" t="str">
        <f ca="1">iRankMultiple!BU122</f>
        <v/>
      </c>
      <c r="W85" s="188" t="str">
        <f ca="1">iRankMultiple!BV122</f>
        <v/>
      </c>
      <c r="X85" s="189"/>
      <c r="Y85" s="185"/>
      <c r="Z85" s="185"/>
    </row>
    <row r="86" spans="1:26" ht="15" x14ac:dyDescent="0.25">
      <c r="A86" s="138"/>
      <c r="B86" s="185">
        <f ca="1">iRankMultiple!BA123</f>
        <v>1</v>
      </c>
      <c r="C86" s="186">
        <f ca="1">iRankMultiple!BB123</f>
        <v>18</v>
      </c>
      <c r="D86" s="187" t="str">
        <f ca="1">iRankMultiple!BC123</f>
        <v>El Salvador</v>
      </c>
      <c r="E86" s="188">
        <f ca="1">iRankMultiple!BD123</f>
        <v>2838803.64756</v>
      </c>
      <c r="F86" s="189">
        <f ca="1">iRankMultiple!BE123</f>
        <v>2012</v>
      </c>
      <c r="G86" s="185"/>
      <c r="H86" s="185">
        <f ca="1">iRankMultiple!BG123</f>
        <v>1</v>
      </c>
      <c r="I86" s="186">
        <f ca="1">iRankMultiple!BH123</f>
        <v>18</v>
      </c>
      <c r="J86" s="187" t="str">
        <f ca="1">iRankMultiple!BI123</f>
        <v>Bolivia</v>
      </c>
      <c r="K86" s="248">
        <f ca="1">iRankMultiple!BJ123</f>
        <v>8.2590508000000007</v>
      </c>
      <c r="L86" s="189">
        <f ca="1">iRankMultiple!BK123</f>
        <v>2012</v>
      </c>
      <c r="M86" s="185"/>
      <c r="N86" s="185">
        <f ca="1">iRankMultiple!BM123</f>
        <v>1</v>
      </c>
      <c r="O86" s="186">
        <f ca="1">iRankMultiple!BN123</f>
        <v>18</v>
      </c>
      <c r="P86" s="187" t="str">
        <f ca="1">iRankMultiple!BO123</f>
        <v>Bolivia</v>
      </c>
      <c r="Q86" s="188">
        <f ca="1">iRankMultiple!BP123</f>
        <v>4569815.2920000004</v>
      </c>
      <c r="R86" s="189">
        <f ca="1">iRankMultiple!BQ123</f>
        <v>2012</v>
      </c>
      <c r="S86" s="185"/>
      <c r="T86" s="185">
        <f ca="1">iRankMultiple!BS123</f>
        <v>0</v>
      </c>
      <c r="U86" s="186" t="str">
        <f ca="1">iRankMultiple!BT123</f>
        <v/>
      </c>
      <c r="V86" s="187" t="str">
        <f ca="1">iRankMultiple!BU123</f>
        <v/>
      </c>
      <c r="W86" s="188" t="str">
        <f ca="1">iRankMultiple!BV123</f>
        <v/>
      </c>
      <c r="X86" s="189"/>
      <c r="Y86" s="185"/>
      <c r="Z86" s="185"/>
    </row>
    <row r="87" spans="1:26" ht="15" x14ac:dyDescent="0.25">
      <c r="A87" s="138"/>
      <c r="B87" s="185">
        <f ca="1">iRankMultiple!BA124</f>
        <v>1</v>
      </c>
      <c r="C87" s="186">
        <f ca="1">iRankMultiple!BB124</f>
        <v>19</v>
      </c>
      <c r="D87" s="187" t="str">
        <f ca="1">iRankMultiple!BC124</f>
        <v>Bahamas</v>
      </c>
      <c r="E87" s="188">
        <f ca="1">iRankMultiple!BD124</f>
        <v>2795797.8879999998</v>
      </c>
      <c r="F87" s="189">
        <f ca="1">iRankMultiple!BE124</f>
        <v>2012</v>
      </c>
      <c r="G87" s="185"/>
      <c r="H87" s="185">
        <f ca="1">iRankMultiple!BG124</f>
        <v>1</v>
      </c>
      <c r="I87" s="186">
        <f ca="1">iRankMultiple!BH124</f>
        <v>19</v>
      </c>
      <c r="J87" s="187" t="str">
        <f ca="1">iRankMultiple!BI124</f>
        <v>Nicaragua</v>
      </c>
      <c r="K87" s="248">
        <f ca="1">iRankMultiple!BJ124</f>
        <v>6.5632222999999996</v>
      </c>
      <c r="L87" s="189">
        <f ca="1">iRankMultiple!BK124</f>
        <v>2012</v>
      </c>
      <c r="M87" s="185"/>
      <c r="N87" s="185">
        <f ca="1">iRankMultiple!BM124</f>
        <v>1</v>
      </c>
      <c r="O87" s="186">
        <f ca="1">iRankMultiple!BN124</f>
        <v>19</v>
      </c>
      <c r="P87" s="187" t="str">
        <f ca="1">iRankMultiple!BO124</f>
        <v>Nicaragua</v>
      </c>
      <c r="Q87" s="188">
        <f ca="1">iRankMultiple!BP124</f>
        <v>4246163.4800000004</v>
      </c>
      <c r="R87" s="189">
        <f ca="1">iRankMultiple!BQ124</f>
        <v>2012</v>
      </c>
      <c r="S87" s="185"/>
      <c r="T87" s="185">
        <f ca="1">iRankMultiple!BS124</f>
        <v>0</v>
      </c>
      <c r="U87" s="186" t="str">
        <f ca="1">iRankMultiple!BT124</f>
        <v/>
      </c>
      <c r="V87" s="187" t="str">
        <f ca="1">iRankMultiple!BU124</f>
        <v/>
      </c>
      <c r="W87" s="188" t="str">
        <f ca="1">iRankMultiple!BV124</f>
        <v/>
      </c>
      <c r="X87" s="189"/>
      <c r="Y87" s="185"/>
      <c r="Z87" s="185"/>
    </row>
    <row r="88" spans="1:26" ht="15" x14ac:dyDescent="0.25">
      <c r="A88" s="138"/>
      <c r="B88" s="185">
        <f ca="1">iRankMultiple!BA125</f>
        <v>1</v>
      </c>
      <c r="C88" s="186">
        <f ca="1">iRankMultiple!BB125</f>
        <v>20</v>
      </c>
      <c r="D88" s="187" t="str">
        <f ca="1">iRankMultiple!BC125</f>
        <v>Panamá</v>
      </c>
      <c r="E88" s="188">
        <f ca="1">iRankMultiple!BD125</f>
        <v>2365909.659</v>
      </c>
      <c r="F88" s="189">
        <f ca="1">iRankMultiple!BE125</f>
        <v>2012</v>
      </c>
      <c r="G88" s="185"/>
      <c r="H88" s="185">
        <f ca="1">iRankMultiple!BG125</f>
        <v>1</v>
      </c>
      <c r="I88" s="186">
        <f ca="1">iRankMultiple!BH125</f>
        <v>20</v>
      </c>
      <c r="J88" s="187" t="str">
        <f ca="1">iRankMultiple!BI125</f>
        <v>Jamaica</v>
      </c>
      <c r="K88" s="248">
        <f ca="1">iRankMultiple!BJ125</f>
        <v>5.6</v>
      </c>
      <c r="L88" s="189">
        <f ca="1">iRankMultiple!BK125</f>
        <v>2012</v>
      </c>
      <c r="M88" s="185"/>
      <c r="N88" s="185">
        <f ca="1">iRankMultiple!BM125</f>
        <v>1</v>
      </c>
      <c r="O88" s="186">
        <f ca="1">iRankMultiple!BN125</f>
        <v>20</v>
      </c>
      <c r="P88" s="187" t="str">
        <f ca="1">iRankMultiple!BO125</f>
        <v>Suriname</v>
      </c>
      <c r="Q88" s="188">
        <f ca="1">iRankMultiple!BP125</f>
        <v>2842770.2149999999</v>
      </c>
      <c r="R88" s="189">
        <f ca="1">iRankMultiple!BQ125</f>
        <v>2012</v>
      </c>
      <c r="S88" s="185"/>
      <c r="T88" s="185">
        <f ca="1">iRankMultiple!BS125</f>
        <v>0</v>
      </c>
      <c r="U88" s="186" t="str">
        <f ca="1">iRankMultiple!BT125</f>
        <v/>
      </c>
      <c r="V88" s="187" t="str">
        <f ca="1">iRankMultiple!BU125</f>
        <v/>
      </c>
      <c r="W88" s="188" t="str">
        <f ca="1">iRankMultiple!BV125</f>
        <v/>
      </c>
      <c r="X88" s="189"/>
      <c r="Y88" s="185"/>
      <c r="Z88" s="185"/>
    </row>
    <row r="89" spans="1:26" ht="15" x14ac:dyDescent="0.25">
      <c r="A89" s="138"/>
      <c r="B89" s="185">
        <f ca="1">iRankMultiple!BA126</f>
        <v>1</v>
      </c>
      <c r="C89" s="186">
        <f ca="1">iRankMultiple!BB126</f>
        <v>21</v>
      </c>
      <c r="D89" s="187" t="str">
        <f ca="1">iRankMultiple!BC126</f>
        <v>Guyana</v>
      </c>
      <c r="E89" s="188">
        <f ca="1">iRankMultiple!BD126</f>
        <v>2029466.226</v>
      </c>
      <c r="F89" s="189">
        <f ca="1">iRankMultiple!BE126</f>
        <v>2012</v>
      </c>
      <c r="G89" s="185"/>
      <c r="H89" s="185">
        <f ca="1">iRankMultiple!BG126</f>
        <v>1</v>
      </c>
      <c r="I89" s="186">
        <f ca="1">iRankMultiple!BH126</f>
        <v>21</v>
      </c>
      <c r="J89" s="187" t="str">
        <f ca="1">iRankMultiple!BI126</f>
        <v>Bahamas</v>
      </c>
      <c r="K89" s="248">
        <f ca="1">iRankMultiple!BJ126</f>
        <v>3.4392111999999999</v>
      </c>
      <c r="L89" s="189">
        <f ca="1">iRankMultiple!BK126</f>
        <v>2012</v>
      </c>
      <c r="M89" s="185"/>
      <c r="N89" s="185">
        <f ca="1">iRankMultiple!BM126</f>
        <v>1</v>
      </c>
      <c r="O89" s="186">
        <f ca="1">iRankMultiple!BN126</f>
        <v>21</v>
      </c>
      <c r="P89" s="187" t="str">
        <f ca="1">iRankMultiple!BO126</f>
        <v>Bahamas</v>
      </c>
      <c r="Q89" s="188">
        <f ca="1">iRankMultiple!BP126</f>
        <v>1615219.2509999999</v>
      </c>
      <c r="R89" s="189">
        <f ca="1">iRankMultiple!BQ126</f>
        <v>2012</v>
      </c>
      <c r="S89" s="185"/>
      <c r="T89" s="185">
        <f ca="1">iRankMultiple!BS126</f>
        <v>0</v>
      </c>
      <c r="U89" s="186" t="str">
        <f ca="1">iRankMultiple!BT126</f>
        <v/>
      </c>
      <c r="V89" s="187" t="str">
        <f ca="1">iRankMultiple!BU126</f>
        <v/>
      </c>
      <c r="W89" s="188" t="str">
        <f ca="1">iRankMultiple!BV126</f>
        <v/>
      </c>
      <c r="X89" s="189"/>
      <c r="Y89" s="185"/>
      <c r="Z89" s="185"/>
    </row>
    <row r="90" spans="1:26" ht="15" x14ac:dyDescent="0.25">
      <c r="A90" s="138"/>
      <c r="B90" s="185">
        <f ca="1">iRankMultiple!BA127</f>
        <v>1</v>
      </c>
      <c r="C90" s="186">
        <f ca="1">iRankMultiple!BB127</f>
        <v>22</v>
      </c>
      <c r="D90" s="187" t="str">
        <f ca="1">iRankMultiple!BC127</f>
        <v>Nicaragua</v>
      </c>
      <c r="E90" s="188">
        <f ca="1">iRankMultiple!BD127</f>
        <v>1624135.206</v>
      </c>
      <c r="F90" s="189">
        <f ca="1">iRankMultiple!BE127</f>
        <v>2012</v>
      </c>
      <c r="G90" s="185"/>
      <c r="H90" s="185">
        <f ca="1">iRankMultiple!BG127</f>
        <v>1</v>
      </c>
      <c r="I90" s="186">
        <f ca="1">iRankMultiple!BH127</f>
        <v>22</v>
      </c>
      <c r="J90" s="187" t="str">
        <f ca="1">iRankMultiple!BI127</f>
        <v>Haiti</v>
      </c>
      <c r="K90" s="248">
        <f ca="1">iRankMultiple!BJ127</f>
        <v>2.7906300000000002</v>
      </c>
      <c r="L90" s="189">
        <f ca="1">iRankMultiple!BK127</f>
        <v>2012</v>
      </c>
      <c r="M90" s="185"/>
      <c r="N90" s="185">
        <f ca="1">iRankMultiple!BM127</f>
        <v>1</v>
      </c>
      <c r="O90" s="186">
        <f ca="1">iRankMultiple!BN127</f>
        <v>22</v>
      </c>
      <c r="P90" s="187" t="str">
        <f ca="1">iRankMultiple!BO127</f>
        <v>Barbados</v>
      </c>
      <c r="Q90" s="188">
        <f ca="1">iRankMultiple!BP127</f>
        <v>1146542.4569999999</v>
      </c>
      <c r="R90" s="189">
        <f ca="1">iRankMultiple!BQ127</f>
        <v>2012</v>
      </c>
      <c r="S90" s="185"/>
      <c r="T90" s="185">
        <f ca="1">iRankMultiple!BS127</f>
        <v>0</v>
      </c>
      <c r="U90" s="186" t="str">
        <f ca="1">iRankMultiple!BT127</f>
        <v/>
      </c>
      <c r="V90" s="187" t="str">
        <f ca="1">iRankMultiple!BU127</f>
        <v/>
      </c>
      <c r="W90" s="188" t="str">
        <f ca="1">iRankMultiple!BV127</f>
        <v/>
      </c>
      <c r="X90" s="189"/>
      <c r="Y90" s="185"/>
      <c r="Z90" s="185"/>
    </row>
    <row r="91" spans="1:26" ht="15" x14ac:dyDescent="0.25">
      <c r="A91" s="138"/>
      <c r="B91" s="185">
        <f ca="1">iRankMultiple!BA128</f>
        <v>1</v>
      </c>
      <c r="C91" s="186">
        <f ca="1">iRankMultiple!BB128</f>
        <v>23</v>
      </c>
      <c r="D91" s="187" t="str">
        <f ca="1">iRankMultiple!BC128</f>
        <v>Suriname</v>
      </c>
      <c r="E91" s="188">
        <f ca="1">iRankMultiple!BD128</f>
        <v>1228304.2109999999</v>
      </c>
      <c r="F91" s="189">
        <f ca="1">iRankMultiple!BE128</f>
        <v>2012</v>
      </c>
      <c r="G91" s="185"/>
      <c r="H91" s="185">
        <f ca="1">iRankMultiple!BG128</f>
        <v>1</v>
      </c>
      <c r="I91" s="186">
        <f ca="1">iRankMultiple!BH128</f>
        <v>23</v>
      </c>
      <c r="J91" s="187" t="str">
        <f ca="1">iRankMultiple!BI128</f>
        <v>Guyana</v>
      </c>
      <c r="K91" s="248">
        <f ca="1">iRankMultiple!BJ128</f>
        <v>1.9390000000000001</v>
      </c>
      <c r="L91" s="189">
        <f ca="1">iRankMultiple!BK128</f>
        <v>2012</v>
      </c>
      <c r="M91" s="185"/>
      <c r="N91" s="185">
        <f ca="1">iRankMultiple!BM128</f>
        <v>1</v>
      </c>
      <c r="O91" s="186">
        <f ca="1">iRankMultiple!BN128</f>
        <v>23</v>
      </c>
      <c r="P91" s="187" t="str">
        <f ca="1">iRankMultiple!BO128</f>
        <v>Guyana</v>
      </c>
      <c r="Q91" s="188">
        <f ca="1">iRankMultiple!BP128</f>
        <v>916122.44773120002</v>
      </c>
      <c r="R91" s="189">
        <f ca="1">iRankMultiple!BQ128</f>
        <v>2012</v>
      </c>
      <c r="S91" s="185"/>
      <c r="T91" s="185">
        <f ca="1">iRankMultiple!BS128</f>
        <v>0</v>
      </c>
      <c r="U91" s="186" t="str">
        <f ca="1">iRankMultiple!BT128</f>
        <v/>
      </c>
      <c r="V91" s="187" t="str">
        <f ca="1">iRankMultiple!BU128</f>
        <v/>
      </c>
      <c r="W91" s="188" t="str">
        <f ca="1">iRankMultiple!BV128</f>
        <v/>
      </c>
      <c r="X91" s="189"/>
      <c r="Y91" s="185"/>
      <c r="Z91" s="185"/>
    </row>
    <row r="92" spans="1:26" ht="15" x14ac:dyDescent="0.25">
      <c r="A92" s="138"/>
      <c r="B92" s="185">
        <f ca="1">iRankMultiple!BA129</f>
        <v>1</v>
      </c>
      <c r="C92" s="186">
        <f ca="1">iRankMultiple!BB129</f>
        <v>24</v>
      </c>
      <c r="D92" s="187" t="str">
        <f ca="1">iRankMultiple!BC129</f>
        <v>Barbados</v>
      </c>
      <c r="E92" s="188">
        <f ca="1">iRankMultiple!BD129</f>
        <v>499678.22700000001</v>
      </c>
      <c r="F92" s="189">
        <f ca="1">iRankMultiple!BE129</f>
        <v>2012</v>
      </c>
      <c r="G92" s="185"/>
      <c r="H92" s="185">
        <f ca="1">iRankMultiple!BG129</f>
        <v>1</v>
      </c>
      <c r="I92" s="186">
        <f ca="1">iRankMultiple!BH129</f>
        <v>24</v>
      </c>
      <c r="J92" s="187" t="str">
        <f ca="1">iRankMultiple!BI129</f>
        <v>Barbados</v>
      </c>
      <c r="K92" s="248">
        <f ca="1">iRankMultiple!BJ129</f>
        <v>1.8449346</v>
      </c>
      <c r="L92" s="189">
        <f ca="1">iRankMultiple!BK129</f>
        <v>2012</v>
      </c>
      <c r="M92" s="185"/>
      <c r="N92" s="185">
        <f ca="1">iRankMultiple!BM129</f>
        <v>1</v>
      </c>
      <c r="O92" s="186">
        <f ca="1">iRankMultiple!BN129</f>
        <v>24</v>
      </c>
      <c r="P92" s="187" t="str">
        <f ca="1">iRankMultiple!BO129</f>
        <v>Belize</v>
      </c>
      <c r="Q92" s="188">
        <f ca="1">iRankMultiple!BP129</f>
        <v>413482.45328604401</v>
      </c>
      <c r="R92" s="189">
        <f ca="1">iRankMultiple!BQ129</f>
        <v>2012</v>
      </c>
      <c r="S92" s="185"/>
      <c r="T92" s="185">
        <f ca="1">iRankMultiple!BS129</f>
        <v>0</v>
      </c>
      <c r="U92" s="186" t="str">
        <f ca="1">iRankMultiple!BT129</f>
        <v/>
      </c>
      <c r="V92" s="187" t="str">
        <f ca="1">iRankMultiple!BU129</f>
        <v/>
      </c>
      <c r="W92" s="188" t="str">
        <f ca="1">iRankMultiple!BV129</f>
        <v/>
      </c>
      <c r="X92" s="189"/>
      <c r="Y92" s="185"/>
      <c r="Z92" s="185"/>
    </row>
    <row r="93" spans="1:26" ht="15" x14ac:dyDescent="0.25">
      <c r="A93" s="138"/>
      <c r="B93" s="185">
        <f ca="1">iRankMultiple!BA130</f>
        <v>1</v>
      </c>
      <c r="C93" s="186">
        <f ca="1">iRankMultiple!BB130</f>
        <v>25</v>
      </c>
      <c r="D93" s="187" t="str">
        <f ca="1">iRankMultiple!BC130</f>
        <v>Belize</v>
      </c>
      <c r="E93" s="188">
        <f ca="1">iRankMultiple!BD130</f>
        <v>352043.95699999999</v>
      </c>
      <c r="F93" s="189">
        <f ca="1">iRankMultiple!BE130</f>
        <v>2012</v>
      </c>
      <c r="G93" s="185"/>
      <c r="H93" s="185">
        <f ca="1">iRankMultiple!BG130</f>
        <v>1</v>
      </c>
      <c r="I93" s="186">
        <f ca="1">iRankMultiple!BH130</f>
        <v>25</v>
      </c>
      <c r="J93" s="187" t="str">
        <f ca="1">iRankMultiple!BI130</f>
        <v>Suriname</v>
      </c>
      <c r="K93" s="248">
        <f ca="1">iRankMultiple!BJ130</f>
        <v>1.36799</v>
      </c>
      <c r="L93" s="189">
        <f ca="1">iRankMultiple!BK130</f>
        <v>2012</v>
      </c>
      <c r="M93" s="185"/>
      <c r="N93" s="185">
        <f ca="1">iRankMultiple!BM130</f>
        <v>1</v>
      </c>
      <c r="O93" s="186" t="str">
        <f ca="1">iRankMultiple!BN130</f>
        <v/>
      </c>
      <c r="P93" s="187" t="str">
        <f ca="1">iRankMultiple!BO130</f>
        <v/>
      </c>
      <c r="Q93" s="188" t="str">
        <f ca="1">iRankMultiple!BP130</f>
        <v/>
      </c>
      <c r="R93" s="189" t="str">
        <f ca="1">iRankMultiple!BQ130</f>
        <v/>
      </c>
      <c r="S93" s="185"/>
      <c r="T93" s="185">
        <f ca="1">iRankMultiple!BS130</f>
        <v>0</v>
      </c>
      <c r="U93" s="186" t="str">
        <f ca="1">iRankMultiple!BT130</f>
        <v/>
      </c>
      <c r="V93" s="187" t="str">
        <f ca="1">iRankMultiple!BU130</f>
        <v/>
      </c>
      <c r="W93" s="188" t="str">
        <f ca="1">iRankMultiple!BV130</f>
        <v/>
      </c>
      <c r="X93" s="189"/>
      <c r="Y93" s="185"/>
      <c r="Z93" s="185"/>
    </row>
    <row r="94" spans="1:26" ht="15" x14ac:dyDescent="0.25">
      <c r="A94" s="138"/>
      <c r="B94" s="185">
        <f ca="1">iRankMultiple!BA131</f>
        <v>1</v>
      </c>
      <c r="C94" s="186" t="str">
        <f ca="1">iRankMultiple!BB131</f>
        <v/>
      </c>
      <c r="D94" s="187" t="str">
        <f ca="1">iRankMultiple!BC131</f>
        <v/>
      </c>
      <c r="E94" s="188" t="str">
        <f ca="1">iRankMultiple!BD131</f>
        <v/>
      </c>
      <c r="F94" s="189" t="str">
        <f ca="1">iRankMultiple!BE131</f>
        <v/>
      </c>
      <c r="G94" s="185"/>
      <c r="H94" s="185">
        <f ca="1">iRankMultiple!BG131</f>
        <v>1</v>
      </c>
      <c r="I94" s="186">
        <f ca="1">iRankMultiple!BH131</f>
        <v>26</v>
      </c>
      <c r="J94" s="187" t="str">
        <f ca="1">iRankMultiple!BI131</f>
        <v>Belize</v>
      </c>
      <c r="K94" s="248">
        <f ca="1">iRankMultiple!BJ131</f>
        <v>0.82399999999999995</v>
      </c>
      <c r="L94" s="189">
        <f ca="1">iRankMultiple!BK131</f>
        <v>2012</v>
      </c>
      <c r="M94" s="185"/>
      <c r="N94" s="185">
        <f ca="1">iRankMultiple!BM131</f>
        <v>1</v>
      </c>
      <c r="O94" s="186" t="str">
        <f ca="1">iRankMultiple!BN131</f>
        <v/>
      </c>
      <c r="P94" s="187" t="str">
        <f ca="1">iRankMultiple!BO131</f>
        <v/>
      </c>
      <c r="Q94" s="188" t="str">
        <f ca="1">iRankMultiple!BP131</f>
        <v/>
      </c>
      <c r="R94" s="189" t="str">
        <f ca="1">iRankMultiple!BQ131</f>
        <v/>
      </c>
      <c r="S94" s="185"/>
      <c r="T94" s="185">
        <f ca="1">iRankMultiple!BS131</f>
        <v>0</v>
      </c>
      <c r="U94" s="186" t="str">
        <f ca="1">iRankMultiple!BT131</f>
        <v/>
      </c>
      <c r="V94" s="187" t="str">
        <f ca="1">iRankMultiple!BU131</f>
        <v/>
      </c>
      <c r="W94" s="188" t="str">
        <f ca="1">iRankMultiple!BV131</f>
        <v/>
      </c>
      <c r="X94" s="189" t="str">
        <f ca="1">iRankMultiple!BW131</f>
        <v/>
      </c>
      <c r="Y94" s="185"/>
      <c r="Z94" s="185"/>
    </row>
    <row r="95" spans="1:26" ht="15" x14ac:dyDescent="0.25">
      <c r="A95" s="138"/>
      <c r="B95" s="185"/>
      <c r="C95" s="186"/>
      <c r="D95" s="187"/>
      <c r="E95" s="188"/>
      <c r="F95" s="189"/>
      <c r="G95" s="185"/>
      <c r="H95" s="185"/>
      <c r="I95" s="186"/>
      <c r="J95" s="187"/>
      <c r="K95" s="188"/>
      <c r="L95" s="189"/>
      <c r="M95" s="185"/>
      <c r="N95" s="185"/>
      <c r="O95" s="186"/>
      <c r="P95" s="187"/>
      <c r="Q95" s="188"/>
      <c r="R95" s="189"/>
      <c r="S95" s="185"/>
      <c r="T95" s="185"/>
      <c r="U95" s="186"/>
      <c r="V95" s="187"/>
      <c r="W95" s="188"/>
      <c r="X95" s="189"/>
      <c r="Y95" s="185"/>
      <c r="Z95" s="185"/>
    </row>
    <row r="96" spans="1:26" ht="14.45" hidden="1" x14ac:dyDescent="0.3">
      <c r="A96" s="138"/>
      <c r="B96" s="185"/>
      <c r="C96" s="186"/>
      <c r="D96" s="187"/>
      <c r="E96" s="188"/>
      <c r="F96" s="189"/>
      <c r="G96" s="185"/>
      <c r="H96" s="185"/>
      <c r="I96" s="186"/>
      <c r="J96" s="187"/>
      <c r="K96" s="188"/>
      <c r="L96" s="189"/>
      <c r="M96" s="185"/>
      <c r="N96" s="185"/>
      <c r="O96" s="186"/>
      <c r="P96" s="187"/>
      <c r="Q96" s="188"/>
      <c r="R96" s="189"/>
      <c r="S96" s="185"/>
      <c r="T96" s="185"/>
      <c r="U96" s="186"/>
      <c r="V96" s="187"/>
      <c r="W96" s="188"/>
      <c r="X96" s="189"/>
      <c r="Y96" s="185"/>
      <c r="Z96" s="185"/>
    </row>
    <row r="97" spans="1:27" s="25" customFormat="1" ht="14.45" hidden="1" x14ac:dyDescent="0.3">
      <c r="A97" s="116"/>
      <c r="B97" s="116"/>
      <c r="C97" s="268" t="str">
        <f>iRankMultiple!BZ102</f>
        <v/>
      </c>
      <c r="D97" s="268"/>
      <c r="E97" s="268"/>
      <c r="F97" s="268"/>
      <c r="G97" s="116"/>
      <c r="H97" s="190"/>
      <c r="I97" s="268" t="str">
        <f>iRankMultiple!CF102</f>
        <v/>
      </c>
      <c r="J97" s="268"/>
      <c r="K97" s="268"/>
      <c r="L97" s="268"/>
      <c r="M97" s="116"/>
      <c r="N97" s="190"/>
      <c r="O97" s="268" t="str">
        <f>iRankMultiple!CL102</f>
        <v/>
      </c>
      <c r="P97" s="268"/>
      <c r="Q97" s="268"/>
      <c r="R97" s="268"/>
      <c r="S97" s="190"/>
      <c r="T97" s="190"/>
      <c r="U97" s="268" t="str">
        <f>iRankMultiple!CR102</f>
        <v/>
      </c>
      <c r="V97" s="268"/>
      <c r="W97" s="268"/>
      <c r="X97" s="268"/>
      <c r="Y97" s="184"/>
      <c r="Z97" s="184"/>
      <c r="AA97" s="183"/>
    </row>
    <row r="98" spans="1:27" s="40" customFormat="1" ht="30" hidden="1" customHeight="1" x14ac:dyDescent="0.3">
      <c r="A98" s="116"/>
      <c r="B98" s="116"/>
      <c r="C98" s="266" t="str">
        <f>iRankMultiple!BZ103</f>
        <v/>
      </c>
      <c r="D98" s="266"/>
      <c r="E98" s="266"/>
      <c r="F98" s="266"/>
      <c r="G98" s="116"/>
      <c r="H98" s="191"/>
      <c r="I98" s="266" t="str">
        <f>iRankMultiple!CF103</f>
        <v/>
      </c>
      <c r="J98" s="266"/>
      <c r="K98" s="266"/>
      <c r="L98" s="266"/>
      <c r="M98" s="116"/>
      <c r="N98" s="191"/>
      <c r="O98" s="266" t="str">
        <f>iRankMultiple!CL103</f>
        <v/>
      </c>
      <c r="P98" s="266"/>
      <c r="Q98" s="266"/>
      <c r="R98" s="266"/>
      <c r="S98" s="191"/>
      <c r="T98" s="191"/>
      <c r="U98" s="266" t="str">
        <f>iRankMultiple!CR103</f>
        <v/>
      </c>
      <c r="V98" s="266"/>
      <c r="W98" s="266"/>
      <c r="X98" s="266"/>
      <c r="Y98" s="184"/>
      <c r="Z98" s="184"/>
      <c r="AA98" s="148"/>
    </row>
    <row r="99" spans="1:27" ht="13.5" hidden="1" customHeight="1" x14ac:dyDescent="0.3">
      <c r="A99" s="116"/>
      <c r="B99" s="116"/>
      <c r="C99" s="267" t="str">
        <f>iRankMultiple!BZ104</f>
        <v/>
      </c>
      <c r="D99" s="267"/>
      <c r="E99" s="267"/>
      <c r="F99" s="267"/>
      <c r="G99" s="116"/>
      <c r="H99" s="184"/>
      <c r="I99" s="267" t="str">
        <f>iRankMultiple!CF104</f>
        <v/>
      </c>
      <c r="J99" s="267"/>
      <c r="K99" s="267"/>
      <c r="L99" s="267"/>
      <c r="M99" s="116"/>
      <c r="N99" s="184"/>
      <c r="O99" s="267" t="str">
        <f>iRankMultiple!CL104</f>
        <v/>
      </c>
      <c r="P99" s="267"/>
      <c r="Q99" s="267"/>
      <c r="R99" s="267"/>
      <c r="S99" s="184"/>
      <c r="T99" s="184"/>
      <c r="U99" s="267" t="str">
        <f>iRankMultiple!CR104</f>
        <v/>
      </c>
      <c r="V99" s="267"/>
      <c r="W99" s="267"/>
      <c r="X99" s="267"/>
      <c r="Y99" s="184"/>
      <c r="Z99" s="184"/>
    </row>
    <row r="100" spans="1:27" ht="14.45" hidden="1" x14ac:dyDescent="0.3">
      <c r="A100" s="138"/>
      <c r="B100" s="138">
        <f ca="1">iRankMultiple!BY106</f>
        <v>0</v>
      </c>
      <c r="C100" s="186" t="str">
        <f ca="1">iRankMultiple!BZ106</f>
        <v/>
      </c>
      <c r="D100" s="187" t="str">
        <f ca="1">iRankMultiple!CA106</f>
        <v/>
      </c>
      <c r="E100" s="188" t="str">
        <f ca="1">iRankMultiple!CB106</f>
        <v/>
      </c>
      <c r="F100" s="189" t="str">
        <f ca="1">iRankMultiple!CC106</f>
        <v/>
      </c>
      <c r="G100" s="185"/>
      <c r="H100" s="185">
        <f ca="1">iRankMultiple!CE106</f>
        <v>0</v>
      </c>
      <c r="I100" s="186" t="str">
        <f ca="1">iRankMultiple!CF106</f>
        <v/>
      </c>
      <c r="J100" s="187" t="str">
        <f ca="1">iRankMultiple!CG106</f>
        <v/>
      </c>
      <c r="K100" s="188" t="str">
        <f ca="1">iRankMultiple!CH106</f>
        <v/>
      </c>
      <c r="L100" s="189" t="str">
        <f ca="1">iRankMultiple!CI106</f>
        <v/>
      </c>
      <c r="M100" s="138"/>
      <c r="N100" s="185">
        <f ca="1">iRankMultiple!CK106</f>
        <v>0</v>
      </c>
      <c r="O100" s="186" t="str">
        <f ca="1">iRankMultiple!CL106</f>
        <v/>
      </c>
      <c r="P100" s="187" t="str">
        <f ca="1">iRankMultiple!CM106</f>
        <v/>
      </c>
      <c r="Q100" s="188" t="str">
        <f ca="1">iRankMultiple!CN106</f>
        <v/>
      </c>
      <c r="R100" s="189" t="str">
        <f ca="1">iRankMultiple!CO106</f>
        <v/>
      </c>
      <c r="S100" s="185"/>
      <c r="T100" s="185">
        <f ca="1">iRankMultiple!CQ106</f>
        <v>0</v>
      </c>
      <c r="U100" s="186" t="str">
        <f ca="1">iRankMultiple!CR106</f>
        <v/>
      </c>
      <c r="V100" s="187" t="str">
        <f ca="1">iRankMultiple!CS106</f>
        <v/>
      </c>
      <c r="W100" s="188" t="str">
        <f ca="1">iRankMultiple!CT106</f>
        <v/>
      </c>
      <c r="X100" s="189" t="str">
        <f ca="1">iRankMultiple!CU106</f>
        <v/>
      </c>
      <c r="Y100" s="185"/>
      <c r="Z100" s="185"/>
    </row>
    <row r="101" spans="1:27" ht="14.45" hidden="1" x14ac:dyDescent="0.3">
      <c r="A101" s="138"/>
      <c r="B101" s="185">
        <f ca="1">iRankMultiple!BY107</f>
        <v>0</v>
      </c>
      <c r="C101" s="186" t="str">
        <f ca="1">iRankMultiple!BZ107</f>
        <v/>
      </c>
      <c r="D101" s="187" t="str">
        <f ca="1">iRankMultiple!CA107</f>
        <v/>
      </c>
      <c r="E101" s="188" t="str">
        <f ca="1">iRankMultiple!CB107</f>
        <v/>
      </c>
      <c r="F101" s="189" t="str">
        <f ca="1">iRankMultiple!CC107</f>
        <v/>
      </c>
      <c r="G101" s="185"/>
      <c r="H101" s="185">
        <f ca="1">iRankMultiple!CE107</f>
        <v>0</v>
      </c>
      <c r="I101" s="186" t="str">
        <f ca="1">iRankMultiple!CF107</f>
        <v/>
      </c>
      <c r="J101" s="187" t="str">
        <f ca="1">iRankMultiple!CG107</f>
        <v/>
      </c>
      <c r="K101" s="188" t="str">
        <f ca="1">iRankMultiple!CH107</f>
        <v/>
      </c>
      <c r="L101" s="189" t="str">
        <f ca="1">iRankMultiple!CI107</f>
        <v/>
      </c>
      <c r="M101" s="138"/>
      <c r="N101" s="185">
        <f ca="1">iRankMultiple!CK107</f>
        <v>0</v>
      </c>
      <c r="O101" s="186" t="str">
        <f ca="1">iRankMultiple!CL107</f>
        <v/>
      </c>
      <c r="P101" s="187" t="str">
        <f ca="1">iRankMultiple!CM107</f>
        <v/>
      </c>
      <c r="Q101" s="188" t="str">
        <f ca="1">iRankMultiple!CN107</f>
        <v/>
      </c>
      <c r="R101" s="189" t="str">
        <f ca="1">iRankMultiple!CO107</f>
        <v/>
      </c>
      <c r="S101" s="185"/>
      <c r="T101" s="185">
        <f ca="1">iRankMultiple!CQ107</f>
        <v>0</v>
      </c>
      <c r="U101" s="186" t="str">
        <f ca="1">iRankMultiple!CR107</f>
        <v/>
      </c>
      <c r="V101" s="187" t="str">
        <f ca="1">iRankMultiple!CS107</f>
        <v/>
      </c>
      <c r="W101" s="188" t="str">
        <f ca="1">iRankMultiple!CT107</f>
        <v/>
      </c>
      <c r="X101" s="189" t="str">
        <f ca="1">iRankMultiple!CU107</f>
        <v/>
      </c>
      <c r="Y101" s="185"/>
      <c r="Z101" s="185"/>
    </row>
    <row r="102" spans="1:27" ht="14.45" hidden="1" x14ac:dyDescent="0.3">
      <c r="A102" s="138"/>
      <c r="B102" s="185">
        <f ca="1">iRankMultiple!BY108</f>
        <v>0</v>
      </c>
      <c r="C102" s="186" t="str">
        <f ca="1">iRankMultiple!BZ108</f>
        <v/>
      </c>
      <c r="D102" s="187" t="str">
        <f ca="1">iRankMultiple!CA108</f>
        <v/>
      </c>
      <c r="E102" s="188" t="str">
        <f ca="1">iRankMultiple!CB108</f>
        <v/>
      </c>
      <c r="F102" s="189" t="str">
        <f ca="1">iRankMultiple!CC108</f>
        <v/>
      </c>
      <c r="G102" s="185"/>
      <c r="H102" s="185">
        <f ca="1">iRankMultiple!CE108</f>
        <v>0</v>
      </c>
      <c r="I102" s="186" t="str">
        <f ca="1">iRankMultiple!CF108</f>
        <v/>
      </c>
      <c r="J102" s="187" t="str">
        <f ca="1">iRankMultiple!CG108</f>
        <v/>
      </c>
      <c r="K102" s="188" t="str">
        <f ca="1">iRankMultiple!CH108</f>
        <v/>
      </c>
      <c r="L102" s="189" t="str">
        <f ca="1">iRankMultiple!CI108</f>
        <v/>
      </c>
      <c r="M102" s="185"/>
      <c r="N102" s="185">
        <f ca="1">iRankMultiple!CK108</f>
        <v>0</v>
      </c>
      <c r="O102" s="186" t="str">
        <f ca="1">iRankMultiple!CL108</f>
        <v/>
      </c>
      <c r="P102" s="187" t="str">
        <f ca="1">iRankMultiple!CM108</f>
        <v/>
      </c>
      <c r="Q102" s="188" t="str">
        <f ca="1">iRankMultiple!CN108</f>
        <v/>
      </c>
      <c r="R102" s="189" t="str">
        <f ca="1">iRankMultiple!CO108</f>
        <v/>
      </c>
      <c r="S102" s="185"/>
      <c r="T102" s="185">
        <f ca="1">iRankMultiple!CQ108</f>
        <v>0</v>
      </c>
      <c r="U102" s="186" t="str">
        <f ca="1">iRankMultiple!CR108</f>
        <v/>
      </c>
      <c r="V102" s="187" t="str">
        <f ca="1">iRankMultiple!CS108</f>
        <v/>
      </c>
      <c r="W102" s="188" t="str">
        <f ca="1">iRankMultiple!CT108</f>
        <v/>
      </c>
      <c r="X102" s="189" t="str">
        <f ca="1">iRankMultiple!CU108</f>
        <v/>
      </c>
      <c r="Y102" s="185"/>
      <c r="Z102" s="185"/>
    </row>
    <row r="103" spans="1:27" ht="14.45" hidden="1" x14ac:dyDescent="0.3">
      <c r="A103" s="138"/>
      <c r="B103" s="185">
        <f ca="1">iRankMultiple!BY109</f>
        <v>0</v>
      </c>
      <c r="C103" s="186" t="str">
        <f ca="1">iRankMultiple!BZ109</f>
        <v/>
      </c>
      <c r="D103" s="187" t="str">
        <f ca="1">iRankMultiple!CA109</f>
        <v/>
      </c>
      <c r="E103" s="188" t="str">
        <f ca="1">iRankMultiple!CB109</f>
        <v/>
      </c>
      <c r="F103" s="189" t="str">
        <f ca="1">iRankMultiple!CC109</f>
        <v/>
      </c>
      <c r="G103" s="185"/>
      <c r="H103" s="185">
        <f ca="1">iRankMultiple!CE109</f>
        <v>0</v>
      </c>
      <c r="I103" s="186" t="str">
        <f ca="1">iRankMultiple!CF109</f>
        <v/>
      </c>
      <c r="J103" s="187" t="str">
        <f ca="1">iRankMultiple!CG109</f>
        <v/>
      </c>
      <c r="K103" s="188" t="str">
        <f ca="1">iRankMultiple!CH109</f>
        <v/>
      </c>
      <c r="L103" s="189" t="str">
        <f ca="1">iRankMultiple!CI109</f>
        <v/>
      </c>
      <c r="M103" s="185"/>
      <c r="N103" s="185">
        <f ca="1">iRankMultiple!CK109</f>
        <v>0</v>
      </c>
      <c r="O103" s="186" t="str">
        <f ca="1">iRankMultiple!CL109</f>
        <v/>
      </c>
      <c r="P103" s="187" t="str">
        <f ca="1">iRankMultiple!CM109</f>
        <v/>
      </c>
      <c r="Q103" s="188" t="str">
        <f ca="1">iRankMultiple!CN109</f>
        <v/>
      </c>
      <c r="R103" s="189" t="str">
        <f ca="1">iRankMultiple!CO109</f>
        <v/>
      </c>
      <c r="S103" s="185"/>
      <c r="T103" s="185">
        <f ca="1">iRankMultiple!CQ109</f>
        <v>0</v>
      </c>
      <c r="U103" s="186" t="str">
        <f ca="1">iRankMultiple!CR109</f>
        <v/>
      </c>
      <c r="V103" s="187" t="str">
        <f ca="1">iRankMultiple!CS109</f>
        <v/>
      </c>
      <c r="W103" s="188" t="str">
        <f ca="1">iRankMultiple!CT109</f>
        <v/>
      </c>
      <c r="X103" s="189" t="str">
        <f ca="1">iRankMultiple!CU109</f>
        <v/>
      </c>
      <c r="Y103" s="185"/>
      <c r="Z103" s="185"/>
    </row>
    <row r="104" spans="1:27" ht="14.45" hidden="1" x14ac:dyDescent="0.3">
      <c r="A104" s="138"/>
      <c r="B104" s="185">
        <f ca="1">iRankMultiple!BY110</f>
        <v>0</v>
      </c>
      <c r="C104" s="186" t="str">
        <f ca="1">iRankMultiple!BZ110</f>
        <v/>
      </c>
      <c r="D104" s="187" t="str">
        <f ca="1">iRankMultiple!CA110</f>
        <v/>
      </c>
      <c r="E104" s="188" t="str">
        <f ca="1">iRankMultiple!CB110</f>
        <v/>
      </c>
      <c r="F104" s="189" t="str">
        <f ca="1">iRankMultiple!CC110</f>
        <v/>
      </c>
      <c r="G104" s="185"/>
      <c r="H104" s="185">
        <f ca="1">iRankMultiple!CE110</f>
        <v>0</v>
      </c>
      <c r="I104" s="186" t="str">
        <f ca="1">iRankMultiple!CF110</f>
        <v/>
      </c>
      <c r="J104" s="187" t="str">
        <f ca="1">iRankMultiple!CG110</f>
        <v/>
      </c>
      <c r="K104" s="188" t="str">
        <f ca="1">iRankMultiple!CH110</f>
        <v/>
      </c>
      <c r="L104" s="189" t="str">
        <f ca="1">iRankMultiple!CI110</f>
        <v/>
      </c>
      <c r="M104" s="185"/>
      <c r="N104" s="185">
        <f ca="1">iRankMultiple!CK110</f>
        <v>0</v>
      </c>
      <c r="O104" s="186" t="str">
        <f ca="1">iRankMultiple!CL110</f>
        <v/>
      </c>
      <c r="P104" s="187" t="str">
        <f ca="1">iRankMultiple!CM110</f>
        <v/>
      </c>
      <c r="Q104" s="188" t="str">
        <f ca="1">iRankMultiple!CN110</f>
        <v/>
      </c>
      <c r="R104" s="189" t="str">
        <f ca="1">iRankMultiple!CO110</f>
        <v/>
      </c>
      <c r="S104" s="185"/>
      <c r="T104" s="185">
        <f ca="1">iRankMultiple!CQ110</f>
        <v>0</v>
      </c>
      <c r="U104" s="186" t="str">
        <f ca="1">iRankMultiple!CR110</f>
        <v/>
      </c>
      <c r="V104" s="187" t="str">
        <f ca="1">iRankMultiple!CS110</f>
        <v/>
      </c>
      <c r="W104" s="188" t="str">
        <f ca="1">iRankMultiple!CT110</f>
        <v/>
      </c>
      <c r="X104" s="189" t="str">
        <f ca="1">iRankMultiple!CU110</f>
        <v/>
      </c>
      <c r="Y104" s="185"/>
      <c r="Z104" s="185"/>
    </row>
    <row r="105" spans="1:27" ht="14.45" hidden="1" x14ac:dyDescent="0.3">
      <c r="A105" s="138"/>
      <c r="B105" s="185">
        <f ca="1">iRankMultiple!BY111</f>
        <v>0</v>
      </c>
      <c r="C105" s="186" t="str">
        <f ca="1">iRankMultiple!BZ111</f>
        <v/>
      </c>
      <c r="D105" s="187" t="str">
        <f ca="1">iRankMultiple!CA111</f>
        <v/>
      </c>
      <c r="E105" s="188" t="str">
        <f ca="1">iRankMultiple!CB111</f>
        <v/>
      </c>
      <c r="F105" s="189" t="str">
        <f ca="1">iRankMultiple!CC111</f>
        <v/>
      </c>
      <c r="G105" s="185"/>
      <c r="H105" s="185">
        <f ca="1">iRankMultiple!CE111</f>
        <v>0</v>
      </c>
      <c r="I105" s="186" t="str">
        <f ca="1">iRankMultiple!CF111</f>
        <v/>
      </c>
      <c r="J105" s="187" t="str">
        <f ca="1">iRankMultiple!CG111</f>
        <v/>
      </c>
      <c r="K105" s="188" t="str">
        <f ca="1">iRankMultiple!CH111</f>
        <v/>
      </c>
      <c r="L105" s="189" t="str">
        <f ca="1">iRankMultiple!CI111</f>
        <v/>
      </c>
      <c r="M105" s="185"/>
      <c r="N105" s="185">
        <f ca="1">iRankMultiple!CK111</f>
        <v>0</v>
      </c>
      <c r="O105" s="186" t="str">
        <f ca="1">iRankMultiple!CL111</f>
        <v/>
      </c>
      <c r="P105" s="187" t="str">
        <f ca="1">iRankMultiple!CM111</f>
        <v/>
      </c>
      <c r="Q105" s="188" t="str">
        <f ca="1">iRankMultiple!CN111</f>
        <v/>
      </c>
      <c r="R105" s="189" t="str">
        <f ca="1">iRankMultiple!CO111</f>
        <v/>
      </c>
      <c r="S105" s="185"/>
      <c r="T105" s="185">
        <f ca="1">iRankMultiple!CQ111</f>
        <v>0</v>
      </c>
      <c r="U105" s="186" t="str">
        <f ca="1">iRankMultiple!CR111</f>
        <v/>
      </c>
      <c r="V105" s="187" t="str">
        <f ca="1">iRankMultiple!CS111</f>
        <v/>
      </c>
      <c r="W105" s="188" t="str">
        <f ca="1">iRankMultiple!CT111</f>
        <v/>
      </c>
      <c r="X105" s="189" t="str">
        <f ca="1">iRankMultiple!CU111</f>
        <v/>
      </c>
      <c r="Y105" s="185"/>
      <c r="Z105" s="185"/>
    </row>
    <row r="106" spans="1:27" ht="14.45" hidden="1" x14ac:dyDescent="0.3">
      <c r="A106" s="138"/>
      <c r="B106" s="185">
        <f ca="1">iRankMultiple!BY112</f>
        <v>0</v>
      </c>
      <c r="C106" s="186" t="str">
        <f ca="1">iRankMultiple!BZ112</f>
        <v/>
      </c>
      <c r="D106" s="187" t="str">
        <f ca="1">iRankMultiple!CA112</f>
        <v/>
      </c>
      <c r="E106" s="188" t="str">
        <f ca="1">iRankMultiple!CB112</f>
        <v/>
      </c>
      <c r="F106" s="189" t="str">
        <f ca="1">iRankMultiple!CC112</f>
        <v/>
      </c>
      <c r="G106" s="185"/>
      <c r="H106" s="185">
        <f ca="1">iRankMultiple!CE112</f>
        <v>0</v>
      </c>
      <c r="I106" s="186" t="str">
        <f ca="1">iRankMultiple!CF112</f>
        <v/>
      </c>
      <c r="J106" s="187" t="str">
        <f ca="1">iRankMultiple!CG112</f>
        <v/>
      </c>
      <c r="K106" s="188" t="str">
        <f ca="1">iRankMultiple!CH112</f>
        <v/>
      </c>
      <c r="L106" s="189" t="str">
        <f ca="1">iRankMultiple!CI112</f>
        <v/>
      </c>
      <c r="M106" s="185"/>
      <c r="N106" s="185">
        <f ca="1">iRankMultiple!CK112</f>
        <v>0</v>
      </c>
      <c r="O106" s="186" t="str">
        <f ca="1">iRankMultiple!CL112</f>
        <v/>
      </c>
      <c r="P106" s="187" t="str">
        <f ca="1">iRankMultiple!CM112</f>
        <v/>
      </c>
      <c r="Q106" s="188" t="str">
        <f ca="1">iRankMultiple!CN112</f>
        <v/>
      </c>
      <c r="R106" s="189" t="str">
        <f ca="1">iRankMultiple!CO112</f>
        <v/>
      </c>
      <c r="S106" s="185"/>
      <c r="T106" s="185">
        <f ca="1">iRankMultiple!CQ112</f>
        <v>0</v>
      </c>
      <c r="U106" s="186" t="str">
        <f ca="1">iRankMultiple!CR112</f>
        <v/>
      </c>
      <c r="V106" s="187" t="str">
        <f ca="1">iRankMultiple!CS112</f>
        <v/>
      </c>
      <c r="W106" s="188" t="str">
        <f ca="1">iRankMultiple!CT112</f>
        <v/>
      </c>
      <c r="X106" s="189" t="str">
        <f ca="1">iRankMultiple!CU112</f>
        <v/>
      </c>
      <c r="Y106" s="185"/>
      <c r="Z106" s="185"/>
    </row>
    <row r="107" spans="1:27" ht="14.45" hidden="1" x14ac:dyDescent="0.3">
      <c r="A107" s="138"/>
      <c r="B107" s="185">
        <f ca="1">iRankMultiple!BY113</f>
        <v>0</v>
      </c>
      <c r="C107" s="186" t="str">
        <f ca="1">iRankMultiple!BZ113</f>
        <v/>
      </c>
      <c r="D107" s="187" t="str">
        <f ca="1">iRankMultiple!CA113</f>
        <v/>
      </c>
      <c r="E107" s="188" t="str">
        <f ca="1">iRankMultiple!CB113</f>
        <v/>
      </c>
      <c r="F107" s="189" t="str">
        <f ca="1">iRankMultiple!CC113</f>
        <v/>
      </c>
      <c r="G107" s="185"/>
      <c r="H107" s="185">
        <f ca="1">iRankMultiple!CE113</f>
        <v>0</v>
      </c>
      <c r="I107" s="186" t="str">
        <f ca="1">iRankMultiple!CF113</f>
        <v/>
      </c>
      <c r="J107" s="187" t="str">
        <f ca="1">iRankMultiple!CG113</f>
        <v/>
      </c>
      <c r="K107" s="188" t="str">
        <f ca="1">iRankMultiple!CH113</f>
        <v/>
      </c>
      <c r="L107" s="189" t="str">
        <f ca="1">iRankMultiple!CI113</f>
        <v/>
      </c>
      <c r="M107" s="185"/>
      <c r="N107" s="185">
        <f ca="1">iRankMultiple!CK113</f>
        <v>0</v>
      </c>
      <c r="O107" s="186" t="str">
        <f ca="1">iRankMultiple!CL113</f>
        <v/>
      </c>
      <c r="P107" s="187" t="str">
        <f ca="1">iRankMultiple!CM113</f>
        <v/>
      </c>
      <c r="Q107" s="188" t="str">
        <f ca="1">iRankMultiple!CN113</f>
        <v/>
      </c>
      <c r="R107" s="189" t="str">
        <f ca="1">iRankMultiple!CO113</f>
        <v/>
      </c>
      <c r="S107" s="185"/>
      <c r="T107" s="185">
        <f ca="1">iRankMultiple!CQ113</f>
        <v>0</v>
      </c>
      <c r="U107" s="186" t="str">
        <f ca="1">iRankMultiple!CR113</f>
        <v/>
      </c>
      <c r="V107" s="187" t="str">
        <f ca="1">iRankMultiple!CS113</f>
        <v/>
      </c>
      <c r="W107" s="188" t="str">
        <f ca="1">iRankMultiple!CT113</f>
        <v/>
      </c>
      <c r="X107" s="189" t="str">
        <f ca="1">iRankMultiple!CU113</f>
        <v/>
      </c>
      <c r="Y107" s="185"/>
      <c r="Z107" s="185"/>
    </row>
    <row r="108" spans="1:27" ht="14.45" hidden="1" x14ac:dyDescent="0.3">
      <c r="A108" s="138"/>
      <c r="B108" s="185">
        <f ca="1">iRankMultiple!BY114</f>
        <v>0</v>
      </c>
      <c r="C108" s="186" t="str">
        <f ca="1">iRankMultiple!BZ114</f>
        <v/>
      </c>
      <c r="D108" s="187" t="str">
        <f ca="1">iRankMultiple!CA114</f>
        <v/>
      </c>
      <c r="E108" s="188" t="str">
        <f ca="1">iRankMultiple!CB114</f>
        <v/>
      </c>
      <c r="F108" s="189" t="str">
        <f ca="1">iRankMultiple!CC114</f>
        <v/>
      </c>
      <c r="G108" s="185"/>
      <c r="H108" s="185">
        <f ca="1">iRankMultiple!CE114</f>
        <v>0</v>
      </c>
      <c r="I108" s="186" t="str">
        <f ca="1">iRankMultiple!CF114</f>
        <v/>
      </c>
      <c r="J108" s="187" t="str">
        <f ca="1">iRankMultiple!CG114</f>
        <v/>
      </c>
      <c r="K108" s="188" t="str">
        <f ca="1">iRankMultiple!CH114</f>
        <v/>
      </c>
      <c r="L108" s="189" t="str">
        <f ca="1">iRankMultiple!CI114</f>
        <v/>
      </c>
      <c r="M108" s="185"/>
      <c r="N108" s="185">
        <f ca="1">iRankMultiple!CK114</f>
        <v>0</v>
      </c>
      <c r="O108" s="186" t="str">
        <f ca="1">iRankMultiple!CL114</f>
        <v/>
      </c>
      <c r="P108" s="187" t="str">
        <f ca="1">iRankMultiple!CM114</f>
        <v/>
      </c>
      <c r="Q108" s="188" t="str">
        <f ca="1">iRankMultiple!CN114</f>
        <v/>
      </c>
      <c r="R108" s="189" t="str">
        <f ca="1">iRankMultiple!CO114</f>
        <v/>
      </c>
      <c r="S108" s="185"/>
      <c r="T108" s="185">
        <f ca="1">iRankMultiple!CQ114</f>
        <v>0</v>
      </c>
      <c r="U108" s="186" t="str">
        <f ca="1">iRankMultiple!CR114</f>
        <v/>
      </c>
      <c r="V108" s="187" t="str">
        <f ca="1">iRankMultiple!CS114</f>
        <v/>
      </c>
      <c r="W108" s="188" t="str">
        <f ca="1">iRankMultiple!CT114</f>
        <v/>
      </c>
      <c r="X108" s="189" t="str">
        <f ca="1">iRankMultiple!CU114</f>
        <v/>
      </c>
      <c r="Y108" s="185"/>
      <c r="Z108" s="185"/>
    </row>
    <row r="109" spans="1:27" ht="14.45" hidden="1" x14ac:dyDescent="0.3">
      <c r="A109" s="138"/>
      <c r="B109" s="185">
        <f ca="1">iRankMultiple!BY115</f>
        <v>0</v>
      </c>
      <c r="C109" s="186" t="str">
        <f ca="1">iRankMultiple!BZ115</f>
        <v/>
      </c>
      <c r="D109" s="187" t="str">
        <f ca="1">iRankMultiple!CA115</f>
        <v/>
      </c>
      <c r="E109" s="188" t="str">
        <f ca="1">iRankMultiple!CB115</f>
        <v/>
      </c>
      <c r="F109" s="189" t="str">
        <f ca="1">iRankMultiple!CC115</f>
        <v/>
      </c>
      <c r="G109" s="185"/>
      <c r="H109" s="185">
        <f ca="1">iRankMultiple!CE115</f>
        <v>0</v>
      </c>
      <c r="I109" s="186" t="str">
        <f ca="1">iRankMultiple!CF115</f>
        <v/>
      </c>
      <c r="J109" s="187" t="str">
        <f ca="1">iRankMultiple!CG115</f>
        <v/>
      </c>
      <c r="K109" s="188" t="str">
        <f ca="1">iRankMultiple!CH115</f>
        <v/>
      </c>
      <c r="L109" s="189" t="str">
        <f ca="1">iRankMultiple!CI115</f>
        <v/>
      </c>
      <c r="M109" s="185"/>
      <c r="N109" s="185">
        <f ca="1">iRankMultiple!CK115</f>
        <v>0</v>
      </c>
      <c r="O109" s="186" t="str">
        <f ca="1">iRankMultiple!CL115</f>
        <v/>
      </c>
      <c r="P109" s="187" t="str">
        <f ca="1">iRankMultiple!CM115</f>
        <v/>
      </c>
      <c r="Q109" s="188" t="str">
        <f ca="1">iRankMultiple!CN115</f>
        <v/>
      </c>
      <c r="R109" s="189" t="str">
        <f ca="1">iRankMultiple!CO115</f>
        <v/>
      </c>
      <c r="S109" s="185"/>
      <c r="T109" s="185">
        <f ca="1">iRankMultiple!CQ115</f>
        <v>0</v>
      </c>
      <c r="U109" s="186" t="str">
        <f ca="1">iRankMultiple!CR115</f>
        <v/>
      </c>
      <c r="V109" s="187" t="str">
        <f ca="1">iRankMultiple!CS115</f>
        <v/>
      </c>
      <c r="W109" s="188" t="str">
        <f ca="1">iRankMultiple!CT115</f>
        <v/>
      </c>
      <c r="X109" s="189" t="str">
        <f ca="1">iRankMultiple!CU115</f>
        <v/>
      </c>
      <c r="Y109" s="185"/>
      <c r="Z109" s="185"/>
    </row>
    <row r="110" spans="1:27" ht="14.45" hidden="1" x14ac:dyDescent="0.3">
      <c r="A110" s="138"/>
      <c r="B110" s="185">
        <f ca="1">iRankMultiple!BY116</f>
        <v>0</v>
      </c>
      <c r="C110" s="186" t="str">
        <f ca="1">iRankMultiple!BZ116</f>
        <v/>
      </c>
      <c r="D110" s="187" t="str">
        <f ca="1">iRankMultiple!CA116</f>
        <v/>
      </c>
      <c r="E110" s="188" t="str">
        <f ca="1">iRankMultiple!CB116</f>
        <v/>
      </c>
      <c r="F110" s="189" t="str">
        <f ca="1">iRankMultiple!CC116</f>
        <v/>
      </c>
      <c r="G110" s="185"/>
      <c r="H110" s="185">
        <f ca="1">iRankMultiple!CE116</f>
        <v>0</v>
      </c>
      <c r="I110" s="186" t="str">
        <f ca="1">iRankMultiple!CF116</f>
        <v/>
      </c>
      <c r="J110" s="187" t="str">
        <f ca="1">iRankMultiple!CG116</f>
        <v/>
      </c>
      <c r="K110" s="188" t="str">
        <f ca="1">iRankMultiple!CH116</f>
        <v/>
      </c>
      <c r="L110" s="189" t="str">
        <f ca="1">iRankMultiple!CI116</f>
        <v/>
      </c>
      <c r="M110" s="185"/>
      <c r="N110" s="185">
        <f ca="1">iRankMultiple!CK116</f>
        <v>0</v>
      </c>
      <c r="O110" s="186" t="str">
        <f ca="1">iRankMultiple!CL116</f>
        <v/>
      </c>
      <c r="P110" s="187" t="str">
        <f ca="1">iRankMultiple!CM116</f>
        <v/>
      </c>
      <c r="Q110" s="188" t="str">
        <f ca="1">iRankMultiple!CN116</f>
        <v/>
      </c>
      <c r="R110" s="189" t="str">
        <f ca="1">iRankMultiple!CO116</f>
        <v/>
      </c>
      <c r="S110" s="185"/>
      <c r="T110" s="185">
        <f ca="1">iRankMultiple!CQ116</f>
        <v>0</v>
      </c>
      <c r="U110" s="186" t="str">
        <f ca="1">iRankMultiple!CR116</f>
        <v/>
      </c>
      <c r="V110" s="187" t="str">
        <f ca="1">iRankMultiple!CS116</f>
        <v/>
      </c>
      <c r="W110" s="188" t="str">
        <f ca="1">iRankMultiple!CT116</f>
        <v/>
      </c>
      <c r="X110" s="189" t="str">
        <f ca="1">iRankMultiple!CU116</f>
        <v/>
      </c>
      <c r="Y110" s="185"/>
      <c r="Z110" s="185"/>
    </row>
    <row r="111" spans="1:27" ht="14.45" hidden="1" x14ac:dyDescent="0.3">
      <c r="A111" s="138"/>
      <c r="B111" s="185">
        <f ca="1">iRankMultiple!BY117</f>
        <v>0</v>
      </c>
      <c r="C111" s="186" t="str">
        <f ca="1">iRankMultiple!BZ117</f>
        <v/>
      </c>
      <c r="D111" s="187" t="str">
        <f ca="1">iRankMultiple!CA117</f>
        <v/>
      </c>
      <c r="E111" s="188" t="str">
        <f ca="1">iRankMultiple!CB117</f>
        <v/>
      </c>
      <c r="F111" s="189" t="str">
        <f ca="1">iRankMultiple!CC117</f>
        <v/>
      </c>
      <c r="G111" s="185"/>
      <c r="H111" s="185">
        <f ca="1">iRankMultiple!CE117</f>
        <v>0</v>
      </c>
      <c r="I111" s="186" t="str">
        <f ca="1">iRankMultiple!CF117</f>
        <v/>
      </c>
      <c r="J111" s="187" t="str">
        <f ca="1">iRankMultiple!CG117</f>
        <v/>
      </c>
      <c r="K111" s="188" t="str">
        <f ca="1">iRankMultiple!CH117</f>
        <v/>
      </c>
      <c r="L111" s="189" t="str">
        <f ca="1">iRankMultiple!CI117</f>
        <v/>
      </c>
      <c r="M111" s="185"/>
      <c r="N111" s="185">
        <f ca="1">iRankMultiple!CK117</f>
        <v>0</v>
      </c>
      <c r="O111" s="186" t="str">
        <f ca="1">iRankMultiple!CL117</f>
        <v/>
      </c>
      <c r="P111" s="187" t="str">
        <f ca="1">iRankMultiple!CM117</f>
        <v/>
      </c>
      <c r="Q111" s="188" t="str">
        <f ca="1">iRankMultiple!CN117</f>
        <v/>
      </c>
      <c r="R111" s="189" t="str">
        <f ca="1">iRankMultiple!CO117</f>
        <v/>
      </c>
      <c r="S111" s="185"/>
      <c r="T111" s="185">
        <f ca="1">iRankMultiple!CQ117</f>
        <v>0</v>
      </c>
      <c r="U111" s="186" t="str">
        <f ca="1">iRankMultiple!CR117</f>
        <v/>
      </c>
      <c r="V111" s="187" t="str">
        <f ca="1">iRankMultiple!CS117</f>
        <v/>
      </c>
      <c r="W111" s="188" t="str">
        <f ca="1">iRankMultiple!CT117</f>
        <v/>
      </c>
      <c r="X111" s="189" t="str">
        <f ca="1">iRankMultiple!CU117</f>
        <v/>
      </c>
      <c r="Y111" s="185"/>
      <c r="Z111" s="185"/>
    </row>
    <row r="112" spans="1:27" ht="14.45" hidden="1" x14ac:dyDescent="0.3">
      <c r="A112" s="138"/>
      <c r="B112" s="185">
        <f ca="1">iRankMultiple!BY118</f>
        <v>0</v>
      </c>
      <c r="C112" s="186" t="str">
        <f ca="1">iRankMultiple!BZ118</f>
        <v/>
      </c>
      <c r="D112" s="187" t="str">
        <f ca="1">iRankMultiple!CA118</f>
        <v/>
      </c>
      <c r="E112" s="188" t="str">
        <f ca="1">iRankMultiple!CB118</f>
        <v/>
      </c>
      <c r="F112" s="189" t="str">
        <f ca="1">iRankMultiple!CC118</f>
        <v/>
      </c>
      <c r="G112" s="185"/>
      <c r="H112" s="185">
        <f ca="1">iRankMultiple!CE118</f>
        <v>0</v>
      </c>
      <c r="I112" s="186" t="str">
        <f ca="1">iRankMultiple!CF118</f>
        <v/>
      </c>
      <c r="J112" s="187" t="str">
        <f ca="1">iRankMultiple!CG118</f>
        <v/>
      </c>
      <c r="K112" s="188" t="str">
        <f ca="1">iRankMultiple!CH118</f>
        <v/>
      </c>
      <c r="L112" s="189" t="str">
        <f ca="1">iRankMultiple!CI118</f>
        <v/>
      </c>
      <c r="M112" s="185"/>
      <c r="N112" s="185">
        <f ca="1">iRankMultiple!CK118</f>
        <v>0</v>
      </c>
      <c r="O112" s="186" t="str">
        <f ca="1">iRankMultiple!CL118</f>
        <v/>
      </c>
      <c r="P112" s="187" t="str">
        <f ca="1">iRankMultiple!CM118</f>
        <v/>
      </c>
      <c r="Q112" s="188" t="str">
        <f ca="1">iRankMultiple!CN118</f>
        <v/>
      </c>
      <c r="R112" s="189" t="str">
        <f ca="1">iRankMultiple!CO118</f>
        <v/>
      </c>
      <c r="S112" s="185"/>
      <c r="T112" s="185">
        <f ca="1">iRankMultiple!CQ118</f>
        <v>0</v>
      </c>
      <c r="U112" s="186" t="str">
        <f ca="1">iRankMultiple!CR118</f>
        <v/>
      </c>
      <c r="V112" s="187" t="str">
        <f ca="1">iRankMultiple!CS118</f>
        <v/>
      </c>
      <c r="W112" s="188" t="str">
        <f ca="1">iRankMultiple!CT118</f>
        <v/>
      </c>
      <c r="X112" s="189" t="str">
        <f ca="1">iRankMultiple!CU118</f>
        <v/>
      </c>
      <c r="Y112" s="185"/>
      <c r="Z112" s="185"/>
    </row>
    <row r="113" spans="1:27" ht="14.45" hidden="1" x14ac:dyDescent="0.3">
      <c r="A113" s="138"/>
      <c r="B113" s="185">
        <f ca="1">iRankMultiple!BY119</f>
        <v>0</v>
      </c>
      <c r="C113" s="186" t="str">
        <f ca="1">iRankMultiple!BZ119</f>
        <v/>
      </c>
      <c r="D113" s="187" t="str">
        <f ca="1">iRankMultiple!CA119</f>
        <v/>
      </c>
      <c r="E113" s="188" t="str">
        <f ca="1">iRankMultiple!CB119</f>
        <v/>
      </c>
      <c r="F113" s="189" t="str">
        <f ca="1">iRankMultiple!CC119</f>
        <v/>
      </c>
      <c r="G113" s="185"/>
      <c r="H113" s="185">
        <f ca="1">iRankMultiple!CE119</f>
        <v>0</v>
      </c>
      <c r="I113" s="186" t="str">
        <f ca="1">iRankMultiple!CF119</f>
        <v/>
      </c>
      <c r="J113" s="187" t="str">
        <f ca="1">iRankMultiple!CG119</f>
        <v/>
      </c>
      <c r="K113" s="188" t="str">
        <f ca="1">iRankMultiple!CH119</f>
        <v/>
      </c>
      <c r="L113" s="189" t="str">
        <f ca="1">iRankMultiple!CI119</f>
        <v/>
      </c>
      <c r="M113" s="185"/>
      <c r="N113" s="185">
        <f ca="1">iRankMultiple!CK119</f>
        <v>0</v>
      </c>
      <c r="O113" s="186" t="str">
        <f ca="1">iRankMultiple!CL119</f>
        <v/>
      </c>
      <c r="P113" s="187" t="str">
        <f ca="1">iRankMultiple!CM119</f>
        <v/>
      </c>
      <c r="Q113" s="188" t="str">
        <f ca="1">iRankMultiple!CN119</f>
        <v/>
      </c>
      <c r="R113" s="189" t="str">
        <f ca="1">iRankMultiple!CO119</f>
        <v/>
      </c>
      <c r="S113" s="185"/>
      <c r="T113" s="185">
        <f ca="1">iRankMultiple!CQ119</f>
        <v>0</v>
      </c>
      <c r="U113" s="186" t="str">
        <f ca="1">iRankMultiple!CR119</f>
        <v/>
      </c>
      <c r="V113" s="187" t="str">
        <f ca="1">iRankMultiple!CS119</f>
        <v/>
      </c>
      <c r="W113" s="188" t="str">
        <f ca="1">iRankMultiple!CT119</f>
        <v/>
      </c>
      <c r="X113" s="189" t="str">
        <f ca="1">iRankMultiple!CU119</f>
        <v/>
      </c>
      <c r="Y113" s="185"/>
      <c r="Z113" s="185"/>
    </row>
    <row r="114" spans="1:27" ht="14.45" hidden="1" x14ac:dyDescent="0.3">
      <c r="A114" s="138"/>
      <c r="B114" s="185">
        <f ca="1">iRankMultiple!BY120</f>
        <v>0</v>
      </c>
      <c r="C114" s="186" t="str">
        <f ca="1">iRankMultiple!BZ120</f>
        <v/>
      </c>
      <c r="D114" s="187" t="str">
        <f ca="1">iRankMultiple!CA120</f>
        <v/>
      </c>
      <c r="E114" s="188" t="str">
        <f ca="1">iRankMultiple!CB120</f>
        <v/>
      </c>
      <c r="F114" s="189" t="str">
        <f ca="1">iRankMultiple!CC120</f>
        <v/>
      </c>
      <c r="G114" s="185"/>
      <c r="H114" s="185">
        <f ca="1">iRankMultiple!CE120</f>
        <v>0</v>
      </c>
      <c r="I114" s="186" t="str">
        <f ca="1">iRankMultiple!CF120</f>
        <v/>
      </c>
      <c r="J114" s="187" t="str">
        <f ca="1">iRankMultiple!CG120</f>
        <v/>
      </c>
      <c r="K114" s="188" t="str">
        <f ca="1">iRankMultiple!CH120</f>
        <v/>
      </c>
      <c r="L114" s="189" t="str">
        <f ca="1">iRankMultiple!CI120</f>
        <v/>
      </c>
      <c r="M114" s="185"/>
      <c r="N114" s="185">
        <f ca="1">iRankMultiple!CK120</f>
        <v>0</v>
      </c>
      <c r="O114" s="186" t="str">
        <f ca="1">iRankMultiple!CL120</f>
        <v/>
      </c>
      <c r="P114" s="187" t="str">
        <f ca="1">iRankMultiple!CM120</f>
        <v/>
      </c>
      <c r="Q114" s="188" t="str">
        <f ca="1">iRankMultiple!CN120</f>
        <v/>
      </c>
      <c r="R114" s="189" t="str">
        <f ca="1">iRankMultiple!CO120</f>
        <v/>
      </c>
      <c r="S114" s="185"/>
      <c r="T114" s="185">
        <f ca="1">iRankMultiple!CQ120</f>
        <v>0</v>
      </c>
      <c r="U114" s="186" t="str">
        <f ca="1">iRankMultiple!CR120</f>
        <v/>
      </c>
      <c r="V114" s="187" t="str">
        <f ca="1">iRankMultiple!CS120</f>
        <v/>
      </c>
      <c r="W114" s="188" t="str">
        <f ca="1">iRankMultiple!CT120</f>
        <v/>
      </c>
      <c r="X114" s="189" t="str">
        <f ca="1">iRankMultiple!CU120</f>
        <v/>
      </c>
      <c r="Y114" s="185"/>
      <c r="Z114" s="185"/>
    </row>
    <row r="115" spans="1:27" ht="14.45" hidden="1" x14ac:dyDescent="0.3">
      <c r="A115" s="138"/>
      <c r="B115" s="185">
        <f ca="1">iRankMultiple!BY121</f>
        <v>0</v>
      </c>
      <c r="C115" s="186" t="str">
        <f ca="1">iRankMultiple!BZ121</f>
        <v/>
      </c>
      <c r="D115" s="187" t="str">
        <f ca="1">iRankMultiple!CA121</f>
        <v/>
      </c>
      <c r="E115" s="188" t="str">
        <f ca="1">iRankMultiple!CB121</f>
        <v/>
      </c>
      <c r="F115" s="189" t="str">
        <f ca="1">iRankMultiple!CC121</f>
        <v/>
      </c>
      <c r="G115" s="185"/>
      <c r="H115" s="185">
        <f ca="1">iRankMultiple!CE121</f>
        <v>0</v>
      </c>
      <c r="I115" s="186" t="str">
        <f ca="1">iRankMultiple!CF121</f>
        <v/>
      </c>
      <c r="J115" s="187" t="str">
        <f ca="1">iRankMultiple!CG121</f>
        <v/>
      </c>
      <c r="K115" s="188" t="str">
        <f ca="1">iRankMultiple!CH121</f>
        <v/>
      </c>
      <c r="L115" s="189" t="str">
        <f ca="1">iRankMultiple!CI121</f>
        <v/>
      </c>
      <c r="M115" s="185"/>
      <c r="N115" s="185">
        <f ca="1">iRankMultiple!CK121</f>
        <v>0</v>
      </c>
      <c r="O115" s="186" t="str">
        <f ca="1">iRankMultiple!CL121</f>
        <v/>
      </c>
      <c r="P115" s="187" t="str">
        <f ca="1">iRankMultiple!CM121</f>
        <v/>
      </c>
      <c r="Q115" s="188" t="str">
        <f ca="1">iRankMultiple!CN121</f>
        <v/>
      </c>
      <c r="R115" s="189" t="str">
        <f ca="1">iRankMultiple!CO121</f>
        <v/>
      </c>
      <c r="S115" s="185"/>
      <c r="T115" s="185">
        <f ca="1">iRankMultiple!CQ121</f>
        <v>0</v>
      </c>
      <c r="U115" s="186" t="str">
        <f ca="1">iRankMultiple!CR121</f>
        <v/>
      </c>
      <c r="V115" s="187" t="str">
        <f ca="1">iRankMultiple!CS121</f>
        <v/>
      </c>
      <c r="W115" s="188" t="str">
        <f ca="1">iRankMultiple!CT121</f>
        <v/>
      </c>
      <c r="X115" s="189" t="str">
        <f ca="1">iRankMultiple!CU121</f>
        <v/>
      </c>
      <c r="Y115" s="185"/>
      <c r="Z115" s="185"/>
    </row>
    <row r="116" spans="1:27" ht="14.45" hidden="1" x14ac:dyDescent="0.3">
      <c r="A116" s="138"/>
      <c r="B116" s="185">
        <f ca="1">iRankMultiple!BY122</f>
        <v>0</v>
      </c>
      <c r="C116" s="186" t="str">
        <f ca="1">iRankMultiple!BZ122</f>
        <v/>
      </c>
      <c r="D116" s="187" t="str">
        <f ca="1">iRankMultiple!CA122</f>
        <v/>
      </c>
      <c r="E116" s="188" t="str">
        <f ca="1">iRankMultiple!CB122</f>
        <v/>
      </c>
      <c r="F116" s="189" t="str">
        <f ca="1">iRankMultiple!CC122</f>
        <v/>
      </c>
      <c r="G116" s="185"/>
      <c r="H116" s="185">
        <f ca="1">iRankMultiple!CE122</f>
        <v>0</v>
      </c>
      <c r="I116" s="186" t="str">
        <f ca="1">iRankMultiple!CF122</f>
        <v/>
      </c>
      <c r="J116" s="187" t="str">
        <f ca="1">iRankMultiple!CG122</f>
        <v/>
      </c>
      <c r="K116" s="188" t="str">
        <f ca="1">iRankMultiple!CH122</f>
        <v/>
      </c>
      <c r="L116" s="189" t="str">
        <f ca="1">iRankMultiple!CI122</f>
        <v/>
      </c>
      <c r="M116" s="185"/>
      <c r="N116" s="185">
        <f ca="1">iRankMultiple!CK122</f>
        <v>0</v>
      </c>
      <c r="O116" s="186" t="str">
        <f ca="1">iRankMultiple!CL122</f>
        <v/>
      </c>
      <c r="P116" s="187" t="str">
        <f ca="1">iRankMultiple!CM122</f>
        <v/>
      </c>
      <c r="Q116" s="188" t="str">
        <f ca="1">iRankMultiple!CN122</f>
        <v/>
      </c>
      <c r="R116" s="189" t="str">
        <f ca="1">iRankMultiple!CO122</f>
        <v/>
      </c>
      <c r="S116" s="185"/>
      <c r="T116" s="185">
        <f ca="1">iRankMultiple!CQ122</f>
        <v>0</v>
      </c>
      <c r="U116" s="186" t="str">
        <f ca="1">iRankMultiple!CR122</f>
        <v/>
      </c>
      <c r="V116" s="187" t="str">
        <f ca="1">iRankMultiple!CS122</f>
        <v/>
      </c>
      <c r="W116" s="188" t="str">
        <f ca="1">iRankMultiple!CT122</f>
        <v/>
      </c>
      <c r="X116" s="189" t="str">
        <f ca="1">iRankMultiple!CU122</f>
        <v/>
      </c>
      <c r="Y116" s="185"/>
      <c r="Z116" s="185"/>
    </row>
    <row r="117" spans="1:27" ht="14.45" hidden="1" x14ac:dyDescent="0.3">
      <c r="A117" s="138"/>
      <c r="B117" s="185">
        <f ca="1">iRankMultiple!BY123</f>
        <v>0</v>
      </c>
      <c r="C117" s="186" t="str">
        <f ca="1">iRankMultiple!BZ123</f>
        <v/>
      </c>
      <c r="D117" s="187" t="str">
        <f ca="1">iRankMultiple!CA123</f>
        <v/>
      </c>
      <c r="E117" s="188" t="str">
        <f ca="1">iRankMultiple!CB123</f>
        <v/>
      </c>
      <c r="F117" s="189" t="str">
        <f ca="1">iRankMultiple!CC123</f>
        <v/>
      </c>
      <c r="G117" s="185"/>
      <c r="H117" s="185">
        <f ca="1">iRankMultiple!CE123</f>
        <v>0</v>
      </c>
      <c r="I117" s="186" t="str">
        <f ca="1">iRankMultiple!CF123</f>
        <v/>
      </c>
      <c r="J117" s="187" t="str">
        <f ca="1">iRankMultiple!CG123</f>
        <v/>
      </c>
      <c r="K117" s="188" t="str">
        <f ca="1">iRankMultiple!CH123</f>
        <v/>
      </c>
      <c r="L117" s="189" t="str">
        <f ca="1">iRankMultiple!CI123</f>
        <v/>
      </c>
      <c r="M117" s="185"/>
      <c r="N117" s="185">
        <f ca="1">iRankMultiple!CK123</f>
        <v>0</v>
      </c>
      <c r="O117" s="186" t="str">
        <f ca="1">iRankMultiple!CL123</f>
        <v/>
      </c>
      <c r="P117" s="187" t="str">
        <f ca="1">iRankMultiple!CM123</f>
        <v/>
      </c>
      <c r="Q117" s="188" t="str">
        <f ca="1">iRankMultiple!CN123</f>
        <v/>
      </c>
      <c r="R117" s="189" t="str">
        <f ca="1">iRankMultiple!CO123</f>
        <v/>
      </c>
      <c r="S117" s="185"/>
      <c r="T117" s="185">
        <f ca="1">iRankMultiple!CQ123</f>
        <v>0</v>
      </c>
      <c r="U117" s="186" t="str">
        <f ca="1">iRankMultiple!CR123</f>
        <v/>
      </c>
      <c r="V117" s="187" t="str">
        <f ca="1">iRankMultiple!CS123</f>
        <v/>
      </c>
      <c r="W117" s="188" t="str">
        <f ca="1">iRankMultiple!CT123</f>
        <v/>
      </c>
      <c r="X117" s="189" t="str">
        <f ca="1">iRankMultiple!CU123</f>
        <v/>
      </c>
      <c r="Y117" s="185"/>
      <c r="Z117" s="185"/>
    </row>
    <row r="118" spans="1:27" ht="14.45" hidden="1" x14ac:dyDescent="0.3">
      <c r="A118" s="138"/>
      <c r="B118" s="185">
        <f ca="1">iRankMultiple!BY124</f>
        <v>0</v>
      </c>
      <c r="C118" s="186" t="str">
        <f ca="1">iRankMultiple!BZ124</f>
        <v/>
      </c>
      <c r="D118" s="187" t="str">
        <f ca="1">iRankMultiple!CA124</f>
        <v/>
      </c>
      <c r="E118" s="188" t="str">
        <f ca="1">iRankMultiple!CB124</f>
        <v/>
      </c>
      <c r="F118" s="189" t="str">
        <f ca="1">iRankMultiple!CC124</f>
        <v/>
      </c>
      <c r="G118" s="185"/>
      <c r="H118" s="185">
        <f ca="1">iRankMultiple!CE124</f>
        <v>0</v>
      </c>
      <c r="I118" s="186" t="str">
        <f ca="1">iRankMultiple!CF124</f>
        <v/>
      </c>
      <c r="J118" s="187" t="str">
        <f ca="1">iRankMultiple!CG124</f>
        <v/>
      </c>
      <c r="K118" s="188" t="str">
        <f ca="1">iRankMultiple!CH124</f>
        <v/>
      </c>
      <c r="L118" s="189" t="str">
        <f ca="1">iRankMultiple!CI124</f>
        <v/>
      </c>
      <c r="M118" s="185"/>
      <c r="N118" s="185">
        <f ca="1">iRankMultiple!CK124</f>
        <v>0</v>
      </c>
      <c r="O118" s="186" t="str">
        <f ca="1">iRankMultiple!CL124</f>
        <v/>
      </c>
      <c r="P118" s="187" t="str">
        <f ca="1">iRankMultiple!CM124</f>
        <v/>
      </c>
      <c r="Q118" s="188" t="str">
        <f ca="1">iRankMultiple!CN124</f>
        <v/>
      </c>
      <c r="R118" s="189" t="str">
        <f ca="1">iRankMultiple!CO124</f>
        <v/>
      </c>
      <c r="S118" s="185"/>
      <c r="T118" s="185">
        <f ca="1">iRankMultiple!CQ124</f>
        <v>0</v>
      </c>
      <c r="U118" s="186" t="str">
        <f ca="1">iRankMultiple!CR124</f>
        <v/>
      </c>
      <c r="V118" s="187" t="str">
        <f ca="1">iRankMultiple!CS124</f>
        <v/>
      </c>
      <c r="W118" s="188" t="str">
        <f ca="1">iRankMultiple!CT124</f>
        <v/>
      </c>
      <c r="X118" s="189" t="str">
        <f ca="1">iRankMultiple!CU124</f>
        <v/>
      </c>
      <c r="Y118" s="185"/>
      <c r="Z118" s="185"/>
    </row>
    <row r="119" spans="1:27" ht="14.45" hidden="1" x14ac:dyDescent="0.3">
      <c r="A119" s="138"/>
      <c r="B119" s="185">
        <f ca="1">iRankMultiple!BY125</f>
        <v>0</v>
      </c>
      <c r="C119" s="186" t="str">
        <f ca="1">iRankMultiple!BZ125</f>
        <v/>
      </c>
      <c r="D119" s="187" t="str">
        <f ca="1">iRankMultiple!CA125</f>
        <v/>
      </c>
      <c r="E119" s="188" t="str">
        <f ca="1">iRankMultiple!CB125</f>
        <v/>
      </c>
      <c r="F119" s="189" t="str">
        <f ca="1">iRankMultiple!CC125</f>
        <v/>
      </c>
      <c r="G119" s="185"/>
      <c r="H119" s="185">
        <f ca="1">iRankMultiple!CE125</f>
        <v>0</v>
      </c>
      <c r="I119" s="186" t="str">
        <f ca="1">iRankMultiple!CF125</f>
        <v/>
      </c>
      <c r="J119" s="187" t="str">
        <f ca="1">iRankMultiple!CG125</f>
        <v/>
      </c>
      <c r="K119" s="188" t="str">
        <f ca="1">iRankMultiple!CH125</f>
        <v/>
      </c>
      <c r="L119" s="189" t="str">
        <f ca="1">iRankMultiple!CI125</f>
        <v/>
      </c>
      <c r="M119" s="185"/>
      <c r="N119" s="185">
        <f ca="1">iRankMultiple!CK125</f>
        <v>0</v>
      </c>
      <c r="O119" s="186" t="str">
        <f ca="1">iRankMultiple!CL125</f>
        <v/>
      </c>
      <c r="P119" s="187" t="str">
        <f ca="1">iRankMultiple!CM125</f>
        <v/>
      </c>
      <c r="Q119" s="188" t="str">
        <f ca="1">iRankMultiple!CN125</f>
        <v/>
      </c>
      <c r="R119" s="189" t="str">
        <f ca="1">iRankMultiple!CO125</f>
        <v/>
      </c>
      <c r="S119" s="185"/>
      <c r="T119" s="185">
        <f ca="1">iRankMultiple!CQ125</f>
        <v>0</v>
      </c>
      <c r="U119" s="186" t="str">
        <f ca="1">iRankMultiple!CR125</f>
        <v/>
      </c>
      <c r="V119" s="187" t="str">
        <f ca="1">iRankMultiple!CS125</f>
        <v/>
      </c>
      <c r="W119" s="188" t="str">
        <f ca="1">iRankMultiple!CT125</f>
        <v/>
      </c>
      <c r="X119" s="189" t="str">
        <f ca="1">iRankMultiple!CU125</f>
        <v/>
      </c>
      <c r="Y119" s="185"/>
      <c r="Z119" s="185"/>
    </row>
    <row r="120" spans="1:27" ht="14.45" hidden="1" x14ac:dyDescent="0.3">
      <c r="A120" s="138"/>
      <c r="B120" s="185">
        <f ca="1">iRankMultiple!BY126</f>
        <v>0</v>
      </c>
      <c r="C120" s="186" t="str">
        <f ca="1">iRankMultiple!BZ126</f>
        <v/>
      </c>
      <c r="D120" s="187" t="str">
        <f ca="1">iRankMultiple!CA126</f>
        <v/>
      </c>
      <c r="E120" s="188" t="str">
        <f ca="1">iRankMultiple!CB126</f>
        <v/>
      </c>
      <c r="F120" s="189" t="str">
        <f ca="1">iRankMultiple!CC126</f>
        <v/>
      </c>
      <c r="G120" s="185"/>
      <c r="H120" s="185">
        <f ca="1">iRankMultiple!CE126</f>
        <v>0</v>
      </c>
      <c r="I120" s="186" t="str">
        <f ca="1">iRankMultiple!CF126</f>
        <v/>
      </c>
      <c r="J120" s="187" t="str">
        <f ca="1">iRankMultiple!CG126</f>
        <v/>
      </c>
      <c r="K120" s="188" t="str">
        <f ca="1">iRankMultiple!CH126</f>
        <v/>
      </c>
      <c r="L120" s="189" t="str">
        <f ca="1">iRankMultiple!CI126</f>
        <v/>
      </c>
      <c r="M120" s="185"/>
      <c r="N120" s="185">
        <f ca="1">iRankMultiple!CK126</f>
        <v>0</v>
      </c>
      <c r="O120" s="186" t="str">
        <f ca="1">iRankMultiple!CL126</f>
        <v/>
      </c>
      <c r="P120" s="187" t="str">
        <f ca="1">iRankMultiple!CM126</f>
        <v/>
      </c>
      <c r="Q120" s="188" t="str">
        <f ca="1">iRankMultiple!CN126</f>
        <v/>
      </c>
      <c r="R120" s="189" t="str">
        <f ca="1">iRankMultiple!CO126</f>
        <v/>
      </c>
      <c r="S120" s="185"/>
      <c r="T120" s="185">
        <f ca="1">iRankMultiple!CQ126</f>
        <v>0</v>
      </c>
      <c r="U120" s="186" t="str">
        <f ca="1">iRankMultiple!CR126</f>
        <v/>
      </c>
      <c r="V120" s="187" t="str">
        <f ca="1">iRankMultiple!CS126</f>
        <v/>
      </c>
      <c r="W120" s="188" t="str">
        <f ca="1">iRankMultiple!CT126</f>
        <v/>
      </c>
      <c r="X120" s="189" t="str">
        <f ca="1">iRankMultiple!CU126</f>
        <v/>
      </c>
      <c r="Y120" s="185"/>
      <c r="Z120" s="185"/>
    </row>
    <row r="121" spans="1:27" ht="14.45" hidden="1" x14ac:dyDescent="0.3">
      <c r="A121" s="138"/>
      <c r="B121" s="185">
        <f ca="1">iRankMultiple!BY127</f>
        <v>0</v>
      </c>
      <c r="C121" s="186" t="str">
        <f ca="1">iRankMultiple!BZ127</f>
        <v/>
      </c>
      <c r="D121" s="187" t="str">
        <f ca="1">iRankMultiple!CA127</f>
        <v/>
      </c>
      <c r="E121" s="188" t="str">
        <f ca="1">iRankMultiple!CB127</f>
        <v/>
      </c>
      <c r="F121" s="189" t="str">
        <f ca="1">iRankMultiple!CC127</f>
        <v/>
      </c>
      <c r="G121" s="185"/>
      <c r="H121" s="185">
        <f ca="1">iRankMultiple!CE127</f>
        <v>0</v>
      </c>
      <c r="I121" s="186" t="str">
        <f ca="1">iRankMultiple!CF127</f>
        <v/>
      </c>
      <c r="J121" s="187" t="str">
        <f ca="1">iRankMultiple!CG127</f>
        <v/>
      </c>
      <c r="K121" s="188" t="str">
        <f ca="1">iRankMultiple!CH127</f>
        <v/>
      </c>
      <c r="L121" s="189" t="str">
        <f ca="1">iRankMultiple!CI127</f>
        <v/>
      </c>
      <c r="M121" s="185"/>
      <c r="N121" s="185">
        <f ca="1">iRankMultiple!CK127</f>
        <v>0</v>
      </c>
      <c r="O121" s="186" t="str">
        <f ca="1">iRankMultiple!CL127</f>
        <v/>
      </c>
      <c r="P121" s="187" t="str">
        <f ca="1">iRankMultiple!CM127</f>
        <v/>
      </c>
      <c r="Q121" s="188" t="str">
        <f ca="1">iRankMultiple!CN127</f>
        <v/>
      </c>
      <c r="R121" s="189" t="str">
        <f ca="1">iRankMultiple!CO127</f>
        <v/>
      </c>
      <c r="S121" s="185"/>
      <c r="T121" s="185">
        <f ca="1">iRankMultiple!CQ127</f>
        <v>0</v>
      </c>
      <c r="U121" s="186" t="str">
        <f ca="1">iRankMultiple!CR127</f>
        <v/>
      </c>
      <c r="V121" s="187" t="str">
        <f ca="1">iRankMultiple!CS127</f>
        <v/>
      </c>
      <c r="W121" s="188" t="str">
        <f ca="1">iRankMultiple!CT127</f>
        <v/>
      </c>
      <c r="X121" s="189" t="str">
        <f ca="1">iRankMultiple!CU127</f>
        <v/>
      </c>
      <c r="Y121" s="185"/>
      <c r="Z121" s="185"/>
    </row>
    <row r="122" spans="1:27" ht="14.45" hidden="1" x14ac:dyDescent="0.3">
      <c r="A122" s="138"/>
      <c r="B122" s="185">
        <f ca="1">iRankMultiple!BY128</f>
        <v>0</v>
      </c>
      <c r="C122" s="186" t="str">
        <f ca="1">iRankMultiple!BZ128</f>
        <v/>
      </c>
      <c r="D122" s="187" t="str">
        <f ca="1">iRankMultiple!CA128</f>
        <v/>
      </c>
      <c r="E122" s="188" t="str">
        <f ca="1">iRankMultiple!CB128</f>
        <v/>
      </c>
      <c r="F122" s="189" t="str">
        <f ca="1">iRankMultiple!CC128</f>
        <v/>
      </c>
      <c r="G122" s="185"/>
      <c r="H122" s="185">
        <f ca="1">iRankMultiple!CE128</f>
        <v>0</v>
      </c>
      <c r="I122" s="186" t="str">
        <f ca="1">iRankMultiple!CF128</f>
        <v/>
      </c>
      <c r="J122" s="187" t="str">
        <f ca="1">iRankMultiple!CG128</f>
        <v/>
      </c>
      <c r="K122" s="188" t="str">
        <f ca="1">iRankMultiple!CH128</f>
        <v/>
      </c>
      <c r="L122" s="189" t="str">
        <f ca="1">iRankMultiple!CI128</f>
        <v/>
      </c>
      <c r="M122" s="185"/>
      <c r="N122" s="185">
        <f ca="1">iRankMultiple!CK128</f>
        <v>0</v>
      </c>
      <c r="O122" s="186" t="str">
        <f ca="1">iRankMultiple!CL128</f>
        <v/>
      </c>
      <c r="P122" s="187" t="str">
        <f ca="1">iRankMultiple!CM128</f>
        <v/>
      </c>
      <c r="Q122" s="188" t="str">
        <f ca="1">iRankMultiple!CN128</f>
        <v/>
      </c>
      <c r="R122" s="189" t="str">
        <f ca="1">iRankMultiple!CO128</f>
        <v/>
      </c>
      <c r="S122" s="185"/>
      <c r="T122" s="185">
        <f ca="1">iRankMultiple!CQ128</f>
        <v>0</v>
      </c>
      <c r="U122" s="186" t="str">
        <f ca="1">iRankMultiple!CR128</f>
        <v/>
      </c>
      <c r="V122" s="187" t="str">
        <f ca="1">iRankMultiple!CS128</f>
        <v/>
      </c>
      <c r="W122" s="188" t="str">
        <f ca="1">iRankMultiple!CT128</f>
        <v/>
      </c>
      <c r="X122" s="189" t="str">
        <f ca="1">iRankMultiple!CU128</f>
        <v/>
      </c>
      <c r="Y122" s="185"/>
      <c r="Z122" s="185"/>
    </row>
    <row r="123" spans="1:27" ht="14.45" hidden="1" x14ac:dyDescent="0.3">
      <c r="A123" s="138"/>
      <c r="B123" s="185">
        <f ca="1">iRankMultiple!BY129</f>
        <v>0</v>
      </c>
      <c r="C123" s="186" t="str">
        <f ca="1">iRankMultiple!BZ129</f>
        <v/>
      </c>
      <c r="D123" s="187" t="str">
        <f ca="1">iRankMultiple!CA129</f>
        <v/>
      </c>
      <c r="E123" s="188" t="str">
        <f ca="1">iRankMultiple!CB129</f>
        <v/>
      </c>
      <c r="F123" s="189" t="str">
        <f ca="1">iRankMultiple!CC129</f>
        <v/>
      </c>
      <c r="G123" s="185"/>
      <c r="H123" s="185">
        <f ca="1">iRankMultiple!CE129</f>
        <v>0</v>
      </c>
      <c r="I123" s="186" t="str">
        <f ca="1">iRankMultiple!CF129</f>
        <v/>
      </c>
      <c r="J123" s="187" t="str">
        <f ca="1">iRankMultiple!CG129</f>
        <v/>
      </c>
      <c r="K123" s="188" t="str">
        <f ca="1">iRankMultiple!CH129</f>
        <v/>
      </c>
      <c r="L123" s="189" t="str">
        <f ca="1">iRankMultiple!CI129</f>
        <v/>
      </c>
      <c r="M123" s="185"/>
      <c r="N123" s="185">
        <f ca="1">iRankMultiple!CK129</f>
        <v>0</v>
      </c>
      <c r="O123" s="186" t="str">
        <f ca="1">iRankMultiple!CL129</f>
        <v/>
      </c>
      <c r="P123" s="187" t="str">
        <f ca="1">iRankMultiple!CM129</f>
        <v/>
      </c>
      <c r="Q123" s="188" t="str">
        <f ca="1">iRankMultiple!CN129</f>
        <v/>
      </c>
      <c r="R123" s="189" t="str">
        <f ca="1">iRankMultiple!CO129</f>
        <v/>
      </c>
      <c r="S123" s="185"/>
      <c r="T123" s="185">
        <f ca="1">iRankMultiple!CQ129</f>
        <v>0</v>
      </c>
      <c r="U123" s="186" t="str">
        <f ca="1">iRankMultiple!CR129</f>
        <v/>
      </c>
      <c r="V123" s="187" t="str">
        <f ca="1">iRankMultiple!CS129</f>
        <v/>
      </c>
      <c r="W123" s="188" t="str">
        <f ca="1">iRankMultiple!CT129</f>
        <v/>
      </c>
      <c r="X123" s="189" t="str">
        <f ca="1">iRankMultiple!CU129</f>
        <v/>
      </c>
      <c r="Y123" s="185"/>
      <c r="Z123" s="185"/>
    </row>
    <row r="124" spans="1:27" ht="14.45" hidden="1" x14ac:dyDescent="0.3">
      <c r="A124" s="138"/>
      <c r="B124" s="185">
        <f ca="1">iRankMultiple!BY130</f>
        <v>0</v>
      </c>
      <c r="C124" s="186" t="str">
        <f ca="1">iRankMultiple!BZ130</f>
        <v/>
      </c>
      <c r="D124" s="187" t="str">
        <f ca="1">iRankMultiple!CA130</f>
        <v/>
      </c>
      <c r="E124" s="188" t="str">
        <f ca="1">iRankMultiple!CB130</f>
        <v/>
      </c>
      <c r="F124" s="189" t="str">
        <f ca="1">iRankMultiple!CC130</f>
        <v/>
      </c>
      <c r="G124" s="185"/>
      <c r="H124" s="185">
        <f ca="1">iRankMultiple!CE130</f>
        <v>0</v>
      </c>
      <c r="I124" s="186" t="str">
        <f ca="1">iRankMultiple!CF130</f>
        <v/>
      </c>
      <c r="J124" s="187" t="str">
        <f ca="1">iRankMultiple!CG130</f>
        <v/>
      </c>
      <c r="K124" s="188" t="str">
        <f ca="1">iRankMultiple!CH130</f>
        <v/>
      </c>
      <c r="L124" s="189" t="str">
        <f ca="1">iRankMultiple!CI130</f>
        <v/>
      </c>
      <c r="M124" s="185"/>
      <c r="N124" s="185">
        <f ca="1">iRankMultiple!CK130</f>
        <v>0</v>
      </c>
      <c r="O124" s="186" t="str">
        <f ca="1">iRankMultiple!CL130</f>
        <v/>
      </c>
      <c r="P124" s="187" t="str">
        <f ca="1">iRankMultiple!CM130</f>
        <v/>
      </c>
      <c r="Q124" s="188" t="str">
        <f ca="1">iRankMultiple!CN130</f>
        <v/>
      </c>
      <c r="R124" s="189" t="str">
        <f ca="1">iRankMultiple!CO130</f>
        <v/>
      </c>
      <c r="S124" s="185"/>
      <c r="T124" s="185">
        <f ca="1">iRankMultiple!CQ130</f>
        <v>0</v>
      </c>
      <c r="U124" s="186" t="str">
        <f ca="1">iRankMultiple!CR130</f>
        <v/>
      </c>
      <c r="V124" s="187" t="str">
        <f ca="1">iRankMultiple!CS130</f>
        <v/>
      </c>
      <c r="W124" s="188" t="str">
        <f ca="1">iRankMultiple!CT130</f>
        <v/>
      </c>
      <c r="X124" s="189" t="str">
        <f ca="1">iRankMultiple!CU130</f>
        <v/>
      </c>
      <c r="Y124" s="185"/>
      <c r="Z124" s="185"/>
    </row>
    <row r="125" spans="1:27" ht="14.45" hidden="1" x14ac:dyDescent="0.3">
      <c r="A125" s="138"/>
      <c r="B125" s="185">
        <f ca="1">iRankMultiple!BY131</f>
        <v>0</v>
      </c>
      <c r="C125" s="186" t="str">
        <f ca="1">iRankMultiple!BZ131</f>
        <v/>
      </c>
      <c r="D125" s="187" t="str">
        <f ca="1">iRankMultiple!CA131</f>
        <v/>
      </c>
      <c r="E125" s="188" t="str">
        <f ca="1">iRankMultiple!CB131</f>
        <v/>
      </c>
      <c r="F125" s="189" t="str">
        <f ca="1">iRankMultiple!CC131</f>
        <v/>
      </c>
      <c r="G125" s="185"/>
      <c r="H125" s="185">
        <f ca="1">iRankMultiple!CE131</f>
        <v>0</v>
      </c>
      <c r="I125" s="186" t="str">
        <f ca="1">iRankMultiple!CF131</f>
        <v/>
      </c>
      <c r="J125" s="187" t="str">
        <f ca="1">iRankMultiple!CG131</f>
        <v/>
      </c>
      <c r="K125" s="188" t="str">
        <f ca="1">iRankMultiple!CH131</f>
        <v/>
      </c>
      <c r="L125" s="189" t="str">
        <f ca="1">iRankMultiple!CI131</f>
        <v/>
      </c>
      <c r="M125" s="185"/>
      <c r="N125" s="185">
        <f ca="1">iRankMultiple!CK131</f>
        <v>0</v>
      </c>
      <c r="O125" s="186" t="str">
        <f ca="1">iRankMultiple!CL131</f>
        <v/>
      </c>
      <c r="P125" s="187" t="str">
        <f ca="1">iRankMultiple!CM131</f>
        <v/>
      </c>
      <c r="Q125" s="188" t="str">
        <f ca="1">iRankMultiple!CN131</f>
        <v/>
      </c>
      <c r="R125" s="189" t="str">
        <f ca="1">iRankMultiple!CO131</f>
        <v/>
      </c>
      <c r="S125" s="185"/>
      <c r="T125" s="185">
        <f ca="1">iRankMultiple!CQ131</f>
        <v>0</v>
      </c>
      <c r="U125" s="186" t="str">
        <f ca="1">iRankMultiple!CR131</f>
        <v/>
      </c>
      <c r="V125" s="187" t="str">
        <f ca="1">iRankMultiple!CS131</f>
        <v/>
      </c>
      <c r="W125" s="188" t="str">
        <f ca="1">iRankMultiple!CT131</f>
        <v/>
      </c>
      <c r="X125" s="189" t="str">
        <f ca="1">iRankMultiple!CU131</f>
        <v/>
      </c>
      <c r="Y125" s="185"/>
      <c r="Z125" s="185"/>
    </row>
    <row r="126" spans="1:27" ht="14.45" hidden="1" x14ac:dyDescent="0.3">
      <c r="A126" s="138"/>
      <c r="B126" s="185"/>
      <c r="C126" s="186"/>
      <c r="D126" s="187"/>
      <c r="E126" s="188"/>
      <c r="F126" s="189"/>
      <c r="G126" s="185"/>
      <c r="H126" s="185"/>
      <c r="I126" s="186"/>
      <c r="J126" s="187"/>
      <c r="K126" s="188"/>
      <c r="L126" s="189"/>
      <c r="M126" s="185"/>
      <c r="N126" s="185"/>
      <c r="O126" s="186"/>
      <c r="P126" s="187"/>
      <c r="Q126" s="188"/>
      <c r="R126" s="189"/>
      <c r="S126" s="185"/>
      <c r="T126" s="185"/>
      <c r="U126" s="186"/>
      <c r="V126" s="187"/>
      <c r="W126" s="188"/>
      <c r="X126" s="189"/>
      <c r="Y126" s="185"/>
      <c r="Z126" s="185"/>
    </row>
    <row r="127" spans="1:27" ht="14.45" hidden="1" x14ac:dyDescent="0.3">
      <c r="A127" s="138"/>
      <c r="B127" s="185"/>
      <c r="C127" s="186"/>
      <c r="D127" s="187"/>
      <c r="E127" s="188"/>
      <c r="F127" s="189"/>
      <c r="G127" s="185"/>
      <c r="H127" s="185"/>
      <c r="I127" s="186"/>
      <c r="J127" s="187"/>
      <c r="K127" s="188"/>
      <c r="L127" s="189"/>
      <c r="M127" s="185"/>
      <c r="N127" s="185"/>
      <c r="O127" s="186"/>
      <c r="P127" s="187"/>
      <c r="Q127" s="188"/>
      <c r="R127" s="189"/>
      <c r="S127" s="185"/>
      <c r="T127" s="185"/>
      <c r="U127" s="186"/>
      <c r="V127" s="187"/>
      <c r="W127" s="188"/>
      <c r="X127" s="189"/>
      <c r="Y127" s="185"/>
      <c r="Z127" s="185"/>
    </row>
    <row r="128" spans="1:27" s="25" customFormat="1" ht="14.45" hidden="1" x14ac:dyDescent="0.3">
      <c r="A128" s="116"/>
      <c r="B128" s="116"/>
      <c r="C128" s="268" t="str">
        <f>iRankMultiple!CX102</f>
        <v/>
      </c>
      <c r="D128" s="268"/>
      <c r="E128" s="268"/>
      <c r="F128" s="268"/>
      <c r="G128" s="116"/>
      <c r="H128" s="190"/>
      <c r="I128" s="268" t="str">
        <f>iRankMultiple!DD102</f>
        <v/>
      </c>
      <c r="J128" s="268"/>
      <c r="K128" s="268"/>
      <c r="L128" s="268"/>
      <c r="M128" s="116"/>
      <c r="N128" s="190"/>
      <c r="O128" s="268" t="str">
        <f>iRankMultiple!DJ102</f>
        <v/>
      </c>
      <c r="P128" s="268"/>
      <c r="Q128" s="268"/>
      <c r="R128" s="268"/>
      <c r="S128" s="190"/>
      <c r="T128" s="190"/>
      <c r="U128" s="268" t="str">
        <f>iRankMultiple!DP102</f>
        <v/>
      </c>
      <c r="V128" s="268"/>
      <c r="W128" s="268"/>
      <c r="X128" s="268"/>
      <c r="Y128" s="184"/>
      <c r="Z128" s="184"/>
      <c r="AA128" s="183"/>
    </row>
    <row r="129" spans="1:27" s="40" customFormat="1" ht="30" hidden="1" customHeight="1" x14ac:dyDescent="0.3">
      <c r="A129" s="116"/>
      <c r="B129" s="116"/>
      <c r="C129" s="266" t="str">
        <f>iRankMultiple!CX103</f>
        <v/>
      </c>
      <c r="D129" s="266"/>
      <c r="E129" s="266"/>
      <c r="F129" s="266"/>
      <c r="G129" s="116"/>
      <c r="H129" s="191"/>
      <c r="I129" s="266" t="str">
        <f>iRankMultiple!DD103</f>
        <v/>
      </c>
      <c r="J129" s="266"/>
      <c r="K129" s="266"/>
      <c r="L129" s="266"/>
      <c r="M129" s="116"/>
      <c r="N129" s="191"/>
      <c r="O129" s="266" t="str">
        <f>iRankMultiple!DJ103</f>
        <v/>
      </c>
      <c r="P129" s="266"/>
      <c r="Q129" s="266"/>
      <c r="R129" s="266"/>
      <c r="S129" s="191"/>
      <c r="T129" s="191"/>
      <c r="U129" s="266" t="str">
        <f>iRankMultiple!DP103</f>
        <v/>
      </c>
      <c r="V129" s="266"/>
      <c r="W129" s="266"/>
      <c r="X129" s="266"/>
      <c r="Y129" s="184"/>
      <c r="Z129" s="184"/>
      <c r="AA129" s="148"/>
    </row>
    <row r="130" spans="1:27" ht="13.5" hidden="1" customHeight="1" x14ac:dyDescent="0.3">
      <c r="A130" s="116"/>
      <c r="B130" s="116"/>
      <c r="C130" s="267" t="str">
        <f>iRankMultiple!CX104</f>
        <v/>
      </c>
      <c r="D130" s="267"/>
      <c r="E130" s="267"/>
      <c r="F130" s="267"/>
      <c r="G130" s="116"/>
      <c r="H130" s="184"/>
      <c r="I130" s="267" t="str">
        <f>iRankMultiple!DD104</f>
        <v/>
      </c>
      <c r="J130" s="267"/>
      <c r="K130" s="267"/>
      <c r="L130" s="267"/>
      <c r="M130" s="116"/>
      <c r="N130" s="184"/>
      <c r="O130" s="267" t="str">
        <f>iRankMultiple!DJ104</f>
        <v/>
      </c>
      <c r="P130" s="267"/>
      <c r="Q130" s="267"/>
      <c r="R130" s="267"/>
      <c r="S130" s="184"/>
      <c r="T130" s="184"/>
      <c r="U130" s="267" t="str">
        <f>iRankMultiple!DP104</f>
        <v/>
      </c>
      <c r="V130" s="267"/>
      <c r="W130" s="267"/>
      <c r="X130" s="267"/>
      <c r="Y130" s="184"/>
      <c r="Z130" s="184"/>
    </row>
    <row r="131" spans="1:27" ht="14.45" hidden="1" x14ac:dyDescent="0.3">
      <c r="A131" s="138"/>
      <c r="B131" s="138">
        <f ca="1">iRankMultiple!CW106</f>
        <v>0</v>
      </c>
      <c r="C131" s="186" t="str">
        <f ca="1">iRankMultiple!CX106</f>
        <v/>
      </c>
      <c r="D131" s="187" t="str">
        <f ca="1">iRankMultiple!CY106</f>
        <v/>
      </c>
      <c r="E131" s="188" t="str">
        <f ca="1">iRankMultiple!CZ106</f>
        <v/>
      </c>
      <c r="F131" s="189" t="str">
        <f ca="1">iRankMultiple!DA106</f>
        <v/>
      </c>
      <c r="G131" s="185"/>
      <c r="H131" s="185">
        <f ca="1">iRankMultiple!DC106</f>
        <v>0</v>
      </c>
      <c r="I131" s="186" t="str">
        <f ca="1">iRankMultiple!DD106</f>
        <v/>
      </c>
      <c r="J131" s="187" t="str">
        <f ca="1">iRankMultiple!DE106</f>
        <v/>
      </c>
      <c r="K131" s="188" t="str">
        <f ca="1">iRankMultiple!DF106</f>
        <v/>
      </c>
      <c r="L131" s="189" t="str">
        <f ca="1">iRankMultiple!DG106</f>
        <v/>
      </c>
      <c r="M131" s="138"/>
      <c r="N131" s="185">
        <f ca="1">iRankMultiple!DI106</f>
        <v>0</v>
      </c>
      <c r="O131" s="186" t="str">
        <f ca="1">iRankMultiple!DJ106</f>
        <v/>
      </c>
      <c r="P131" s="187" t="str">
        <f ca="1">iRankMultiple!DK106</f>
        <v/>
      </c>
      <c r="Q131" s="188" t="str">
        <f ca="1">iRankMultiple!DL106</f>
        <v/>
      </c>
      <c r="R131" s="189" t="str">
        <f ca="1">iRankMultiple!DM106</f>
        <v/>
      </c>
      <c r="S131" s="185"/>
      <c r="T131" s="185">
        <f ca="1">iRankMultiple!DO106</f>
        <v>0</v>
      </c>
      <c r="U131" s="186" t="str">
        <f ca="1">iRankMultiple!DP106</f>
        <v/>
      </c>
      <c r="V131" s="187" t="str">
        <f ca="1">iRankMultiple!DQ106</f>
        <v/>
      </c>
      <c r="W131" s="188" t="str">
        <f ca="1">iRankMultiple!DR106</f>
        <v/>
      </c>
      <c r="X131" s="189" t="str">
        <f ca="1">iRankMultiple!DS106</f>
        <v/>
      </c>
      <c r="Y131" s="185"/>
      <c r="Z131" s="185"/>
    </row>
    <row r="132" spans="1:27" ht="14.45" hidden="1" x14ac:dyDescent="0.3">
      <c r="A132" s="138"/>
      <c r="B132" s="185">
        <f ca="1">iRankMultiple!CW107</f>
        <v>0</v>
      </c>
      <c r="C132" s="186" t="str">
        <f ca="1">iRankMultiple!CX107</f>
        <v/>
      </c>
      <c r="D132" s="187" t="str">
        <f ca="1">iRankMultiple!CY107</f>
        <v/>
      </c>
      <c r="E132" s="188" t="str">
        <f ca="1">iRankMultiple!CZ107</f>
        <v/>
      </c>
      <c r="F132" s="189" t="str">
        <f ca="1">iRankMultiple!DA107</f>
        <v/>
      </c>
      <c r="G132" s="185"/>
      <c r="H132" s="185">
        <f ca="1">iRankMultiple!DC107</f>
        <v>0</v>
      </c>
      <c r="I132" s="186" t="str">
        <f ca="1">iRankMultiple!DD107</f>
        <v/>
      </c>
      <c r="J132" s="187" t="str">
        <f ca="1">iRankMultiple!DE107</f>
        <v/>
      </c>
      <c r="K132" s="188" t="str">
        <f ca="1">iRankMultiple!DF107</f>
        <v/>
      </c>
      <c r="L132" s="189" t="str">
        <f ca="1">iRankMultiple!DG107</f>
        <v/>
      </c>
      <c r="M132" s="138"/>
      <c r="N132" s="185">
        <f ca="1">iRankMultiple!DI107</f>
        <v>0</v>
      </c>
      <c r="O132" s="186" t="str">
        <f ca="1">iRankMultiple!DJ107</f>
        <v/>
      </c>
      <c r="P132" s="187" t="str">
        <f ca="1">iRankMultiple!DK107</f>
        <v/>
      </c>
      <c r="Q132" s="188" t="str">
        <f ca="1">iRankMultiple!DL107</f>
        <v/>
      </c>
      <c r="R132" s="189" t="str">
        <f ca="1">iRankMultiple!DM107</f>
        <v/>
      </c>
      <c r="S132" s="185"/>
      <c r="T132" s="185">
        <f ca="1">iRankMultiple!DO107</f>
        <v>0</v>
      </c>
      <c r="U132" s="186" t="str">
        <f ca="1">iRankMultiple!DP107</f>
        <v/>
      </c>
      <c r="V132" s="187" t="str">
        <f ca="1">iRankMultiple!DQ107</f>
        <v/>
      </c>
      <c r="W132" s="188" t="str">
        <f ca="1">iRankMultiple!DR107</f>
        <v/>
      </c>
      <c r="X132" s="189" t="str">
        <f ca="1">iRankMultiple!DS107</f>
        <v/>
      </c>
      <c r="Y132" s="185"/>
      <c r="Z132" s="185"/>
    </row>
    <row r="133" spans="1:27" ht="14.45" hidden="1" x14ac:dyDescent="0.3">
      <c r="A133" s="138"/>
      <c r="B133" s="185">
        <f ca="1">iRankMultiple!CW108</f>
        <v>0</v>
      </c>
      <c r="C133" s="186" t="str">
        <f ca="1">iRankMultiple!CX108</f>
        <v/>
      </c>
      <c r="D133" s="187" t="str">
        <f ca="1">iRankMultiple!CY108</f>
        <v/>
      </c>
      <c r="E133" s="188" t="str">
        <f ca="1">iRankMultiple!CZ108</f>
        <v/>
      </c>
      <c r="F133" s="189" t="str">
        <f ca="1">iRankMultiple!DA108</f>
        <v/>
      </c>
      <c r="G133" s="185"/>
      <c r="H133" s="185">
        <f ca="1">iRankMultiple!DC108</f>
        <v>0</v>
      </c>
      <c r="I133" s="186" t="str">
        <f ca="1">iRankMultiple!DD108</f>
        <v/>
      </c>
      <c r="J133" s="187" t="str">
        <f ca="1">iRankMultiple!DE108</f>
        <v/>
      </c>
      <c r="K133" s="188" t="str">
        <f ca="1">iRankMultiple!DF108</f>
        <v/>
      </c>
      <c r="L133" s="189" t="str">
        <f ca="1">iRankMultiple!DG108</f>
        <v/>
      </c>
      <c r="M133" s="185"/>
      <c r="N133" s="185">
        <f ca="1">iRankMultiple!DI108</f>
        <v>0</v>
      </c>
      <c r="O133" s="186" t="str">
        <f ca="1">iRankMultiple!DJ108</f>
        <v/>
      </c>
      <c r="P133" s="187" t="str">
        <f ca="1">iRankMultiple!DK108</f>
        <v/>
      </c>
      <c r="Q133" s="188" t="str">
        <f ca="1">iRankMultiple!DL108</f>
        <v/>
      </c>
      <c r="R133" s="189" t="str">
        <f ca="1">iRankMultiple!DM108</f>
        <v/>
      </c>
      <c r="S133" s="185"/>
      <c r="T133" s="185">
        <f ca="1">iRankMultiple!DO108</f>
        <v>0</v>
      </c>
      <c r="U133" s="186" t="str">
        <f ca="1">iRankMultiple!DP108</f>
        <v/>
      </c>
      <c r="V133" s="187" t="str">
        <f ca="1">iRankMultiple!DQ108</f>
        <v/>
      </c>
      <c r="W133" s="188" t="str">
        <f ca="1">iRankMultiple!DR108</f>
        <v/>
      </c>
      <c r="X133" s="189" t="str">
        <f ca="1">iRankMultiple!DS108</f>
        <v/>
      </c>
      <c r="Y133" s="185"/>
      <c r="Z133" s="185"/>
    </row>
    <row r="134" spans="1:27" ht="14.45" hidden="1" x14ac:dyDescent="0.3">
      <c r="A134" s="138"/>
      <c r="B134" s="185">
        <f ca="1">iRankMultiple!CW109</f>
        <v>0</v>
      </c>
      <c r="C134" s="186" t="str">
        <f ca="1">iRankMultiple!CX109</f>
        <v/>
      </c>
      <c r="D134" s="187" t="str">
        <f ca="1">iRankMultiple!CY109</f>
        <v/>
      </c>
      <c r="E134" s="188" t="str">
        <f ca="1">iRankMultiple!CZ109</f>
        <v/>
      </c>
      <c r="F134" s="189" t="str">
        <f ca="1">iRankMultiple!DA109</f>
        <v/>
      </c>
      <c r="G134" s="185"/>
      <c r="H134" s="185">
        <f ca="1">iRankMultiple!DC109</f>
        <v>0</v>
      </c>
      <c r="I134" s="186" t="str">
        <f ca="1">iRankMultiple!DD109</f>
        <v/>
      </c>
      <c r="J134" s="187" t="str">
        <f ca="1">iRankMultiple!DE109</f>
        <v/>
      </c>
      <c r="K134" s="188" t="str">
        <f ca="1">iRankMultiple!DF109</f>
        <v/>
      </c>
      <c r="L134" s="189" t="str">
        <f ca="1">iRankMultiple!DG109</f>
        <v/>
      </c>
      <c r="M134" s="185"/>
      <c r="N134" s="185">
        <f ca="1">iRankMultiple!DI109</f>
        <v>0</v>
      </c>
      <c r="O134" s="186" t="str">
        <f ca="1">iRankMultiple!DJ109</f>
        <v/>
      </c>
      <c r="P134" s="187" t="str">
        <f ca="1">iRankMultiple!DK109</f>
        <v/>
      </c>
      <c r="Q134" s="188" t="str">
        <f ca="1">iRankMultiple!DL109</f>
        <v/>
      </c>
      <c r="R134" s="189" t="str">
        <f ca="1">iRankMultiple!DM109</f>
        <v/>
      </c>
      <c r="S134" s="185"/>
      <c r="T134" s="185">
        <f ca="1">iRankMultiple!DO109</f>
        <v>0</v>
      </c>
      <c r="U134" s="186" t="str">
        <f ca="1">iRankMultiple!DP109</f>
        <v/>
      </c>
      <c r="V134" s="187" t="str">
        <f ca="1">iRankMultiple!DQ109</f>
        <v/>
      </c>
      <c r="W134" s="188" t="str">
        <f ca="1">iRankMultiple!DR109</f>
        <v/>
      </c>
      <c r="X134" s="189" t="str">
        <f ca="1">iRankMultiple!DS109</f>
        <v/>
      </c>
      <c r="Y134" s="185"/>
      <c r="Z134" s="185"/>
    </row>
    <row r="135" spans="1:27" ht="14.45" hidden="1" x14ac:dyDescent="0.3">
      <c r="A135" s="138"/>
      <c r="B135" s="185">
        <f ca="1">iRankMultiple!CW110</f>
        <v>0</v>
      </c>
      <c r="C135" s="186" t="str">
        <f ca="1">iRankMultiple!CX110</f>
        <v/>
      </c>
      <c r="D135" s="187" t="str">
        <f ca="1">iRankMultiple!CY110</f>
        <v/>
      </c>
      <c r="E135" s="188" t="str">
        <f ca="1">iRankMultiple!CZ110</f>
        <v/>
      </c>
      <c r="F135" s="189" t="str">
        <f ca="1">iRankMultiple!DA110</f>
        <v/>
      </c>
      <c r="G135" s="185"/>
      <c r="H135" s="185">
        <f ca="1">iRankMultiple!DC110</f>
        <v>0</v>
      </c>
      <c r="I135" s="186" t="str">
        <f ca="1">iRankMultiple!DD110</f>
        <v/>
      </c>
      <c r="J135" s="187" t="str">
        <f ca="1">iRankMultiple!DE110</f>
        <v/>
      </c>
      <c r="K135" s="188" t="str">
        <f ca="1">iRankMultiple!DF110</f>
        <v/>
      </c>
      <c r="L135" s="189" t="str">
        <f ca="1">iRankMultiple!DG110</f>
        <v/>
      </c>
      <c r="M135" s="185"/>
      <c r="N135" s="185">
        <f ca="1">iRankMultiple!DI110</f>
        <v>0</v>
      </c>
      <c r="O135" s="186" t="str">
        <f ca="1">iRankMultiple!DJ110</f>
        <v/>
      </c>
      <c r="P135" s="187" t="str">
        <f ca="1">iRankMultiple!DK110</f>
        <v/>
      </c>
      <c r="Q135" s="188" t="str">
        <f ca="1">iRankMultiple!DL110</f>
        <v/>
      </c>
      <c r="R135" s="189" t="str">
        <f ca="1">iRankMultiple!DM110</f>
        <v/>
      </c>
      <c r="S135" s="185"/>
      <c r="T135" s="185">
        <f ca="1">iRankMultiple!DO110</f>
        <v>0</v>
      </c>
      <c r="U135" s="186" t="str">
        <f ca="1">iRankMultiple!DP110</f>
        <v/>
      </c>
      <c r="V135" s="187" t="str">
        <f ca="1">iRankMultiple!DQ110</f>
        <v/>
      </c>
      <c r="W135" s="188" t="str">
        <f ca="1">iRankMultiple!DR110</f>
        <v/>
      </c>
      <c r="X135" s="189" t="str">
        <f ca="1">iRankMultiple!DS110</f>
        <v/>
      </c>
      <c r="Y135" s="185"/>
      <c r="Z135" s="185"/>
    </row>
    <row r="136" spans="1:27" ht="14.45" hidden="1" x14ac:dyDescent="0.3">
      <c r="A136" s="138"/>
      <c r="B136" s="185">
        <f ca="1">iRankMultiple!CW111</f>
        <v>0</v>
      </c>
      <c r="C136" s="186" t="str">
        <f ca="1">iRankMultiple!CX111</f>
        <v/>
      </c>
      <c r="D136" s="187" t="str">
        <f ca="1">iRankMultiple!CY111</f>
        <v/>
      </c>
      <c r="E136" s="188" t="str">
        <f ca="1">iRankMultiple!CZ111</f>
        <v/>
      </c>
      <c r="F136" s="189" t="str">
        <f ca="1">iRankMultiple!DA111</f>
        <v/>
      </c>
      <c r="G136" s="185"/>
      <c r="H136" s="185">
        <f ca="1">iRankMultiple!DC111</f>
        <v>0</v>
      </c>
      <c r="I136" s="186" t="str">
        <f ca="1">iRankMultiple!DD111</f>
        <v/>
      </c>
      <c r="J136" s="187" t="str">
        <f ca="1">iRankMultiple!DE111</f>
        <v/>
      </c>
      <c r="K136" s="188" t="str">
        <f ca="1">iRankMultiple!DF111</f>
        <v/>
      </c>
      <c r="L136" s="189" t="str">
        <f ca="1">iRankMultiple!DG111</f>
        <v/>
      </c>
      <c r="M136" s="185"/>
      <c r="N136" s="185">
        <f ca="1">iRankMultiple!DI111</f>
        <v>0</v>
      </c>
      <c r="O136" s="186" t="str">
        <f ca="1">iRankMultiple!DJ111</f>
        <v/>
      </c>
      <c r="P136" s="187" t="str">
        <f ca="1">iRankMultiple!DK111</f>
        <v/>
      </c>
      <c r="Q136" s="188" t="str">
        <f ca="1">iRankMultiple!DL111</f>
        <v/>
      </c>
      <c r="R136" s="189" t="str">
        <f ca="1">iRankMultiple!DM111</f>
        <v/>
      </c>
      <c r="S136" s="185"/>
      <c r="T136" s="185">
        <f ca="1">iRankMultiple!DO111</f>
        <v>0</v>
      </c>
      <c r="U136" s="186" t="str">
        <f ca="1">iRankMultiple!DP111</f>
        <v/>
      </c>
      <c r="V136" s="187" t="str">
        <f ca="1">iRankMultiple!DQ111</f>
        <v/>
      </c>
      <c r="W136" s="188" t="str">
        <f ca="1">iRankMultiple!DR111</f>
        <v/>
      </c>
      <c r="X136" s="189" t="str">
        <f ca="1">iRankMultiple!DS111</f>
        <v/>
      </c>
      <c r="Y136" s="185"/>
      <c r="Z136" s="185"/>
    </row>
    <row r="137" spans="1:27" ht="14.45" hidden="1" x14ac:dyDescent="0.3">
      <c r="A137" s="138"/>
      <c r="B137" s="185">
        <f ca="1">iRankMultiple!CW112</f>
        <v>0</v>
      </c>
      <c r="C137" s="186" t="str">
        <f ca="1">iRankMultiple!CX112</f>
        <v/>
      </c>
      <c r="D137" s="187" t="str">
        <f ca="1">iRankMultiple!CY112</f>
        <v/>
      </c>
      <c r="E137" s="188" t="str">
        <f ca="1">iRankMultiple!CZ112</f>
        <v/>
      </c>
      <c r="F137" s="189" t="str">
        <f ca="1">iRankMultiple!DA112</f>
        <v/>
      </c>
      <c r="G137" s="185"/>
      <c r="H137" s="185">
        <f ca="1">iRankMultiple!DC112</f>
        <v>0</v>
      </c>
      <c r="I137" s="186" t="str">
        <f ca="1">iRankMultiple!DD112</f>
        <v/>
      </c>
      <c r="J137" s="187" t="str">
        <f ca="1">iRankMultiple!DE112</f>
        <v/>
      </c>
      <c r="K137" s="188" t="str">
        <f ca="1">iRankMultiple!DF112</f>
        <v/>
      </c>
      <c r="L137" s="189" t="str">
        <f ca="1">iRankMultiple!DG112</f>
        <v/>
      </c>
      <c r="M137" s="185"/>
      <c r="N137" s="185">
        <f ca="1">iRankMultiple!DI112</f>
        <v>0</v>
      </c>
      <c r="O137" s="186" t="str">
        <f ca="1">iRankMultiple!DJ112</f>
        <v/>
      </c>
      <c r="P137" s="187" t="str">
        <f ca="1">iRankMultiple!DK112</f>
        <v/>
      </c>
      <c r="Q137" s="188" t="str">
        <f ca="1">iRankMultiple!DL112</f>
        <v/>
      </c>
      <c r="R137" s="189" t="str">
        <f ca="1">iRankMultiple!DM112</f>
        <v/>
      </c>
      <c r="S137" s="185"/>
      <c r="T137" s="185">
        <f ca="1">iRankMultiple!DO112</f>
        <v>0</v>
      </c>
      <c r="U137" s="186" t="str">
        <f ca="1">iRankMultiple!DP112</f>
        <v/>
      </c>
      <c r="V137" s="187" t="str">
        <f ca="1">iRankMultiple!DQ112</f>
        <v/>
      </c>
      <c r="W137" s="188" t="str">
        <f ca="1">iRankMultiple!DR112</f>
        <v/>
      </c>
      <c r="X137" s="189" t="str">
        <f ca="1">iRankMultiple!DS112</f>
        <v/>
      </c>
      <c r="Y137" s="185"/>
      <c r="Z137" s="185"/>
    </row>
    <row r="138" spans="1:27" ht="14.45" hidden="1" x14ac:dyDescent="0.3">
      <c r="A138" s="138"/>
      <c r="B138" s="185">
        <f ca="1">iRankMultiple!CW113</f>
        <v>0</v>
      </c>
      <c r="C138" s="186" t="str">
        <f ca="1">iRankMultiple!CX113</f>
        <v/>
      </c>
      <c r="D138" s="187" t="str">
        <f ca="1">iRankMultiple!CY113</f>
        <v/>
      </c>
      <c r="E138" s="188" t="str">
        <f ca="1">iRankMultiple!CZ113</f>
        <v/>
      </c>
      <c r="F138" s="189" t="str">
        <f ca="1">iRankMultiple!DA113</f>
        <v/>
      </c>
      <c r="G138" s="185"/>
      <c r="H138" s="185">
        <f ca="1">iRankMultiple!DC113</f>
        <v>0</v>
      </c>
      <c r="I138" s="186" t="str">
        <f ca="1">iRankMultiple!DD113</f>
        <v/>
      </c>
      <c r="J138" s="187" t="str">
        <f ca="1">iRankMultiple!DE113</f>
        <v/>
      </c>
      <c r="K138" s="188" t="str">
        <f ca="1">iRankMultiple!DF113</f>
        <v/>
      </c>
      <c r="L138" s="189" t="str">
        <f ca="1">iRankMultiple!DG113</f>
        <v/>
      </c>
      <c r="M138" s="185"/>
      <c r="N138" s="185">
        <f ca="1">iRankMultiple!DI113</f>
        <v>0</v>
      </c>
      <c r="O138" s="186" t="str">
        <f ca="1">iRankMultiple!DJ113</f>
        <v/>
      </c>
      <c r="P138" s="187" t="str">
        <f ca="1">iRankMultiple!DK113</f>
        <v/>
      </c>
      <c r="Q138" s="188" t="str">
        <f ca="1">iRankMultiple!DL113</f>
        <v/>
      </c>
      <c r="R138" s="189" t="str">
        <f ca="1">iRankMultiple!DM113</f>
        <v/>
      </c>
      <c r="S138" s="185"/>
      <c r="T138" s="185">
        <f ca="1">iRankMultiple!DO113</f>
        <v>0</v>
      </c>
      <c r="U138" s="186" t="str">
        <f ca="1">iRankMultiple!DP113</f>
        <v/>
      </c>
      <c r="V138" s="187" t="str">
        <f ca="1">iRankMultiple!DQ113</f>
        <v/>
      </c>
      <c r="W138" s="188" t="str">
        <f ca="1">iRankMultiple!DR113</f>
        <v/>
      </c>
      <c r="X138" s="189" t="str">
        <f ca="1">iRankMultiple!DS113</f>
        <v/>
      </c>
      <c r="Y138" s="185"/>
      <c r="Z138" s="185"/>
    </row>
    <row r="139" spans="1:27" ht="14.45" hidden="1" x14ac:dyDescent="0.3">
      <c r="A139" s="138"/>
      <c r="B139" s="185">
        <f ca="1">iRankMultiple!CW114</f>
        <v>0</v>
      </c>
      <c r="C139" s="186" t="str">
        <f ca="1">iRankMultiple!CX114</f>
        <v/>
      </c>
      <c r="D139" s="187" t="str">
        <f ca="1">iRankMultiple!CY114</f>
        <v/>
      </c>
      <c r="E139" s="188" t="str">
        <f ca="1">iRankMultiple!CZ114</f>
        <v/>
      </c>
      <c r="F139" s="189" t="str">
        <f ca="1">iRankMultiple!DA114</f>
        <v/>
      </c>
      <c r="G139" s="185"/>
      <c r="H139" s="185">
        <f ca="1">iRankMultiple!DC114</f>
        <v>0</v>
      </c>
      <c r="I139" s="186" t="str">
        <f ca="1">iRankMultiple!DD114</f>
        <v/>
      </c>
      <c r="J139" s="187" t="str">
        <f ca="1">iRankMultiple!DE114</f>
        <v/>
      </c>
      <c r="K139" s="188" t="str">
        <f ca="1">iRankMultiple!DF114</f>
        <v/>
      </c>
      <c r="L139" s="189" t="str">
        <f ca="1">iRankMultiple!DG114</f>
        <v/>
      </c>
      <c r="M139" s="185"/>
      <c r="N139" s="185">
        <f ca="1">iRankMultiple!DI114</f>
        <v>0</v>
      </c>
      <c r="O139" s="186" t="str">
        <f ca="1">iRankMultiple!DJ114</f>
        <v/>
      </c>
      <c r="P139" s="187" t="str">
        <f ca="1">iRankMultiple!DK114</f>
        <v/>
      </c>
      <c r="Q139" s="188" t="str">
        <f ca="1">iRankMultiple!DL114</f>
        <v/>
      </c>
      <c r="R139" s="189" t="str">
        <f ca="1">iRankMultiple!DM114</f>
        <v/>
      </c>
      <c r="S139" s="185"/>
      <c r="T139" s="185">
        <f ca="1">iRankMultiple!DO114</f>
        <v>0</v>
      </c>
      <c r="U139" s="186" t="str">
        <f ca="1">iRankMultiple!DP114</f>
        <v/>
      </c>
      <c r="V139" s="187" t="str">
        <f ca="1">iRankMultiple!DQ114</f>
        <v/>
      </c>
      <c r="W139" s="188" t="str">
        <f ca="1">iRankMultiple!DR114</f>
        <v/>
      </c>
      <c r="X139" s="189" t="str">
        <f ca="1">iRankMultiple!DS114</f>
        <v/>
      </c>
      <c r="Y139" s="185"/>
      <c r="Z139" s="185"/>
    </row>
    <row r="140" spans="1:27" ht="14.45" hidden="1" x14ac:dyDescent="0.3">
      <c r="A140" s="138"/>
      <c r="B140" s="185">
        <f ca="1">iRankMultiple!CW115</f>
        <v>0</v>
      </c>
      <c r="C140" s="186" t="str">
        <f ca="1">iRankMultiple!CX115</f>
        <v/>
      </c>
      <c r="D140" s="187" t="str">
        <f ca="1">iRankMultiple!CY115</f>
        <v/>
      </c>
      <c r="E140" s="188" t="str">
        <f ca="1">iRankMultiple!CZ115</f>
        <v/>
      </c>
      <c r="F140" s="189" t="str">
        <f ca="1">iRankMultiple!DA115</f>
        <v/>
      </c>
      <c r="G140" s="185"/>
      <c r="H140" s="185">
        <f ca="1">iRankMultiple!DC115</f>
        <v>0</v>
      </c>
      <c r="I140" s="186" t="str">
        <f ca="1">iRankMultiple!DD115</f>
        <v/>
      </c>
      <c r="J140" s="187" t="str">
        <f ca="1">iRankMultiple!DE115</f>
        <v/>
      </c>
      <c r="K140" s="188" t="str">
        <f ca="1">iRankMultiple!DF115</f>
        <v/>
      </c>
      <c r="L140" s="189" t="str">
        <f ca="1">iRankMultiple!DG115</f>
        <v/>
      </c>
      <c r="M140" s="185"/>
      <c r="N140" s="185">
        <f ca="1">iRankMultiple!DI115</f>
        <v>0</v>
      </c>
      <c r="O140" s="186" t="str">
        <f ca="1">iRankMultiple!DJ115</f>
        <v/>
      </c>
      <c r="P140" s="187" t="str">
        <f ca="1">iRankMultiple!DK115</f>
        <v/>
      </c>
      <c r="Q140" s="188" t="str">
        <f ca="1">iRankMultiple!DL115</f>
        <v/>
      </c>
      <c r="R140" s="189" t="str">
        <f ca="1">iRankMultiple!DM115</f>
        <v/>
      </c>
      <c r="S140" s="185"/>
      <c r="T140" s="185">
        <f ca="1">iRankMultiple!DO115</f>
        <v>0</v>
      </c>
      <c r="U140" s="186" t="str">
        <f ca="1">iRankMultiple!DP115</f>
        <v/>
      </c>
      <c r="V140" s="187" t="str">
        <f ca="1">iRankMultiple!DQ115</f>
        <v/>
      </c>
      <c r="W140" s="188" t="str">
        <f ca="1">iRankMultiple!DR115</f>
        <v/>
      </c>
      <c r="X140" s="189" t="str">
        <f ca="1">iRankMultiple!DS131</f>
        <v/>
      </c>
      <c r="Y140" s="185"/>
      <c r="Z140" s="185"/>
    </row>
    <row r="141" spans="1:27" ht="14.45" hidden="1" x14ac:dyDescent="0.3">
      <c r="A141" s="138"/>
      <c r="B141" s="185">
        <f ca="1">iRankMultiple!CW116</f>
        <v>0</v>
      </c>
      <c r="C141" s="186" t="str">
        <f ca="1">iRankMultiple!CX116</f>
        <v/>
      </c>
      <c r="D141" s="187" t="str">
        <f ca="1">iRankMultiple!CY116</f>
        <v/>
      </c>
      <c r="E141" s="188" t="str">
        <f ca="1">iRankMultiple!CZ116</f>
        <v/>
      </c>
      <c r="F141" s="189" t="str">
        <f ca="1">iRankMultiple!DA116</f>
        <v/>
      </c>
      <c r="G141" s="185"/>
      <c r="H141" s="185">
        <f ca="1">iRankMultiple!DC116</f>
        <v>0</v>
      </c>
      <c r="I141" s="186" t="str">
        <f ca="1">iRankMultiple!DD116</f>
        <v/>
      </c>
      <c r="J141" s="187" t="str">
        <f ca="1">iRankMultiple!DE116</f>
        <v/>
      </c>
      <c r="K141" s="188" t="str">
        <f ca="1">iRankMultiple!DF116</f>
        <v/>
      </c>
      <c r="L141" s="189" t="str">
        <f ca="1">iRankMultiple!DG116</f>
        <v/>
      </c>
      <c r="M141" s="185"/>
      <c r="N141" s="185">
        <f ca="1">iRankMultiple!DI116</f>
        <v>0</v>
      </c>
      <c r="O141" s="186" t="str">
        <f ca="1">iRankMultiple!DJ116</f>
        <v/>
      </c>
      <c r="P141" s="187" t="str">
        <f ca="1">iRankMultiple!DK116</f>
        <v/>
      </c>
      <c r="Q141" s="188" t="str">
        <f ca="1">iRankMultiple!DL116</f>
        <v/>
      </c>
      <c r="R141" s="189" t="str">
        <f ca="1">iRankMultiple!DM116</f>
        <v/>
      </c>
      <c r="S141" s="185"/>
      <c r="T141" s="185">
        <f ca="1">iRankMultiple!DO116</f>
        <v>0</v>
      </c>
      <c r="U141" s="186" t="str">
        <f ca="1">iRankMultiple!DP116</f>
        <v/>
      </c>
      <c r="V141" s="187" t="str">
        <f ca="1">iRankMultiple!DQ116</f>
        <v/>
      </c>
      <c r="W141" s="188" t="str">
        <f ca="1">iRankMultiple!DR116</f>
        <v/>
      </c>
      <c r="X141" s="189"/>
      <c r="Y141" s="185"/>
      <c r="Z141" s="185"/>
    </row>
    <row r="142" spans="1:27" ht="14.45" hidden="1" x14ac:dyDescent="0.3">
      <c r="A142" s="138"/>
      <c r="B142" s="185">
        <f ca="1">iRankMultiple!CW117</f>
        <v>0</v>
      </c>
      <c r="C142" s="186" t="str">
        <f ca="1">iRankMultiple!CX117</f>
        <v/>
      </c>
      <c r="D142" s="187" t="str">
        <f ca="1">iRankMultiple!CY117</f>
        <v/>
      </c>
      <c r="E142" s="188" t="str">
        <f ca="1">iRankMultiple!CZ117</f>
        <v/>
      </c>
      <c r="F142" s="189" t="str">
        <f ca="1">iRankMultiple!DA117</f>
        <v/>
      </c>
      <c r="G142" s="185"/>
      <c r="H142" s="185">
        <f ca="1">iRankMultiple!DC117</f>
        <v>0</v>
      </c>
      <c r="I142" s="186" t="str">
        <f ca="1">iRankMultiple!DD117</f>
        <v/>
      </c>
      <c r="J142" s="187" t="str">
        <f ca="1">iRankMultiple!DE117</f>
        <v/>
      </c>
      <c r="K142" s="188" t="str">
        <f ca="1">iRankMultiple!DF117</f>
        <v/>
      </c>
      <c r="L142" s="189" t="str">
        <f ca="1">iRankMultiple!DG117</f>
        <v/>
      </c>
      <c r="M142" s="185"/>
      <c r="N142" s="185">
        <f ca="1">iRankMultiple!DI117</f>
        <v>0</v>
      </c>
      <c r="O142" s="186" t="str">
        <f ca="1">iRankMultiple!DJ117</f>
        <v/>
      </c>
      <c r="P142" s="187" t="str">
        <f ca="1">iRankMultiple!DK117</f>
        <v/>
      </c>
      <c r="Q142" s="188" t="str">
        <f ca="1">iRankMultiple!DL117</f>
        <v/>
      </c>
      <c r="R142" s="189" t="str">
        <f ca="1">iRankMultiple!DM117</f>
        <v/>
      </c>
      <c r="S142" s="185"/>
      <c r="T142" s="185">
        <f ca="1">iRankMultiple!DO117</f>
        <v>0</v>
      </c>
      <c r="U142" s="186" t="str">
        <f ca="1">iRankMultiple!DP117</f>
        <v/>
      </c>
      <c r="V142" s="187" t="str">
        <f ca="1">iRankMultiple!DQ117</f>
        <v/>
      </c>
      <c r="W142" s="188" t="str">
        <f ca="1">iRankMultiple!DR117</f>
        <v/>
      </c>
      <c r="X142" s="189"/>
      <c r="Y142" s="185"/>
      <c r="Z142" s="185"/>
    </row>
    <row r="143" spans="1:27" ht="14.45" hidden="1" x14ac:dyDescent="0.3">
      <c r="A143" s="138"/>
      <c r="B143" s="185">
        <f ca="1">iRankMultiple!CW118</f>
        <v>0</v>
      </c>
      <c r="C143" s="186" t="str">
        <f ca="1">iRankMultiple!CX118</f>
        <v/>
      </c>
      <c r="D143" s="187" t="str">
        <f ca="1">iRankMultiple!CY118</f>
        <v/>
      </c>
      <c r="E143" s="188" t="str">
        <f ca="1">iRankMultiple!CZ118</f>
        <v/>
      </c>
      <c r="F143" s="189" t="str">
        <f ca="1">iRankMultiple!DA118</f>
        <v/>
      </c>
      <c r="G143" s="185"/>
      <c r="H143" s="185">
        <f ca="1">iRankMultiple!DC118</f>
        <v>0</v>
      </c>
      <c r="I143" s="186" t="str">
        <f ca="1">iRankMultiple!DD118</f>
        <v/>
      </c>
      <c r="J143" s="187" t="str">
        <f ca="1">iRankMultiple!DE118</f>
        <v/>
      </c>
      <c r="K143" s="188" t="str">
        <f ca="1">iRankMultiple!DF118</f>
        <v/>
      </c>
      <c r="L143" s="189" t="str">
        <f ca="1">iRankMultiple!DG118</f>
        <v/>
      </c>
      <c r="M143" s="185"/>
      <c r="N143" s="185">
        <f ca="1">iRankMultiple!DI118</f>
        <v>0</v>
      </c>
      <c r="O143" s="186" t="str">
        <f ca="1">iRankMultiple!DJ118</f>
        <v/>
      </c>
      <c r="P143" s="187" t="str">
        <f ca="1">iRankMultiple!DK118</f>
        <v/>
      </c>
      <c r="Q143" s="188" t="str">
        <f ca="1">iRankMultiple!DL118</f>
        <v/>
      </c>
      <c r="R143" s="189" t="str">
        <f ca="1">iRankMultiple!DM118</f>
        <v/>
      </c>
      <c r="S143" s="185"/>
      <c r="T143" s="185">
        <f ca="1">iRankMultiple!DO118</f>
        <v>0</v>
      </c>
      <c r="U143" s="186" t="str">
        <f ca="1">iRankMultiple!DP118</f>
        <v/>
      </c>
      <c r="V143" s="187" t="str">
        <f ca="1">iRankMultiple!DQ118</f>
        <v/>
      </c>
      <c r="W143" s="188" t="str">
        <f ca="1">iRankMultiple!DR118</f>
        <v/>
      </c>
      <c r="X143" s="189"/>
      <c r="Y143" s="185"/>
      <c r="Z143" s="185"/>
    </row>
    <row r="144" spans="1:27" ht="14.45" hidden="1" x14ac:dyDescent="0.3">
      <c r="A144" s="138"/>
      <c r="B144" s="185">
        <f ca="1">iRankMultiple!CW119</f>
        <v>0</v>
      </c>
      <c r="C144" s="186" t="str">
        <f ca="1">iRankMultiple!CX119</f>
        <v/>
      </c>
      <c r="D144" s="187" t="str">
        <f ca="1">iRankMultiple!CY119</f>
        <v/>
      </c>
      <c r="E144" s="188" t="str">
        <f ca="1">iRankMultiple!CZ119</f>
        <v/>
      </c>
      <c r="F144" s="189" t="str">
        <f ca="1">iRankMultiple!DA119</f>
        <v/>
      </c>
      <c r="G144" s="185"/>
      <c r="H144" s="185">
        <f ca="1">iRankMultiple!DC119</f>
        <v>0</v>
      </c>
      <c r="I144" s="186" t="str">
        <f ca="1">iRankMultiple!DD119</f>
        <v/>
      </c>
      <c r="J144" s="187" t="str">
        <f ca="1">iRankMultiple!DE119</f>
        <v/>
      </c>
      <c r="K144" s="188" t="str">
        <f ca="1">iRankMultiple!DF119</f>
        <v/>
      </c>
      <c r="L144" s="189" t="str">
        <f ca="1">iRankMultiple!DG119</f>
        <v/>
      </c>
      <c r="M144" s="185"/>
      <c r="N144" s="185">
        <f ca="1">iRankMultiple!DI119</f>
        <v>0</v>
      </c>
      <c r="O144" s="186" t="str">
        <f ca="1">iRankMultiple!DJ119</f>
        <v/>
      </c>
      <c r="P144" s="187" t="str">
        <f ca="1">iRankMultiple!DK119</f>
        <v/>
      </c>
      <c r="Q144" s="188" t="str">
        <f ca="1">iRankMultiple!DL119</f>
        <v/>
      </c>
      <c r="R144" s="189" t="str">
        <f ca="1">iRankMultiple!DM119</f>
        <v/>
      </c>
      <c r="S144" s="185"/>
      <c r="T144" s="185">
        <f ca="1">iRankMultiple!DO119</f>
        <v>0</v>
      </c>
      <c r="U144" s="186" t="str">
        <f ca="1">iRankMultiple!DP119</f>
        <v/>
      </c>
      <c r="V144" s="187" t="str">
        <f ca="1">iRankMultiple!DQ119</f>
        <v/>
      </c>
      <c r="W144" s="188" t="str">
        <f ca="1">iRankMultiple!DR119</f>
        <v/>
      </c>
      <c r="X144" s="189"/>
      <c r="Y144" s="185"/>
      <c r="Z144" s="185"/>
    </row>
    <row r="145" spans="1:27" ht="14.45" hidden="1" x14ac:dyDescent="0.3">
      <c r="A145" s="138"/>
      <c r="B145" s="185">
        <f ca="1">iRankMultiple!CW120</f>
        <v>0</v>
      </c>
      <c r="C145" s="186" t="str">
        <f ca="1">iRankMultiple!CX120</f>
        <v/>
      </c>
      <c r="D145" s="187" t="str">
        <f ca="1">iRankMultiple!CY120</f>
        <v/>
      </c>
      <c r="E145" s="188" t="str">
        <f ca="1">iRankMultiple!CZ120</f>
        <v/>
      </c>
      <c r="F145" s="189" t="str">
        <f ca="1">iRankMultiple!DA120</f>
        <v/>
      </c>
      <c r="G145" s="185"/>
      <c r="H145" s="185">
        <f ca="1">iRankMultiple!DC120</f>
        <v>0</v>
      </c>
      <c r="I145" s="186" t="str">
        <f ca="1">iRankMultiple!DD120</f>
        <v/>
      </c>
      <c r="J145" s="187" t="str">
        <f ca="1">iRankMultiple!DE120</f>
        <v/>
      </c>
      <c r="K145" s="188" t="str">
        <f ca="1">iRankMultiple!DF120</f>
        <v/>
      </c>
      <c r="L145" s="189" t="str">
        <f ca="1">iRankMultiple!DG120</f>
        <v/>
      </c>
      <c r="M145" s="185"/>
      <c r="N145" s="185">
        <f ca="1">iRankMultiple!DI120</f>
        <v>0</v>
      </c>
      <c r="O145" s="186" t="str">
        <f ca="1">iRankMultiple!DJ120</f>
        <v/>
      </c>
      <c r="P145" s="187" t="str">
        <f ca="1">iRankMultiple!DK120</f>
        <v/>
      </c>
      <c r="Q145" s="188" t="str">
        <f ca="1">iRankMultiple!DL120</f>
        <v/>
      </c>
      <c r="R145" s="189" t="str">
        <f ca="1">iRankMultiple!DM120</f>
        <v/>
      </c>
      <c r="S145" s="185"/>
      <c r="T145" s="185">
        <f ca="1">iRankMultiple!DO120</f>
        <v>0</v>
      </c>
      <c r="U145" s="186" t="str">
        <f ca="1">iRankMultiple!DP120</f>
        <v/>
      </c>
      <c r="V145" s="187" t="str">
        <f ca="1">iRankMultiple!DQ120</f>
        <v/>
      </c>
      <c r="W145" s="188" t="str">
        <f ca="1">iRankMultiple!DR120</f>
        <v/>
      </c>
      <c r="X145" s="189"/>
      <c r="Y145" s="185"/>
      <c r="Z145" s="185"/>
    </row>
    <row r="146" spans="1:27" ht="14.45" hidden="1" x14ac:dyDescent="0.3">
      <c r="A146" s="138"/>
      <c r="B146" s="185">
        <f ca="1">iRankMultiple!CW121</f>
        <v>0</v>
      </c>
      <c r="C146" s="186" t="str">
        <f ca="1">iRankMultiple!CX121</f>
        <v/>
      </c>
      <c r="D146" s="187" t="str">
        <f ca="1">iRankMultiple!CY121</f>
        <v/>
      </c>
      <c r="E146" s="188" t="str">
        <f ca="1">iRankMultiple!CZ121</f>
        <v/>
      </c>
      <c r="F146" s="189" t="str">
        <f ca="1">iRankMultiple!DA121</f>
        <v/>
      </c>
      <c r="G146" s="185"/>
      <c r="H146" s="185">
        <f ca="1">iRankMultiple!DC121</f>
        <v>0</v>
      </c>
      <c r="I146" s="186" t="str">
        <f ca="1">iRankMultiple!DD121</f>
        <v/>
      </c>
      <c r="J146" s="187" t="str">
        <f ca="1">iRankMultiple!DE121</f>
        <v/>
      </c>
      <c r="K146" s="188" t="str">
        <f ca="1">iRankMultiple!DF121</f>
        <v/>
      </c>
      <c r="L146" s="189" t="str">
        <f ca="1">iRankMultiple!DG121</f>
        <v/>
      </c>
      <c r="M146" s="185"/>
      <c r="N146" s="185">
        <f ca="1">iRankMultiple!DI121</f>
        <v>0</v>
      </c>
      <c r="O146" s="186" t="str">
        <f ca="1">iRankMultiple!DJ121</f>
        <v/>
      </c>
      <c r="P146" s="187" t="str">
        <f ca="1">iRankMultiple!DK121</f>
        <v/>
      </c>
      <c r="Q146" s="188" t="str">
        <f ca="1">iRankMultiple!DL121</f>
        <v/>
      </c>
      <c r="R146" s="189" t="str">
        <f ca="1">iRankMultiple!DM121</f>
        <v/>
      </c>
      <c r="S146" s="185"/>
      <c r="T146" s="185">
        <f ca="1">iRankMultiple!DO121</f>
        <v>0</v>
      </c>
      <c r="U146" s="186" t="str">
        <f ca="1">iRankMultiple!DP121</f>
        <v/>
      </c>
      <c r="V146" s="187" t="str">
        <f ca="1">iRankMultiple!DQ121</f>
        <v/>
      </c>
      <c r="W146" s="188" t="str">
        <f ca="1">iRankMultiple!DR121</f>
        <v/>
      </c>
      <c r="X146" s="189"/>
      <c r="Y146" s="185"/>
      <c r="Z146" s="185"/>
    </row>
    <row r="147" spans="1:27" ht="14.45" hidden="1" x14ac:dyDescent="0.3">
      <c r="A147" s="138"/>
      <c r="B147" s="185">
        <f ca="1">iRankMultiple!CW122</f>
        <v>0</v>
      </c>
      <c r="C147" s="186" t="str">
        <f ca="1">iRankMultiple!CX122</f>
        <v/>
      </c>
      <c r="D147" s="187" t="str">
        <f ca="1">iRankMultiple!CY122</f>
        <v/>
      </c>
      <c r="E147" s="188" t="str">
        <f ca="1">iRankMultiple!CZ122</f>
        <v/>
      </c>
      <c r="F147" s="189" t="str">
        <f ca="1">iRankMultiple!DA122</f>
        <v/>
      </c>
      <c r="G147" s="185"/>
      <c r="H147" s="185">
        <f ca="1">iRankMultiple!DC122</f>
        <v>0</v>
      </c>
      <c r="I147" s="186" t="str">
        <f ca="1">iRankMultiple!DD122</f>
        <v/>
      </c>
      <c r="J147" s="187" t="str">
        <f ca="1">iRankMultiple!DE122</f>
        <v/>
      </c>
      <c r="K147" s="188" t="str">
        <f ca="1">iRankMultiple!DF122</f>
        <v/>
      </c>
      <c r="L147" s="189" t="str">
        <f ca="1">iRankMultiple!DG122</f>
        <v/>
      </c>
      <c r="M147" s="185"/>
      <c r="N147" s="185">
        <f ca="1">iRankMultiple!DI122</f>
        <v>0</v>
      </c>
      <c r="O147" s="186" t="str">
        <f ca="1">iRankMultiple!DJ122</f>
        <v/>
      </c>
      <c r="P147" s="187" t="str">
        <f ca="1">iRankMultiple!DK122</f>
        <v/>
      </c>
      <c r="Q147" s="188" t="str">
        <f ca="1">iRankMultiple!DL122</f>
        <v/>
      </c>
      <c r="R147" s="189" t="str">
        <f ca="1">iRankMultiple!DM122</f>
        <v/>
      </c>
      <c r="S147" s="185"/>
      <c r="T147" s="185">
        <f ca="1">iRankMultiple!DO122</f>
        <v>0</v>
      </c>
      <c r="U147" s="186" t="str">
        <f ca="1">iRankMultiple!DP122</f>
        <v/>
      </c>
      <c r="V147" s="187" t="str">
        <f ca="1">iRankMultiple!DQ122</f>
        <v/>
      </c>
      <c r="W147" s="188" t="str">
        <f ca="1">iRankMultiple!DR122</f>
        <v/>
      </c>
      <c r="X147" s="189"/>
      <c r="Y147" s="185"/>
      <c r="Z147" s="185"/>
    </row>
    <row r="148" spans="1:27" ht="14.45" hidden="1" x14ac:dyDescent="0.3">
      <c r="A148" s="138"/>
      <c r="B148" s="185">
        <f ca="1">iRankMultiple!CW123</f>
        <v>0</v>
      </c>
      <c r="C148" s="186" t="str">
        <f ca="1">iRankMultiple!CX123</f>
        <v/>
      </c>
      <c r="D148" s="187" t="str">
        <f ca="1">iRankMultiple!CY123</f>
        <v/>
      </c>
      <c r="E148" s="188" t="str">
        <f ca="1">iRankMultiple!CZ123</f>
        <v/>
      </c>
      <c r="F148" s="189" t="str">
        <f ca="1">iRankMultiple!DA123</f>
        <v/>
      </c>
      <c r="G148" s="185"/>
      <c r="H148" s="185">
        <f ca="1">iRankMultiple!DC123</f>
        <v>0</v>
      </c>
      <c r="I148" s="186" t="str">
        <f ca="1">iRankMultiple!DD123</f>
        <v/>
      </c>
      <c r="J148" s="187" t="str">
        <f ca="1">iRankMultiple!DE123</f>
        <v/>
      </c>
      <c r="K148" s="188" t="str">
        <f ca="1">iRankMultiple!DF123</f>
        <v/>
      </c>
      <c r="L148" s="189" t="str">
        <f ca="1">iRankMultiple!DG123</f>
        <v/>
      </c>
      <c r="M148" s="185"/>
      <c r="N148" s="185">
        <f ca="1">iRankMultiple!DI123</f>
        <v>0</v>
      </c>
      <c r="O148" s="186" t="str">
        <f ca="1">iRankMultiple!DJ123</f>
        <v/>
      </c>
      <c r="P148" s="187" t="str">
        <f ca="1">iRankMultiple!DK123</f>
        <v/>
      </c>
      <c r="Q148" s="188" t="str">
        <f ca="1">iRankMultiple!DL123</f>
        <v/>
      </c>
      <c r="R148" s="189" t="str">
        <f ca="1">iRankMultiple!DM123</f>
        <v/>
      </c>
      <c r="S148" s="185"/>
      <c r="T148" s="185">
        <f ca="1">iRankMultiple!DO123</f>
        <v>0</v>
      </c>
      <c r="U148" s="186" t="str">
        <f ca="1">iRankMultiple!DP123</f>
        <v/>
      </c>
      <c r="V148" s="187" t="str">
        <f ca="1">iRankMultiple!DQ123</f>
        <v/>
      </c>
      <c r="W148" s="188" t="str">
        <f ca="1">iRankMultiple!DR123</f>
        <v/>
      </c>
      <c r="X148" s="189"/>
      <c r="Y148" s="185"/>
      <c r="Z148" s="185"/>
    </row>
    <row r="149" spans="1:27" ht="14.45" hidden="1" x14ac:dyDescent="0.3">
      <c r="A149" s="138"/>
      <c r="B149" s="185">
        <f ca="1">iRankMultiple!CW124</f>
        <v>0</v>
      </c>
      <c r="C149" s="186" t="str">
        <f ca="1">iRankMultiple!CX124</f>
        <v/>
      </c>
      <c r="D149" s="187" t="str">
        <f ca="1">iRankMultiple!CY124</f>
        <v/>
      </c>
      <c r="E149" s="188" t="str">
        <f ca="1">iRankMultiple!CZ124</f>
        <v/>
      </c>
      <c r="F149" s="189" t="str">
        <f ca="1">iRankMultiple!DA124</f>
        <v/>
      </c>
      <c r="G149" s="185"/>
      <c r="H149" s="185">
        <f ca="1">iRankMultiple!DC124</f>
        <v>0</v>
      </c>
      <c r="I149" s="186" t="str">
        <f ca="1">iRankMultiple!DD124</f>
        <v/>
      </c>
      <c r="J149" s="187" t="str">
        <f ca="1">iRankMultiple!DE124</f>
        <v/>
      </c>
      <c r="K149" s="188" t="str">
        <f ca="1">iRankMultiple!DF124</f>
        <v/>
      </c>
      <c r="L149" s="189" t="str">
        <f ca="1">iRankMultiple!DG124</f>
        <v/>
      </c>
      <c r="M149" s="185"/>
      <c r="N149" s="185">
        <f ca="1">iRankMultiple!DI124</f>
        <v>0</v>
      </c>
      <c r="O149" s="186" t="str">
        <f ca="1">iRankMultiple!DJ124</f>
        <v/>
      </c>
      <c r="P149" s="187" t="str">
        <f ca="1">iRankMultiple!DK124</f>
        <v/>
      </c>
      <c r="Q149" s="188" t="str">
        <f ca="1">iRankMultiple!DL124</f>
        <v/>
      </c>
      <c r="R149" s="189" t="str">
        <f ca="1">iRankMultiple!DM124</f>
        <v/>
      </c>
      <c r="S149" s="185"/>
      <c r="T149" s="185">
        <f ca="1">iRankMultiple!DO124</f>
        <v>0</v>
      </c>
      <c r="U149" s="186" t="str">
        <f ca="1">iRankMultiple!DP124</f>
        <v/>
      </c>
      <c r="V149" s="187" t="str">
        <f ca="1">iRankMultiple!DQ124</f>
        <v/>
      </c>
      <c r="W149" s="188" t="str">
        <f ca="1">iRankMultiple!DR124</f>
        <v/>
      </c>
      <c r="X149" s="189"/>
      <c r="Y149" s="185"/>
      <c r="Z149" s="185"/>
    </row>
    <row r="150" spans="1:27" ht="14.45" hidden="1" x14ac:dyDescent="0.3">
      <c r="A150" s="138"/>
      <c r="B150" s="185">
        <f ca="1">iRankMultiple!CW125</f>
        <v>0</v>
      </c>
      <c r="C150" s="186" t="str">
        <f ca="1">iRankMultiple!CX125</f>
        <v/>
      </c>
      <c r="D150" s="187" t="str">
        <f ca="1">iRankMultiple!CY125</f>
        <v/>
      </c>
      <c r="E150" s="188" t="str">
        <f ca="1">iRankMultiple!CZ125</f>
        <v/>
      </c>
      <c r="F150" s="189" t="str">
        <f ca="1">iRankMultiple!DA125</f>
        <v/>
      </c>
      <c r="G150" s="185"/>
      <c r="H150" s="185">
        <f ca="1">iRankMultiple!DC125</f>
        <v>0</v>
      </c>
      <c r="I150" s="186" t="str">
        <f ca="1">iRankMultiple!DD125</f>
        <v/>
      </c>
      <c r="J150" s="187" t="str">
        <f ca="1">iRankMultiple!DE125</f>
        <v/>
      </c>
      <c r="K150" s="188" t="str">
        <f ca="1">iRankMultiple!DF125</f>
        <v/>
      </c>
      <c r="L150" s="189" t="str">
        <f ca="1">iRankMultiple!DG125</f>
        <v/>
      </c>
      <c r="M150" s="185"/>
      <c r="N150" s="185">
        <f ca="1">iRankMultiple!DI125</f>
        <v>0</v>
      </c>
      <c r="O150" s="186" t="str">
        <f ca="1">iRankMultiple!DJ125</f>
        <v/>
      </c>
      <c r="P150" s="187" t="str">
        <f ca="1">iRankMultiple!DK125</f>
        <v/>
      </c>
      <c r="Q150" s="188" t="str">
        <f ca="1">iRankMultiple!DL125</f>
        <v/>
      </c>
      <c r="R150" s="189" t="str">
        <f ca="1">iRankMultiple!DM125</f>
        <v/>
      </c>
      <c r="S150" s="185"/>
      <c r="T150" s="185">
        <f ca="1">iRankMultiple!DO125</f>
        <v>0</v>
      </c>
      <c r="U150" s="186" t="str">
        <f ca="1">iRankMultiple!DP125</f>
        <v/>
      </c>
      <c r="V150" s="187" t="str">
        <f ca="1">iRankMultiple!DQ125</f>
        <v/>
      </c>
      <c r="W150" s="188" t="str">
        <f ca="1">iRankMultiple!DR125</f>
        <v/>
      </c>
      <c r="X150" s="189"/>
      <c r="Y150" s="185"/>
      <c r="Z150" s="185"/>
    </row>
    <row r="151" spans="1:27" ht="14.45" hidden="1" x14ac:dyDescent="0.3">
      <c r="A151" s="138"/>
      <c r="B151" s="185">
        <f ca="1">iRankMultiple!CW126</f>
        <v>0</v>
      </c>
      <c r="C151" s="186" t="str">
        <f ca="1">iRankMultiple!CX126</f>
        <v/>
      </c>
      <c r="D151" s="187" t="str">
        <f ca="1">iRankMultiple!CY126</f>
        <v/>
      </c>
      <c r="E151" s="188" t="str">
        <f ca="1">iRankMultiple!CZ126</f>
        <v/>
      </c>
      <c r="F151" s="189" t="str">
        <f ca="1">iRankMultiple!DA126</f>
        <v/>
      </c>
      <c r="G151" s="185"/>
      <c r="H151" s="185">
        <f ca="1">iRankMultiple!DC126</f>
        <v>0</v>
      </c>
      <c r="I151" s="186" t="str">
        <f ca="1">iRankMultiple!DD126</f>
        <v/>
      </c>
      <c r="J151" s="187" t="str">
        <f ca="1">iRankMultiple!DE126</f>
        <v/>
      </c>
      <c r="K151" s="188" t="str">
        <f ca="1">iRankMultiple!DF126</f>
        <v/>
      </c>
      <c r="L151" s="189" t="str">
        <f ca="1">iRankMultiple!DG126</f>
        <v/>
      </c>
      <c r="M151" s="185"/>
      <c r="N151" s="185">
        <f ca="1">iRankMultiple!DI126</f>
        <v>0</v>
      </c>
      <c r="O151" s="186" t="str">
        <f ca="1">iRankMultiple!DJ126</f>
        <v/>
      </c>
      <c r="P151" s="187" t="str">
        <f ca="1">iRankMultiple!DK126</f>
        <v/>
      </c>
      <c r="Q151" s="188" t="str">
        <f ca="1">iRankMultiple!DL126</f>
        <v/>
      </c>
      <c r="R151" s="189" t="str">
        <f ca="1">iRankMultiple!DM126</f>
        <v/>
      </c>
      <c r="S151" s="185"/>
      <c r="T151" s="185">
        <f ca="1">iRankMultiple!DO126</f>
        <v>0</v>
      </c>
      <c r="U151" s="186" t="str">
        <f ca="1">iRankMultiple!DP126</f>
        <v/>
      </c>
      <c r="V151" s="187" t="str">
        <f ca="1">iRankMultiple!DQ126</f>
        <v/>
      </c>
      <c r="W151" s="188" t="str">
        <f ca="1">iRankMultiple!DR126</f>
        <v/>
      </c>
      <c r="X151" s="189"/>
      <c r="Y151" s="185"/>
      <c r="Z151" s="185"/>
    </row>
    <row r="152" spans="1:27" ht="14.45" hidden="1" x14ac:dyDescent="0.3">
      <c r="A152" s="138"/>
      <c r="B152" s="185">
        <f ca="1">iRankMultiple!CW127</f>
        <v>0</v>
      </c>
      <c r="C152" s="186" t="str">
        <f ca="1">iRankMultiple!CX127</f>
        <v/>
      </c>
      <c r="D152" s="187" t="str">
        <f ca="1">iRankMultiple!CY127</f>
        <v/>
      </c>
      <c r="E152" s="188" t="str">
        <f ca="1">iRankMultiple!CZ127</f>
        <v/>
      </c>
      <c r="F152" s="189" t="str">
        <f ca="1">iRankMultiple!DA127</f>
        <v/>
      </c>
      <c r="G152" s="185"/>
      <c r="H152" s="185">
        <f ca="1">iRankMultiple!DC127</f>
        <v>0</v>
      </c>
      <c r="I152" s="186" t="str">
        <f ca="1">iRankMultiple!DD127</f>
        <v/>
      </c>
      <c r="J152" s="187" t="str">
        <f ca="1">iRankMultiple!DE127</f>
        <v/>
      </c>
      <c r="K152" s="188" t="str">
        <f ca="1">iRankMultiple!DF127</f>
        <v/>
      </c>
      <c r="L152" s="189" t="str">
        <f ca="1">iRankMultiple!DG127</f>
        <v/>
      </c>
      <c r="M152" s="185"/>
      <c r="N152" s="185">
        <f ca="1">iRankMultiple!DI127</f>
        <v>0</v>
      </c>
      <c r="O152" s="186" t="str">
        <f ca="1">iRankMultiple!DJ127</f>
        <v/>
      </c>
      <c r="P152" s="187" t="str">
        <f ca="1">iRankMultiple!DK127</f>
        <v/>
      </c>
      <c r="Q152" s="188" t="str">
        <f ca="1">iRankMultiple!DL127</f>
        <v/>
      </c>
      <c r="R152" s="189" t="str">
        <f ca="1">iRankMultiple!DM127</f>
        <v/>
      </c>
      <c r="S152" s="185"/>
      <c r="T152" s="185">
        <f ca="1">iRankMultiple!DO127</f>
        <v>0</v>
      </c>
      <c r="U152" s="186" t="str">
        <f ca="1">iRankMultiple!DP127</f>
        <v/>
      </c>
      <c r="V152" s="187" t="str">
        <f ca="1">iRankMultiple!DQ127</f>
        <v/>
      </c>
      <c r="W152" s="188" t="str">
        <f ca="1">iRankMultiple!DR127</f>
        <v/>
      </c>
      <c r="X152" s="189"/>
      <c r="Y152" s="185"/>
      <c r="Z152" s="185"/>
    </row>
    <row r="153" spans="1:27" ht="14.45" hidden="1" x14ac:dyDescent="0.3">
      <c r="A153" s="138"/>
      <c r="B153" s="185">
        <f ca="1">iRankMultiple!CW128</f>
        <v>0</v>
      </c>
      <c r="C153" s="186" t="str">
        <f ca="1">iRankMultiple!CX128</f>
        <v/>
      </c>
      <c r="D153" s="187" t="str">
        <f ca="1">iRankMultiple!CY128</f>
        <v/>
      </c>
      <c r="E153" s="188" t="str">
        <f ca="1">iRankMultiple!CZ128</f>
        <v/>
      </c>
      <c r="F153" s="189" t="str">
        <f ca="1">iRankMultiple!DA128</f>
        <v/>
      </c>
      <c r="G153" s="185"/>
      <c r="H153" s="185">
        <f ca="1">iRankMultiple!DC128</f>
        <v>0</v>
      </c>
      <c r="I153" s="186" t="str">
        <f ca="1">iRankMultiple!DD128</f>
        <v/>
      </c>
      <c r="J153" s="187" t="str">
        <f ca="1">iRankMultiple!DE128</f>
        <v/>
      </c>
      <c r="K153" s="188" t="str">
        <f ca="1">iRankMultiple!DF128</f>
        <v/>
      </c>
      <c r="L153" s="189" t="str">
        <f ca="1">iRankMultiple!DG128</f>
        <v/>
      </c>
      <c r="M153" s="185"/>
      <c r="N153" s="185">
        <f ca="1">iRankMultiple!DI128</f>
        <v>0</v>
      </c>
      <c r="O153" s="186" t="str">
        <f ca="1">iRankMultiple!DJ128</f>
        <v/>
      </c>
      <c r="P153" s="187" t="str">
        <f ca="1">iRankMultiple!DK128</f>
        <v/>
      </c>
      <c r="Q153" s="188" t="str">
        <f ca="1">iRankMultiple!DL128</f>
        <v/>
      </c>
      <c r="R153" s="189" t="str">
        <f ca="1">iRankMultiple!DM128</f>
        <v/>
      </c>
      <c r="S153" s="185"/>
      <c r="T153" s="185">
        <f ca="1">iRankMultiple!DO128</f>
        <v>0</v>
      </c>
      <c r="U153" s="186" t="str">
        <f ca="1">iRankMultiple!DP128</f>
        <v/>
      </c>
      <c r="V153" s="187" t="str">
        <f ca="1">iRankMultiple!DQ128</f>
        <v/>
      </c>
      <c r="W153" s="188" t="str">
        <f ca="1">iRankMultiple!DR128</f>
        <v/>
      </c>
      <c r="X153" s="189"/>
      <c r="Y153" s="185"/>
      <c r="Z153" s="185"/>
    </row>
    <row r="154" spans="1:27" ht="14.45" hidden="1" x14ac:dyDescent="0.3">
      <c r="A154" s="138"/>
      <c r="B154" s="185">
        <f ca="1">iRankMultiple!CW129</f>
        <v>0</v>
      </c>
      <c r="C154" s="186" t="str">
        <f ca="1">iRankMultiple!CX129</f>
        <v/>
      </c>
      <c r="D154" s="187" t="str">
        <f ca="1">iRankMultiple!CY129</f>
        <v/>
      </c>
      <c r="E154" s="188" t="str">
        <f ca="1">iRankMultiple!CZ129</f>
        <v/>
      </c>
      <c r="F154" s="189" t="str">
        <f ca="1">iRankMultiple!DA129</f>
        <v/>
      </c>
      <c r="G154" s="185"/>
      <c r="H154" s="185">
        <f ca="1">iRankMultiple!DC129</f>
        <v>0</v>
      </c>
      <c r="I154" s="186" t="str">
        <f ca="1">iRankMultiple!DD129</f>
        <v/>
      </c>
      <c r="J154" s="187" t="str">
        <f ca="1">iRankMultiple!DE129</f>
        <v/>
      </c>
      <c r="K154" s="188" t="str">
        <f ca="1">iRankMultiple!DF129</f>
        <v/>
      </c>
      <c r="L154" s="189" t="str">
        <f ca="1">iRankMultiple!DG129</f>
        <v/>
      </c>
      <c r="M154" s="185"/>
      <c r="N154" s="185">
        <f ca="1">iRankMultiple!DI129</f>
        <v>0</v>
      </c>
      <c r="O154" s="186" t="str">
        <f ca="1">iRankMultiple!DJ129</f>
        <v/>
      </c>
      <c r="P154" s="187" t="str">
        <f ca="1">iRankMultiple!DK129</f>
        <v/>
      </c>
      <c r="Q154" s="188" t="str">
        <f ca="1">iRankMultiple!DL129</f>
        <v/>
      </c>
      <c r="R154" s="189" t="str">
        <f ca="1">iRankMultiple!DM129</f>
        <v/>
      </c>
      <c r="S154" s="185"/>
      <c r="T154" s="185">
        <f ca="1">iRankMultiple!DO129</f>
        <v>0</v>
      </c>
      <c r="U154" s="186" t="str">
        <f ca="1">iRankMultiple!DP129</f>
        <v/>
      </c>
      <c r="V154" s="187" t="str">
        <f ca="1">iRankMultiple!DQ129</f>
        <v/>
      </c>
      <c r="W154" s="188" t="str">
        <f ca="1">iRankMultiple!DR129</f>
        <v/>
      </c>
      <c r="X154" s="189"/>
      <c r="Y154" s="185"/>
      <c r="Z154" s="185"/>
    </row>
    <row r="155" spans="1:27" ht="14.45" hidden="1" x14ac:dyDescent="0.3">
      <c r="A155" s="138"/>
      <c r="B155" s="185">
        <f ca="1">iRankMultiple!CW130</f>
        <v>0</v>
      </c>
      <c r="C155" s="186" t="str">
        <f ca="1">iRankMultiple!CX130</f>
        <v/>
      </c>
      <c r="D155" s="187" t="str">
        <f ca="1">iRankMultiple!CY130</f>
        <v/>
      </c>
      <c r="E155" s="188" t="str">
        <f ca="1">iRankMultiple!CZ130</f>
        <v/>
      </c>
      <c r="F155" s="189" t="str">
        <f ca="1">iRankMultiple!DA130</f>
        <v/>
      </c>
      <c r="G155" s="185"/>
      <c r="H155" s="185">
        <f ca="1">iRankMultiple!DC130</f>
        <v>0</v>
      </c>
      <c r="I155" s="186" t="str">
        <f ca="1">iRankMultiple!DD130</f>
        <v/>
      </c>
      <c r="J155" s="187" t="str">
        <f ca="1">iRankMultiple!DE130</f>
        <v/>
      </c>
      <c r="K155" s="188" t="str">
        <f ca="1">iRankMultiple!DF130</f>
        <v/>
      </c>
      <c r="L155" s="189" t="str">
        <f ca="1">iRankMultiple!DG130</f>
        <v/>
      </c>
      <c r="M155" s="185"/>
      <c r="N155" s="185">
        <f ca="1">iRankMultiple!DI130</f>
        <v>0</v>
      </c>
      <c r="O155" s="186" t="str">
        <f ca="1">iRankMultiple!DJ130</f>
        <v/>
      </c>
      <c r="P155" s="187" t="str">
        <f ca="1">iRankMultiple!DK130</f>
        <v/>
      </c>
      <c r="Q155" s="188" t="str">
        <f ca="1">iRankMultiple!DL130</f>
        <v/>
      </c>
      <c r="R155" s="189" t="str">
        <f ca="1">iRankMultiple!DM130</f>
        <v/>
      </c>
      <c r="S155" s="185"/>
      <c r="T155" s="185">
        <f ca="1">iRankMultiple!DO130</f>
        <v>0</v>
      </c>
      <c r="U155" s="186" t="str">
        <f ca="1">iRankMultiple!DP130</f>
        <v/>
      </c>
      <c r="V155" s="187" t="str">
        <f ca="1">iRankMultiple!DQ130</f>
        <v/>
      </c>
      <c r="W155" s="188" t="str">
        <f ca="1">iRankMultiple!DR130</f>
        <v/>
      </c>
      <c r="X155" s="189"/>
      <c r="Y155" s="185"/>
      <c r="Z155" s="185"/>
    </row>
    <row r="156" spans="1:27" ht="14.45" hidden="1" x14ac:dyDescent="0.3">
      <c r="A156" s="138"/>
      <c r="B156" s="185">
        <f ca="1">iRankMultiple!CW131</f>
        <v>0</v>
      </c>
      <c r="C156" s="186" t="str">
        <f ca="1">iRankMultiple!CX131</f>
        <v/>
      </c>
      <c r="D156" s="187" t="str">
        <f ca="1">iRankMultiple!CY131</f>
        <v/>
      </c>
      <c r="E156" s="188" t="str">
        <f ca="1">iRankMultiple!CZ131</f>
        <v/>
      </c>
      <c r="F156" s="189" t="str">
        <f ca="1">iRankMultiple!DA131</f>
        <v/>
      </c>
      <c r="G156" s="185"/>
      <c r="H156" s="185">
        <f ca="1">iRankMultiple!DC131</f>
        <v>0</v>
      </c>
      <c r="I156" s="186" t="str">
        <f ca="1">iRankMultiple!DD131</f>
        <v/>
      </c>
      <c r="J156" s="187" t="str">
        <f ca="1">iRankMultiple!DE131</f>
        <v/>
      </c>
      <c r="K156" s="188" t="str">
        <f ca="1">iRankMultiple!DF131</f>
        <v/>
      </c>
      <c r="L156" s="189" t="str">
        <f ca="1">iRankMultiple!DG131</f>
        <v/>
      </c>
      <c r="M156" s="185"/>
      <c r="N156" s="185">
        <f ca="1">iRankMultiple!DI131</f>
        <v>0</v>
      </c>
      <c r="O156" s="186" t="str">
        <f ca="1">iRankMultiple!DJ131</f>
        <v/>
      </c>
      <c r="P156" s="187" t="str">
        <f ca="1">iRankMultiple!DK131</f>
        <v/>
      </c>
      <c r="Q156" s="188" t="str">
        <f ca="1">iRankMultiple!DL131</f>
        <v/>
      </c>
      <c r="R156" s="189" t="str">
        <f ca="1">iRankMultiple!DM131</f>
        <v/>
      </c>
      <c r="S156" s="185"/>
      <c r="T156" s="185">
        <f ca="1">iRankMultiple!DO131</f>
        <v>0</v>
      </c>
      <c r="U156" s="186" t="str">
        <f ca="1">iRankMultiple!DP131</f>
        <v/>
      </c>
      <c r="V156" s="187" t="str">
        <f ca="1">iRankMultiple!DQ131</f>
        <v/>
      </c>
      <c r="W156" s="188" t="str">
        <f ca="1">iRankMultiple!DR131</f>
        <v/>
      </c>
      <c r="X156" s="189"/>
      <c r="Y156" s="185"/>
      <c r="Z156" s="185"/>
    </row>
    <row r="157" spans="1:27" ht="24" hidden="1" customHeight="1" x14ac:dyDescent="0.3">
      <c r="A157" s="138"/>
      <c r="B157" s="185"/>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row>
    <row r="158" spans="1:27" ht="21" hidden="1" customHeight="1" x14ac:dyDescent="0.3">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row>
    <row r="159" spans="1:27" s="25" customFormat="1" ht="14.45" hidden="1" x14ac:dyDescent="0.3">
      <c r="A159" s="116"/>
      <c r="B159" s="116"/>
      <c r="C159" s="268" t="str">
        <f>iRankMultiple!DV$102</f>
        <v/>
      </c>
      <c r="D159" s="268"/>
      <c r="E159" s="268"/>
      <c r="F159" s="268"/>
      <c r="G159" s="116"/>
      <c r="H159" s="190"/>
      <c r="I159" s="268" t="str">
        <f>iRankMultiple!EB$102</f>
        <v/>
      </c>
      <c r="J159" s="268"/>
      <c r="K159" s="268"/>
      <c r="L159" s="268"/>
      <c r="M159" s="116"/>
      <c r="N159" s="190"/>
      <c r="O159" s="268" t="str">
        <f>iRankMultiple!EH$102</f>
        <v/>
      </c>
      <c r="P159" s="268"/>
      <c r="Q159" s="268"/>
      <c r="R159" s="268"/>
      <c r="S159" s="190"/>
      <c r="T159" s="190"/>
      <c r="U159" s="268" t="str">
        <f>iRankMultiple!EN$102</f>
        <v/>
      </c>
      <c r="V159" s="268"/>
      <c r="W159" s="268"/>
      <c r="X159" s="268"/>
      <c r="Y159" s="184"/>
      <c r="Z159" s="184"/>
      <c r="AA159" s="183"/>
    </row>
    <row r="160" spans="1:27" s="40" customFormat="1" ht="30" hidden="1" customHeight="1" x14ac:dyDescent="0.3">
      <c r="A160" s="116"/>
      <c r="B160" s="116"/>
      <c r="C160" s="266" t="str">
        <f>iRankMultiple!DV$103</f>
        <v/>
      </c>
      <c r="D160" s="266"/>
      <c r="E160" s="266"/>
      <c r="F160" s="266"/>
      <c r="G160" s="116"/>
      <c r="H160" s="191"/>
      <c r="I160" s="266" t="str">
        <f>iRankMultiple!EB$103</f>
        <v/>
      </c>
      <c r="J160" s="266"/>
      <c r="K160" s="266"/>
      <c r="L160" s="266"/>
      <c r="M160" s="116"/>
      <c r="N160" s="191"/>
      <c r="O160" s="266" t="str">
        <f>iRankMultiple!EH$103</f>
        <v/>
      </c>
      <c r="P160" s="266"/>
      <c r="Q160" s="266"/>
      <c r="R160" s="266"/>
      <c r="S160" s="191"/>
      <c r="T160" s="191"/>
      <c r="U160" s="266" t="str">
        <f>iRankMultiple!EN$103</f>
        <v/>
      </c>
      <c r="V160" s="266"/>
      <c r="W160" s="266"/>
      <c r="X160" s="266"/>
      <c r="Y160" s="184"/>
      <c r="Z160" s="184"/>
      <c r="AA160" s="148"/>
    </row>
    <row r="161" spans="1:26" ht="13.5" hidden="1" customHeight="1" x14ac:dyDescent="0.3">
      <c r="A161" s="116"/>
      <c r="B161" s="116"/>
      <c r="C161" s="267" t="str">
        <f>iRankMultiple!DV$104</f>
        <v/>
      </c>
      <c r="D161" s="267"/>
      <c r="E161" s="267"/>
      <c r="F161" s="267"/>
      <c r="G161" s="116"/>
      <c r="H161" s="184"/>
      <c r="I161" s="267" t="str">
        <f>iRankMultiple!EB$104</f>
        <v/>
      </c>
      <c r="J161" s="267"/>
      <c r="K161" s="267"/>
      <c r="L161" s="267"/>
      <c r="M161" s="116"/>
      <c r="N161" s="184"/>
      <c r="O161" s="267" t="str">
        <f>iRankMultiple!EH$104</f>
        <v/>
      </c>
      <c r="P161" s="267"/>
      <c r="Q161" s="267"/>
      <c r="R161" s="267"/>
      <c r="S161" s="184"/>
      <c r="T161" s="184"/>
      <c r="U161" s="267" t="str">
        <f>iRankMultiple!EN$104</f>
        <v/>
      </c>
      <c r="V161" s="267"/>
      <c r="W161" s="267"/>
      <c r="X161" s="267"/>
      <c r="Y161" s="184"/>
      <c r="Z161" s="184"/>
    </row>
    <row r="162" spans="1:26" ht="14.45" hidden="1" x14ac:dyDescent="0.3">
      <c r="A162" s="138"/>
      <c r="B162" s="138">
        <f ca="1">iRankMultiple!DU106</f>
        <v>0</v>
      </c>
      <c r="C162" s="186" t="str">
        <f ca="1">iRankMultiple!DV106</f>
        <v/>
      </c>
      <c r="D162" s="187" t="str">
        <f ca="1">iRankMultiple!DW106</f>
        <v/>
      </c>
      <c r="E162" s="188" t="str">
        <f ca="1">iRankMultiple!DX106</f>
        <v/>
      </c>
      <c r="F162" s="189">
        <f>iRankMultiple!I261</f>
        <v>0</v>
      </c>
      <c r="G162" s="185"/>
      <c r="H162" s="185">
        <f ca="1">iRankMultiple!EA106</f>
        <v>0</v>
      </c>
      <c r="I162" s="186" t="str">
        <f ca="1">iRankMultiple!EB106</f>
        <v/>
      </c>
      <c r="J162" s="187" t="str">
        <f ca="1">iRankMultiple!EC106</f>
        <v/>
      </c>
      <c r="K162" s="188" t="str">
        <f ca="1">iRankMultiple!ED106</f>
        <v/>
      </c>
      <c r="L162" s="189">
        <f>iRankMultiple!O261</f>
        <v>0</v>
      </c>
      <c r="M162" s="138"/>
      <c r="N162" s="185">
        <f ca="1">iRankMultiple!EG106</f>
        <v>0</v>
      </c>
      <c r="O162" s="186" t="str">
        <f ca="1">iRankMultiple!EH106</f>
        <v/>
      </c>
      <c r="P162" s="187" t="str">
        <f ca="1">iRankMultiple!EI106</f>
        <v/>
      </c>
      <c r="Q162" s="188" t="str">
        <f ca="1">iRankMultiple!EJ106</f>
        <v/>
      </c>
      <c r="R162" s="189">
        <f>iRankMultiple!U261</f>
        <v>0</v>
      </c>
      <c r="S162" s="185"/>
      <c r="T162" s="185">
        <f ca="1">iRankMultiple!EM106</f>
        <v>0</v>
      </c>
      <c r="U162" s="186" t="str">
        <f ca="1">iRankMultiple!EN106</f>
        <v/>
      </c>
      <c r="V162" s="187" t="str">
        <f ca="1">iRankMultiple!EO106</f>
        <v/>
      </c>
      <c r="W162" s="188" t="str">
        <f ca="1">iRankMultiple!EP106</f>
        <v/>
      </c>
      <c r="X162" s="189">
        <f>iRankMultiple!AA261</f>
        <v>0</v>
      </c>
      <c r="Y162" s="185"/>
      <c r="Z162" s="185"/>
    </row>
    <row r="163" spans="1:26" ht="14.45" hidden="1" x14ac:dyDescent="0.3">
      <c r="A163" s="138"/>
      <c r="B163" s="138">
        <f ca="1">iRankMultiple!DU107</f>
        <v>0</v>
      </c>
      <c r="C163" s="186" t="str">
        <f ca="1">iRankMultiple!DV107</f>
        <v/>
      </c>
      <c r="D163" s="187" t="str">
        <f ca="1">iRankMultiple!DW107</f>
        <v/>
      </c>
      <c r="E163" s="188" t="str">
        <f ca="1">iRankMultiple!DX107</f>
        <v/>
      </c>
      <c r="F163" s="189">
        <f>iRankMultiple!I262</f>
        <v>0</v>
      </c>
      <c r="G163" s="185"/>
      <c r="H163" s="185">
        <f ca="1">iRankMultiple!EA107</f>
        <v>0</v>
      </c>
      <c r="I163" s="186" t="str">
        <f ca="1">iRankMultiple!EB107</f>
        <v/>
      </c>
      <c r="J163" s="187" t="str">
        <f ca="1">iRankMultiple!EC107</f>
        <v/>
      </c>
      <c r="K163" s="188" t="str">
        <f ca="1">iRankMultiple!ED107</f>
        <v/>
      </c>
      <c r="L163" s="189">
        <f>iRankMultiple!O262</f>
        <v>0</v>
      </c>
      <c r="M163" s="138"/>
      <c r="N163" s="185">
        <f ca="1">iRankMultiple!EG107</f>
        <v>0</v>
      </c>
      <c r="O163" s="186" t="str">
        <f ca="1">iRankMultiple!EH107</f>
        <v/>
      </c>
      <c r="P163" s="187" t="str">
        <f ca="1">iRankMultiple!EI107</f>
        <v/>
      </c>
      <c r="Q163" s="188" t="str">
        <f ca="1">iRankMultiple!EJ107</f>
        <v/>
      </c>
      <c r="R163" s="189">
        <f>iRankMultiple!U262</f>
        <v>0</v>
      </c>
      <c r="S163" s="185"/>
      <c r="T163" s="185">
        <f ca="1">iRankMultiple!EM107</f>
        <v>0</v>
      </c>
      <c r="U163" s="186" t="str">
        <f ca="1">iRankMultiple!EN107</f>
        <v/>
      </c>
      <c r="V163" s="187" t="str">
        <f ca="1">iRankMultiple!EO107</f>
        <v/>
      </c>
      <c r="W163" s="188" t="str">
        <f ca="1">iRankMultiple!EP107</f>
        <v/>
      </c>
      <c r="X163" s="189">
        <f>iRankMultiple!AA262</f>
        <v>0</v>
      </c>
      <c r="Y163" s="185"/>
      <c r="Z163" s="185"/>
    </row>
    <row r="164" spans="1:26" ht="14.45" hidden="1" x14ac:dyDescent="0.3">
      <c r="A164" s="138"/>
      <c r="B164" s="138">
        <f ca="1">iRankMultiple!DU108</f>
        <v>0</v>
      </c>
      <c r="C164" s="186" t="str">
        <f ca="1">iRankMultiple!DV108</f>
        <v/>
      </c>
      <c r="D164" s="187" t="str">
        <f ca="1">iRankMultiple!DW108</f>
        <v/>
      </c>
      <c r="E164" s="188" t="str">
        <f ca="1">iRankMultiple!DX108</f>
        <v/>
      </c>
      <c r="F164" s="189">
        <f>iRankMultiple!I263</f>
        <v>0</v>
      </c>
      <c r="G164" s="185"/>
      <c r="H164" s="185">
        <f ca="1">iRankMultiple!EA108</f>
        <v>0</v>
      </c>
      <c r="I164" s="186" t="str">
        <f ca="1">iRankMultiple!EB108</f>
        <v/>
      </c>
      <c r="J164" s="187" t="str">
        <f ca="1">iRankMultiple!EC108</f>
        <v/>
      </c>
      <c r="K164" s="188" t="str">
        <f ca="1">iRankMultiple!ED108</f>
        <v/>
      </c>
      <c r="L164" s="189">
        <f>iRankMultiple!O263</f>
        <v>0</v>
      </c>
      <c r="M164" s="185"/>
      <c r="N164" s="185">
        <f ca="1">iRankMultiple!EG108</f>
        <v>0</v>
      </c>
      <c r="O164" s="186" t="str">
        <f ca="1">iRankMultiple!EH108</f>
        <v/>
      </c>
      <c r="P164" s="187" t="str">
        <f ca="1">iRankMultiple!EI108</f>
        <v/>
      </c>
      <c r="Q164" s="188" t="str">
        <f ca="1">iRankMultiple!EJ108</f>
        <v/>
      </c>
      <c r="R164" s="189">
        <f>iRankMultiple!U263</f>
        <v>0</v>
      </c>
      <c r="S164" s="185"/>
      <c r="T164" s="185">
        <f ca="1">iRankMultiple!EM108</f>
        <v>0</v>
      </c>
      <c r="U164" s="186" t="str">
        <f ca="1">iRankMultiple!EN108</f>
        <v/>
      </c>
      <c r="V164" s="187" t="str">
        <f ca="1">iRankMultiple!EO108</f>
        <v/>
      </c>
      <c r="W164" s="188" t="str">
        <f ca="1">iRankMultiple!EP108</f>
        <v/>
      </c>
      <c r="X164" s="189">
        <f>iRankMultiple!AA263</f>
        <v>0</v>
      </c>
      <c r="Y164" s="185"/>
      <c r="Z164" s="185"/>
    </row>
    <row r="165" spans="1:26" ht="14.45" hidden="1" x14ac:dyDescent="0.3">
      <c r="A165" s="138"/>
      <c r="B165" s="138">
        <f ca="1">iRankMultiple!DU109</f>
        <v>0</v>
      </c>
      <c r="C165" s="186" t="str">
        <f ca="1">iRankMultiple!DV109</f>
        <v/>
      </c>
      <c r="D165" s="187" t="str">
        <f ca="1">iRankMultiple!DW109</f>
        <v/>
      </c>
      <c r="E165" s="188" t="str">
        <f ca="1">iRankMultiple!DX109</f>
        <v/>
      </c>
      <c r="F165" s="189">
        <f>iRankMultiple!I264</f>
        <v>0</v>
      </c>
      <c r="G165" s="185"/>
      <c r="H165" s="185">
        <f ca="1">iRankMultiple!EA109</f>
        <v>0</v>
      </c>
      <c r="I165" s="186" t="str">
        <f ca="1">iRankMultiple!EB109</f>
        <v/>
      </c>
      <c r="J165" s="187" t="str">
        <f ca="1">iRankMultiple!EC109</f>
        <v/>
      </c>
      <c r="K165" s="188" t="str">
        <f ca="1">iRankMultiple!ED109</f>
        <v/>
      </c>
      <c r="L165" s="189">
        <f>iRankMultiple!O264</f>
        <v>0</v>
      </c>
      <c r="M165" s="185"/>
      <c r="N165" s="185">
        <f ca="1">iRankMultiple!EG109</f>
        <v>0</v>
      </c>
      <c r="O165" s="186" t="str">
        <f ca="1">iRankMultiple!EH109</f>
        <v/>
      </c>
      <c r="P165" s="187" t="str">
        <f ca="1">iRankMultiple!EI109</f>
        <v/>
      </c>
      <c r="Q165" s="188" t="str">
        <f ca="1">iRankMultiple!EJ109</f>
        <v/>
      </c>
      <c r="R165" s="189">
        <f>iRankMultiple!U264</f>
        <v>0</v>
      </c>
      <c r="S165" s="185"/>
      <c r="T165" s="185">
        <f ca="1">iRankMultiple!EM109</f>
        <v>0</v>
      </c>
      <c r="U165" s="186" t="str">
        <f ca="1">iRankMultiple!EN109</f>
        <v/>
      </c>
      <c r="V165" s="187" t="str">
        <f ca="1">iRankMultiple!EO109</f>
        <v/>
      </c>
      <c r="W165" s="188" t="str">
        <f ca="1">iRankMultiple!EP109</f>
        <v/>
      </c>
      <c r="X165" s="189">
        <f>iRankMultiple!AA264</f>
        <v>0</v>
      </c>
      <c r="Y165" s="185"/>
      <c r="Z165" s="185"/>
    </row>
    <row r="166" spans="1:26" ht="14.45" hidden="1" x14ac:dyDescent="0.3">
      <c r="A166" s="138"/>
      <c r="B166" s="138">
        <f ca="1">iRankMultiple!DU110</f>
        <v>0</v>
      </c>
      <c r="C166" s="186" t="str">
        <f ca="1">iRankMultiple!DV110</f>
        <v/>
      </c>
      <c r="D166" s="187" t="str">
        <f ca="1">iRankMultiple!DW110</f>
        <v/>
      </c>
      <c r="E166" s="188" t="str">
        <f ca="1">iRankMultiple!DX110</f>
        <v/>
      </c>
      <c r="F166" s="189">
        <f>iRankMultiple!I265</f>
        <v>0</v>
      </c>
      <c r="G166" s="185"/>
      <c r="H166" s="185">
        <f ca="1">iRankMultiple!EA110</f>
        <v>0</v>
      </c>
      <c r="I166" s="186" t="str">
        <f ca="1">iRankMultiple!EB110</f>
        <v/>
      </c>
      <c r="J166" s="187" t="str">
        <f ca="1">iRankMultiple!EC110</f>
        <v/>
      </c>
      <c r="K166" s="188" t="str">
        <f ca="1">iRankMultiple!ED110</f>
        <v/>
      </c>
      <c r="L166" s="189">
        <f>iRankMultiple!O265</f>
        <v>0</v>
      </c>
      <c r="M166" s="185"/>
      <c r="N166" s="185">
        <f ca="1">iRankMultiple!EG110</f>
        <v>0</v>
      </c>
      <c r="O166" s="186" t="str">
        <f ca="1">iRankMultiple!EH110</f>
        <v/>
      </c>
      <c r="P166" s="187" t="str">
        <f ca="1">iRankMultiple!EI110</f>
        <v/>
      </c>
      <c r="Q166" s="188" t="str">
        <f ca="1">iRankMultiple!EJ110</f>
        <v/>
      </c>
      <c r="R166" s="189">
        <f>iRankMultiple!U265</f>
        <v>0</v>
      </c>
      <c r="S166" s="185"/>
      <c r="T166" s="185">
        <f ca="1">iRankMultiple!EM110</f>
        <v>0</v>
      </c>
      <c r="U166" s="186" t="str">
        <f ca="1">iRankMultiple!EN110</f>
        <v/>
      </c>
      <c r="V166" s="187" t="str">
        <f ca="1">iRankMultiple!EO110</f>
        <v/>
      </c>
      <c r="W166" s="188" t="str">
        <f ca="1">iRankMultiple!EP110</f>
        <v/>
      </c>
      <c r="X166" s="189">
        <f>iRankMultiple!AA265</f>
        <v>0</v>
      </c>
      <c r="Y166" s="185"/>
      <c r="Z166" s="185"/>
    </row>
    <row r="167" spans="1:26" ht="14.45" hidden="1" x14ac:dyDescent="0.3">
      <c r="A167" s="138"/>
      <c r="B167" s="138">
        <f ca="1">iRankMultiple!DU111</f>
        <v>0</v>
      </c>
      <c r="C167" s="186" t="str">
        <f ca="1">iRankMultiple!DV111</f>
        <v/>
      </c>
      <c r="D167" s="187" t="str">
        <f ca="1">iRankMultiple!DW111</f>
        <v/>
      </c>
      <c r="E167" s="188" t="str">
        <f ca="1">iRankMultiple!DX111</f>
        <v/>
      </c>
      <c r="F167" s="189">
        <f>iRankMultiple!I266</f>
        <v>0</v>
      </c>
      <c r="G167" s="185"/>
      <c r="H167" s="185">
        <f ca="1">iRankMultiple!EA111</f>
        <v>0</v>
      </c>
      <c r="I167" s="186" t="str">
        <f ca="1">iRankMultiple!EB111</f>
        <v/>
      </c>
      <c r="J167" s="187" t="str">
        <f ca="1">iRankMultiple!EC111</f>
        <v/>
      </c>
      <c r="K167" s="188" t="str">
        <f ca="1">iRankMultiple!ED111</f>
        <v/>
      </c>
      <c r="L167" s="189">
        <f>iRankMultiple!O266</f>
        <v>0</v>
      </c>
      <c r="M167" s="185"/>
      <c r="N167" s="185">
        <f ca="1">iRankMultiple!EG111</f>
        <v>0</v>
      </c>
      <c r="O167" s="186" t="str">
        <f ca="1">iRankMultiple!EH111</f>
        <v/>
      </c>
      <c r="P167" s="187" t="str">
        <f ca="1">iRankMultiple!EI111</f>
        <v/>
      </c>
      <c r="Q167" s="188" t="str">
        <f ca="1">iRankMultiple!EJ111</f>
        <v/>
      </c>
      <c r="R167" s="189">
        <f>iRankMultiple!U266</f>
        <v>0</v>
      </c>
      <c r="S167" s="185"/>
      <c r="T167" s="185">
        <f ca="1">iRankMultiple!EM111</f>
        <v>0</v>
      </c>
      <c r="U167" s="186" t="str">
        <f ca="1">iRankMultiple!EN111</f>
        <v/>
      </c>
      <c r="V167" s="187" t="str">
        <f ca="1">iRankMultiple!EO111</f>
        <v/>
      </c>
      <c r="W167" s="188" t="str">
        <f ca="1">iRankMultiple!EP111</f>
        <v/>
      </c>
      <c r="X167" s="189">
        <f>iRankMultiple!AA266</f>
        <v>0</v>
      </c>
      <c r="Y167" s="185"/>
      <c r="Z167" s="185"/>
    </row>
    <row r="168" spans="1:26" ht="14.45" hidden="1" x14ac:dyDescent="0.3">
      <c r="A168" s="138"/>
      <c r="B168" s="138">
        <f ca="1">iRankMultiple!DU112</f>
        <v>0</v>
      </c>
      <c r="C168" s="186" t="str">
        <f ca="1">iRankMultiple!DV112</f>
        <v/>
      </c>
      <c r="D168" s="187" t="str">
        <f ca="1">iRankMultiple!DW112</f>
        <v/>
      </c>
      <c r="E168" s="188" t="str">
        <f ca="1">iRankMultiple!DX112</f>
        <v/>
      </c>
      <c r="F168" s="189">
        <f>iRankMultiple!I267</f>
        <v>0</v>
      </c>
      <c r="G168" s="185"/>
      <c r="H168" s="185">
        <f ca="1">iRankMultiple!EA112</f>
        <v>0</v>
      </c>
      <c r="I168" s="186" t="str">
        <f ca="1">iRankMultiple!EB112</f>
        <v/>
      </c>
      <c r="J168" s="187" t="str">
        <f ca="1">iRankMultiple!EC112</f>
        <v/>
      </c>
      <c r="K168" s="188" t="str">
        <f ca="1">iRankMultiple!ED112</f>
        <v/>
      </c>
      <c r="L168" s="189">
        <f>iRankMultiple!O267</f>
        <v>0</v>
      </c>
      <c r="M168" s="185"/>
      <c r="N168" s="185">
        <f ca="1">iRankMultiple!EG112</f>
        <v>0</v>
      </c>
      <c r="O168" s="186" t="str">
        <f ca="1">iRankMultiple!EH112</f>
        <v/>
      </c>
      <c r="P168" s="187" t="str">
        <f ca="1">iRankMultiple!EI112</f>
        <v/>
      </c>
      <c r="Q168" s="188" t="str">
        <f ca="1">iRankMultiple!EJ112</f>
        <v/>
      </c>
      <c r="R168" s="189">
        <f>iRankMultiple!U267</f>
        <v>0</v>
      </c>
      <c r="S168" s="185"/>
      <c r="T168" s="185">
        <f ca="1">iRankMultiple!EM112</f>
        <v>0</v>
      </c>
      <c r="U168" s="186" t="str">
        <f ca="1">iRankMultiple!EN112</f>
        <v/>
      </c>
      <c r="V168" s="187" t="str">
        <f ca="1">iRankMultiple!EO112</f>
        <v/>
      </c>
      <c r="W168" s="188" t="str">
        <f ca="1">iRankMultiple!EP112</f>
        <v/>
      </c>
      <c r="X168" s="189">
        <f>iRankMultiple!AA267</f>
        <v>0</v>
      </c>
      <c r="Y168" s="185"/>
      <c r="Z168" s="185"/>
    </row>
    <row r="169" spans="1:26" ht="14.45" hidden="1" x14ac:dyDescent="0.3">
      <c r="A169" s="138"/>
      <c r="B169" s="138">
        <f ca="1">iRankMultiple!DU113</f>
        <v>0</v>
      </c>
      <c r="C169" s="186" t="str">
        <f ca="1">iRankMultiple!DV113</f>
        <v/>
      </c>
      <c r="D169" s="187" t="str">
        <f ca="1">iRankMultiple!DW113</f>
        <v/>
      </c>
      <c r="E169" s="188" t="str">
        <f ca="1">iRankMultiple!DX113</f>
        <v/>
      </c>
      <c r="F169" s="189">
        <f>iRankMultiple!I268</f>
        <v>0</v>
      </c>
      <c r="G169" s="185"/>
      <c r="H169" s="185">
        <f ca="1">iRankMultiple!EA113</f>
        <v>0</v>
      </c>
      <c r="I169" s="186" t="str">
        <f ca="1">iRankMultiple!EB113</f>
        <v/>
      </c>
      <c r="J169" s="187" t="str">
        <f ca="1">iRankMultiple!EC113</f>
        <v/>
      </c>
      <c r="K169" s="188" t="str">
        <f ca="1">iRankMultiple!ED113</f>
        <v/>
      </c>
      <c r="L169" s="189">
        <f>iRankMultiple!O268</f>
        <v>0</v>
      </c>
      <c r="M169" s="185"/>
      <c r="N169" s="185">
        <f ca="1">iRankMultiple!EG113</f>
        <v>0</v>
      </c>
      <c r="O169" s="186" t="str">
        <f ca="1">iRankMultiple!EH113</f>
        <v/>
      </c>
      <c r="P169" s="187" t="str">
        <f ca="1">iRankMultiple!EI113</f>
        <v/>
      </c>
      <c r="Q169" s="188" t="str">
        <f ca="1">iRankMultiple!EJ113</f>
        <v/>
      </c>
      <c r="R169" s="189">
        <f>iRankMultiple!U268</f>
        <v>0</v>
      </c>
      <c r="S169" s="185"/>
      <c r="T169" s="185">
        <f ca="1">iRankMultiple!EM113</f>
        <v>0</v>
      </c>
      <c r="U169" s="186" t="str">
        <f ca="1">iRankMultiple!EN113</f>
        <v/>
      </c>
      <c r="V169" s="187" t="str">
        <f ca="1">iRankMultiple!EO113</f>
        <v/>
      </c>
      <c r="W169" s="188" t="str">
        <f ca="1">iRankMultiple!EP113</f>
        <v/>
      </c>
      <c r="X169" s="189">
        <f>iRankMultiple!AA268</f>
        <v>0</v>
      </c>
      <c r="Y169" s="185"/>
      <c r="Z169" s="185"/>
    </row>
    <row r="170" spans="1:26" ht="14.45" hidden="1" x14ac:dyDescent="0.3">
      <c r="A170" s="138"/>
      <c r="B170" s="138">
        <f ca="1">iRankMultiple!DU114</f>
        <v>0</v>
      </c>
      <c r="C170" s="186" t="str">
        <f ca="1">iRankMultiple!DV114</f>
        <v/>
      </c>
      <c r="D170" s="187" t="str">
        <f ca="1">iRankMultiple!DW114</f>
        <v/>
      </c>
      <c r="E170" s="188" t="str">
        <f ca="1">iRankMultiple!DX114</f>
        <v/>
      </c>
      <c r="F170" s="189">
        <f>iRankMultiple!I269</f>
        <v>0</v>
      </c>
      <c r="G170" s="185"/>
      <c r="H170" s="185">
        <f ca="1">iRankMultiple!EA114</f>
        <v>0</v>
      </c>
      <c r="I170" s="186" t="str">
        <f ca="1">iRankMultiple!EB114</f>
        <v/>
      </c>
      <c r="J170" s="187" t="str">
        <f ca="1">iRankMultiple!EC114</f>
        <v/>
      </c>
      <c r="K170" s="188" t="str">
        <f ca="1">iRankMultiple!ED114</f>
        <v/>
      </c>
      <c r="L170" s="189">
        <f>iRankMultiple!O269</f>
        <v>0</v>
      </c>
      <c r="M170" s="185"/>
      <c r="N170" s="185">
        <f ca="1">iRankMultiple!EG114</f>
        <v>0</v>
      </c>
      <c r="O170" s="186" t="str">
        <f ca="1">iRankMultiple!EH114</f>
        <v/>
      </c>
      <c r="P170" s="187" t="str">
        <f ca="1">iRankMultiple!EI114</f>
        <v/>
      </c>
      <c r="Q170" s="188" t="str">
        <f ca="1">iRankMultiple!EJ114</f>
        <v/>
      </c>
      <c r="R170" s="189">
        <f>iRankMultiple!U269</f>
        <v>0</v>
      </c>
      <c r="S170" s="185"/>
      <c r="T170" s="185">
        <f ca="1">iRankMultiple!EM114</f>
        <v>0</v>
      </c>
      <c r="U170" s="186" t="str">
        <f ca="1">iRankMultiple!EN114</f>
        <v/>
      </c>
      <c r="V170" s="187" t="str">
        <f ca="1">iRankMultiple!EO114</f>
        <v/>
      </c>
      <c r="W170" s="188" t="str">
        <f ca="1">iRankMultiple!EP114</f>
        <v/>
      </c>
      <c r="X170" s="189">
        <f>iRankMultiple!AA269</f>
        <v>0</v>
      </c>
      <c r="Y170" s="185"/>
      <c r="Z170" s="185"/>
    </row>
    <row r="171" spans="1:26" ht="14.45" hidden="1" x14ac:dyDescent="0.3">
      <c r="A171" s="138"/>
      <c r="B171" s="138">
        <f ca="1">iRankMultiple!DU115</f>
        <v>0</v>
      </c>
      <c r="C171" s="186" t="str">
        <f ca="1">iRankMultiple!DV115</f>
        <v/>
      </c>
      <c r="D171" s="187" t="str">
        <f ca="1">iRankMultiple!DW115</f>
        <v/>
      </c>
      <c r="E171" s="188" t="str">
        <f ca="1">iRankMultiple!DX115</f>
        <v/>
      </c>
      <c r="F171" s="189">
        <f>iRankMultiple!I270</f>
        <v>0</v>
      </c>
      <c r="G171" s="185"/>
      <c r="H171" s="185">
        <f ca="1">iRankMultiple!EA115</f>
        <v>0</v>
      </c>
      <c r="I171" s="186" t="str">
        <f ca="1">iRankMultiple!EB115</f>
        <v/>
      </c>
      <c r="J171" s="187" t="str">
        <f ca="1">iRankMultiple!EC115</f>
        <v/>
      </c>
      <c r="K171" s="188" t="str">
        <f ca="1">iRankMultiple!ED115</f>
        <v/>
      </c>
      <c r="L171" s="189">
        <f>iRankMultiple!O270</f>
        <v>0</v>
      </c>
      <c r="M171" s="185"/>
      <c r="N171" s="185">
        <f ca="1">iRankMultiple!EG115</f>
        <v>0</v>
      </c>
      <c r="O171" s="186" t="str">
        <f ca="1">iRankMultiple!EH115</f>
        <v/>
      </c>
      <c r="P171" s="187" t="str">
        <f ca="1">iRankMultiple!EI115</f>
        <v/>
      </c>
      <c r="Q171" s="188" t="str">
        <f ca="1">iRankMultiple!EJ115</f>
        <v/>
      </c>
      <c r="R171" s="189">
        <f>iRankMultiple!U270</f>
        <v>0</v>
      </c>
      <c r="S171" s="185"/>
      <c r="T171" s="185">
        <f ca="1">iRankMultiple!EM115</f>
        <v>0</v>
      </c>
      <c r="U171" s="186" t="str">
        <f ca="1">iRankMultiple!EN115</f>
        <v/>
      </c>
      <c r="V171" s="187" t="str">
        <f ca="1">iRankMultiple!EO115</f>
        <v/>
      </c>
      <c r="W171" s="188" t="str">
        <f ca="1">iRankMultiple!EP115</f>
        <v/>
      </c>
      <c r="X171" s="189">
        <f>iRankMultiple!AA270</f>
        <v>0</v>
      </c>
      <c r="Y171" s="185"/>
      <c r="Z171" s="185"/>
    </row>
    <row r="172" spans="1:26" ht="14.45" hidden="1" x14ac:dyDescent="0.3">
      <c r="A172" s="138"/>
      <c r="B172" s="138">
        <f ca="1">iRankMultiple!DU116</f>
        <v>0</v>
      </c>
      <c r="C172" s="186" t="str">
        <f ca="1">iRankMultiple!DV116</f>
        <v/>
      </c>
      <c r="D172" s="187" t="str">
        <f ca="1">iRankMultiple!DW116</f>
        <v/>
      </c>
      <c r="E172" s="188" t="str">
        <f ca="1">iRankMultiple!DX116</f>
        <v/>
      </c>
      <c r="F172" s="189">
        <f>iRankMultiple!I271</f>
        <v>0</v>
      </c>
      <c r="G172" s="185"/>
      <c r="H172" s="185">
        <f ca="1">iRankMultiple!EA116</f>
        <v>0</v>
      </c>
      <c r="I172" s="186" t="str">
        <f ca="1">iRankMultiple!EB116</f>
        <v/>
      </c>
      <c r="J172" s="187" t="str">
        <f ca="1">iRankMultiple!EC116</f>
        <v/>
      </c>
      <c r="K172" s="188" t="str">
        <f ca="1">iRankMultiple!ED116</f>
        <v/>
      </c>
      <c r="L172" s="189">
        <f>iRankMultiple!O271</f>
        <v>0</v>
      </c>
      <c r="M172" s="185"/>
      <c r="N172" s="185">
        <f ca="1">iRankMultiple!EG116</f>
        <v>0</v>
      </c>
      <c r="O172" s="186" t="str">
        <f ca="1">iRankMultiple!EH116</f>
        <v/>
      </c>
      <c r="P172" s="187" t="str">
        <f ca="1">iRankMultiple!EI116</f>
        <v/>
      </c>
      <c r="Q172" s="188" t="str">
        <f ca="1">iRankMultiple!EJ116</f>
        <v/>
      </c>
      <c r="R172" s="189">
        <f>iRankMultiple!U271</f>
        <v>0</v>
      </c>
      <c r="S172" s="185"/>
      <c r="T172" s="185">
        <f ca="1">iRankMultiple!EM116</f>
        <v>0</v>
      </c>
      <c r="U172" s="186" t="str">
        <f ca="1">iRankMultiple!EN116</f>
        <v/>
      </c>
      <c r="V172" s="187" t="str">
        <f ca="1">iRankMultiple!EO116</f>
        <v/>
      </c>
      <c r="W172" s="188" t="str">
        <f ca="1">iRankMultiple!EP116</f>
        <v/>
      </c>
      <c r="X172" s="189">
        <f>iRankMultiple!AA271</f>
        <v>0</v>
      </c>
      <c r="Y172" s="185"/>
      <c r="Z172" s="185"/>
    </row>
    <row r="173" spans="1:26" ht="14.45" hidden="1" x14ac:dyDescent="0.3">
      <c r="A173" s="138"/>
      <c r="B173" s="138">
        <f ca="1">iRankMultiple!DU117</f>
        <v>0</v>
      </c>
      <c r="C173" s="186" t="str">
        <f ca="1">iRankMultiple!DV117</f>
        <v/>
      </c>
      <c r="D173" s="187" t="str">
        <f ca="1">iRankMultiple!DW117</f>
        <v/>
      </c>
      <c r="E173" s="188" t="str">
        <f ca="1">iRankMultiple!DX117</f>
        <v/>
      </c>
      <c r="F173" s="189">
        <f>iRankMultiple!I272</f>
        <v>0</v>
      </c>
      <c r="G173" s="185"/>
      <c r="H173" s="185">
        <f ca="1">iRankMultiple!EA117</f>
        <v>0</v>
      </c>
      <c r="I173" s="186" t="str">
        <f ca="1">iRankMultiple!EB117</f>
        <v/>
      </c>
      <c r="J173" s="187" t="str">
        <f ca="1">iRankMultiple!EC117</f>
        <v/>
      </c>
      <c r="K173" s="188" t="str">
        <f ca="1">iRankMultiple!ED117</f>
        <v/>
      </c>
      <c r="L173" s="189">
        <f>iRankMultiple!O272</f>
        <v>0</v>
      </c>
      <c r="M173" s="185"/>
      <c r="N173" s="185">
        <f ca="1">iRankMultiple!EG117</f>
        <v>0</v>
      </c>
      <c r="O173" s="186" t="str">
        <f ca="1">iRankMultiple!EH117</f>
        <v/>
      </c>
      <c r="P173" s="187" t="str">
        <f ca="1">iRankMultiple!EI117</f>
        <v/>
      </c>
      <c r="Q173" s="188" t="str">
        <f ca="1">iRankMultiple!EJ117</f>
        <v/>
      </c>
      <c r="R173" s="189">
        <f>iRankMultiple!U272</f>
        <v>0</v>
      </c>
      <c r="S173" s="185"/>
      <c r="T173" s="185">
        <f ca="1">iRankMultiple!EM117</f>
        <v>0</v>
      </c>
      <c r="U173" s="186" t="str">
        <f ca="1">iRankMultiple!EN117</f>
        <v/>
      </c>
      <c r="V173" s="187" t="str">
        <f ca="1">iRankMultiple!EO117</f>
        <v/>
      </c>
      <c r="W173" s="188" t="str">
        <f ca="1">iRankMultiple!EP117</f>
        <v/>
      </c>
      <c r="X173" s="189">
        <f>iRankMultiple!AA272</f>
        <v>0</v>
      </c>
      <c r="Y173" s="185"/>
      <c r="Z173" s="185"/>
    </row>
    <row r="174" spans="1:26" ht="14.45" hidden="1" x14ac:dyDescent="0.3">
      <c r="A174" s="138"/>
      <c r="B174" s="138">
        <f ca="1">iRankMultiple!DU118</f>
        <v>0</v>
      </c>
      <c r="C174" s="186" t="str">
        <f ca="1">iRankMultiple!DV118</f>
        <v/>
      </c>
      <c r="D174" s="187" t="str">
        <f ca="1">iRankMultiple!DW118</f>
        <v/>
      </c>
      <c r="E174" s="188" t="str">
        <f ca="1">iRankMultiple!DX118</f>
        <v/>
      </c>
      <c r="F174" s="189">
        <f>iRankMultiple!I273</f>
        <v>0</v>
      </c>
      <c r="G174" s="185"/>
      <c r="H174" s="185">
        <f ca="1">iRankMultiple!EA118</f>
        <v>0</v>
      </c>
      <c r="I174" s="186" t="str">
        <f ca="1">iRankMultiple!EB118</f>
        <v/>
      </c>
      <c r="J174" s="187" t="str">
        <f ca="1">iRankMultiple!EC118</f>
        <v/>
      </c>
      <c r="K174" s="188" t="str">
        <f ca="1">iRankMultiple!ED118</f>
        <v/>
      </c>
      <c r="L174" s="189">
        <f>iRankMultiple!O273</f>
        <v>0</v>
      </c>
      <c r="M174" s="185"/>
      <c r="N174" s="185">
        <f ca="1">iRankMultiple!EG118</f>
        <v>0</v>
      </c>
      <c r="O174" s="186" t="str">
        <f ca="1">iRankMultiple!EH118</f>
        <v/>
      </c>
      <c r="P174" s="187" t="str">
        <f ca="1">iRankMultiple!EI118</f>
        <v/>
      </c>
      <c r="Q174" s="188" t="str">
        <f ca="1">iRankMultiple!EJ118</f>
        <v/>
      </c>
      <c r="R174" s="189">
        <f>iRankMultiple!U273</f>
        <v>0</v>
      </c>
      <c r="S174" s="185"/>
      <c r="T174" s="185">
        <f ca="1">iRankMultiple!EM118</f>
        <v>0</v>
      </c>
      <c r="U174" s="186" t="str">
        <f ca="1">iRankMultiple!EN118</f>
        <v/>
      </c>
      <c r="V174" s="187" t="str">
        <f ca="1">iRankMultiple!EO118</f>
        <v/>
      </c>
      <c r="W174" s="188" t="str">
        <f ca="1">iRankMultiple!EP118</f>
        <v/>
      </c>
      <c r="X174" s="189">
        <f>iRankMultiple!AA273</f>
        <v>0</v>
      </c>
      <c r="Y174" s="185"/>
      <c r="Z174" s="185"/>
    </row>
    <row r="175" spans="1:26" ht="14.45" hidden="1" x14ac:dyDescent="0.3">
      <c r="A175" s="138"/>
      <c r="B175" s="138">
        <f ca="1">iRankMultiple!DU119</f>
        <v>0</v>
      </c>
      <c r="C175" s="186" t="str">
        <f ca="1">iRankMultiple!DV119</f>
        <v/>
      </c>
      <c r="D175" s="187" t="str">
        <f ca="1">iRankMultiple!DW119</f>
        <v/>
      </c>
      <c r="E175" s="188" t="str">
        <f ca="1">iRankMultiple!DX119</f>
        <v/>
      </c>
      <c r="F175" s="189">
        <f>iRankMultiple!I274</f>
        <v>0</v>
      </c>
      <c r="G175" s="185"/>
      <c r="H175" s="185">
        <f ca="1">iRankMultiple!EA119</f>
        <v>0</v>
      </c>
      <c r="I175" s="186" t="str">
        <f ca="1">iRankMultiple!EB119</f>
        <v/>
      </c>
      <c r="J175" s="187" t="str">
        <f ca="1">iRankMultiple!EC119</f>
        <v/>
      </c>
      <c r="K175" s="188" t="str">
        <f ca="1">iRankMultiple!ED119</f>
        <v/>
      </c>
      <c r="L175" s="189">
        <f>iRankMultiple!O274</f>
        <v>0</v>
      </c>
      <c r="M175" s="185"/>
      <c r="N175" s="185">
        <f ca="1">iRankMultiple!EG119</f>
        <v>0</v>
      </c>
      <c r="O175" s="186" t="str">
        <f ca="1">iRankMultiple!EH119</f>
        <v/>
      </c>
      <c r="P175" s="187" t="str">
        <f ca="1">iRankMultiple!EI119</f>
        <v/>
      </c>
      <c r="Q175" s="188" t="str">
        <f ca="1">iRankMultiple!EJ119</f>
        <v/>
      </c>
      <c r="R175" s="189">
        <f>iRankMultiple!U274</f>
        <v>0</v>
      </c>
      <c r="S175" s="185"/>
      <c r="T175" s="185">
        <f ca="1">iRankMultiple!EM119</f>
        <v>0</v>
      </c>
      <c r="U175" s="186" t="str">
        <f ca="1">iRankMultiple!EN119</f>
        <v/>
      </c>
      <c r="V175" s="187" t="str">
        <f ca="1">iRankMultiple!EO119</f>
        <v/>
      </c>
      <c r="W175" s="188" t="str">
        <f ca="1">iRankMultiple!EP119</f>
        <v/>
      </c>
      <c r="X175" s="189">
        <f>iRankMultiple!AA274</f>
        <v>0</v>
      </c>
      <c r="Y175" s="185"/>
      <c r="Z175" s="185"/>
    </row>
    <row r="176" spans="1:26" ht="14.45" hidden="1" x14ac:dyDescent="0.3">
      <c r="A176" s="138"/>
      <c r="B176" s="138">
        <f ca="1">iRankMultiple!DU120</f>
        <v>0</v>
      </c>
      <c r="C176" s="186" t="str">
        <f ca="1">iRankMultiple!DV120</f>
        <v/>
      </c>
      <c r="D176" s="187" t="str">
        <f ca="1">iRankMultiple!DW120</f>
        <v/>
      </c>
      <c r="E176" s="188" t="str">
        <f ca="1">iRankMultiple!DX120</f>
        <v/>
      </c>
      <c r="F176" s="189">
        <f>iRankMultiple!I275</f>
        <v>0</v>
      </c>
      <c r="G176" s="185"/>
      <c r="H176" s="185">
        <f ca="1">iRankMultiple!EA120</f>
        <v>0</v>
      </c>
      <c r="I176" s="186" t="str">
        <f ca="1">iRankMultiple!EB120</f>
        <v/>
      </c>
      <c r="J176" s="187" t="str">
        <f ca="1">iRankMultiple!EC120</f>
        <v/>
      </c>
      <c r="K176" s="188" t="str">
        <f ca="1">iRankMultiple!ED120</f>
        <v/>
      </c>
      <c r="L176" s="189">
        <f>iRankMultiple!O275</f>
        <v>0</v>
      </c>
      <c r="M176" s="185"/>
      <c r="N176" s="185">
        <f ca="1">iRankMultiple!EG120</f>
        <v>0</v>
      </c>
      <c r="O176" s="186" t="str">
        <f ca="1">iRankMultiple!EH120</f>
        <v/>
      </c>
      <c r="P176" s="187" t="str">
        <f ca="1">iRankMultiple!EI120</f>
        <v/>
      </c>
      <c r="Q176" s="188" t="str">
        <f ca="1">iRankMultiple!EJ120</f>
        <v/>
      </c>
      <c r="R176" s="189">
        <f>iRankMultiple!U275</f>
        <v>0</v>
      </c>
      <c r="S176" s="185"/>
      <c r="T176" s="185">
        <f ca="1">iRankMultiple!EM120</f>
        <v>0</v>
      </c>
      <c r="U176" s="186" t="str">
        <f ca="1">iRankMultiple!EN120</f>
        <v/>
      </c>
      <c r="V176" s="187" t="str">
        <f ca="1">iRankMultiple!EO120</f>
        <v/>
      </c>
      <c r="W176" s="188" t="str">
        <f ca="1">iRankMultiple!EP120</f>
        <v/>
      </c>
      <c r="X176" s="189">
        <f>iRankMultiple!AA275</f>
        <v>0</v>
      </c>
      <c r="Y176" s="185"/>
      <c r="Z176" s="185"/>
    </row>
    <row r="177" spans="1:27" ht="14.45" hidden="1" x14ac:dyDescent="0.3">
      <c r="A177" s="138"/>
      <c r="B177" s="138">
        <f ca="1">iRankMultiple!DU121</f>
        <v>0</v>
      </c>
      <c r="C177" s="186" t="str">
        <f ca="1">iRankMultiple!DV121</f>
        <v/>
      </c>
      <c r="D177" s="187" t="str">
        <f ca="1">iRankMultiple!DW121</f>
        <v/>
      </c>
      <c r="E177" s="188" t="str">
        <f ca="1">iRankMultiple!DX121</f>
        <v/>
      </c>
      <c r="F177" s="189">
        <f>iRankMultiple!I276</f>
        <v>0</v>
      </c>
      <c r="G177" s="185"/>
      <c r="H177" s="185">
        <f ca="1">iRankMultiple!EA121</f>
        <v>0</v>
      </c>
      <c r="I177" s="186" t="str">
        <f ca="1">iRankMultiple!EB121</f>
        <v/>
      </c>
      <c r="J177" s="187" t="str">
        <f ca="1">iRankMultiple!EC121</f>
        <v/>
      </c>
      <c r="K177" s="188" t="str">
        <f ca="1">iRankMultiple!ED121</f>
        <v/>
      </c>
      <c r="L177" s="189">
        <f>iRankMultiple!O276</f>
        <v>0</v>
      </c>
      <c r="M177" s="185"/>
      <c r="N177" s="185">
        <f ca="1">iRankMultiple!EG121</f>
        <v>0</v>
      </c>
      <c r="O177" s="186" t="str">
        <f ca="1">iRankMultiple!EH121</f>
        <v/>
      </c>
      <c r="P177" s="187" t="str">
        <f ca="1">iRankMultiple!EI121</f>
        <v/>
      </c>
      <c r="Q177" s="188" t="str">
        <f ca="1">iRankMultiple!EJ121</f>
        <v/>
      </c>
      <c r="R177" s="189">
        <f>iRankMultiple!U276</f>
        <v>0</v>
      </c>
      <c r="S177" s="185"/>
      <c r="T177" s="185">
        <f ca="1">iRankMultiple!EM121</f>
        <v>0</v>
      </c>
      <c r="U177" s="186" t="str">
        <f ca="1">iRankMultiple!EN121</f>
        <v/>
      </c>
      <c r="V177" s="187" t="str">
        <f ca="1">iRankMultiple!EO121</f>
        <v/>
      </c>
      <c r="W177" s="188" t="str">
        <f ca="1">iRankMultiple!EP121</f>
        <v/>
      </c>
      <c r="X177" s="189">
        <f>iRankMultiple!AA276</f>
        <v>0</v>
      </c>
      <c r="Y177" s="185"/>
      <c r="Z177" s="185"/>
    </row>
    <row r="178" spans="1:27" ht="14.45" hidden="1" x14ac:dyDescent="0.3">
      <c r="A178" s="138"/>
      <c r="B178" s="138">
        <f ca="1">iRankMultiple!DU122</f>
        <v>0</v>
      </c>
      <c r="C178" s="186" t="str">
        <f ca="1">iRankMultiple!DV122</f>
        <v/>
      </c>
      <c r="D178" s="187" t="str">
        <f ca="1">iRankMultiple!DW122</f>
        <v/>
      </c>
      <c r="E178" s="188" t="str">
        <f ca="1">iRankMultiple!DX122</f>
        <v/>
      </c>
      <c r="F178" s="189">
        <f>iRankMultiple!I277</f>
        <v>0</v>
      </c>
      <c r="G178" s="185"/>
      <c r="H178" s="185">
        <f ca="1">iRankMultiple!EA122</f>
        <v>0</v>
      </c>
      <c r="I178" s="186" t="str">
        <f ca="1">iRankMultiple!EB122</f>
        <v/>
      </c>
      <c r="J178" s="187" t="str">
        <f ca="1">iRankMultiple!EC122</f>
        <v/>
      </c>
      <c r="K178" s="188" t="str">
        <f ca="1">iRankMultiple!ED122</f>
        <v/>
      </c>
      <c r="L178" s="189">
        <f>iRankMultiple!O277</f>
        <v>0</v>
      </c>
      <c r="M178" s="185"/>
      <c r="N178" s="185">
        <f ca="1">iRankMultiple!EG122</f>
        <v>0</v>
      </c>
      <c r="O178" s="186" t="str">
        <f ca="1">iRankMultiple!EH122</f>
        <v/>
      </c>
      <c r="P178" s="187" t="str">
        <f ca="1">iRankMultiple!EI122</f>
        <v/>
      </c>
      <c r="Q178" s="188" t="str">
        <f ca="1">iRankMultiple!EJ122</f>
        <v/>
      </c>
      <c r="R178" s="189">
        <f>iRankMultiple!U277</f>
        <v>0</v>
      </c>
      <c r="S178" s="185"/>
      <c r="T178" s="185">
        <f ca="1">iRankMultiple!EM122</f>
        <v>0</v>
      </c>
      <c r="U178" s="186" t="str">
        <f ca="1">iRankMultiple!EN122</f>
        <v/>
      </c>
      <c r="V178" s="187" t="str">
        <f ca="1">iRankMultiple!EO122</f>
        <v/>
      </c>
      <c r="W178" s="188" t="str">
        <f ca="1">iRankMultiple!EP122</f>
        <v/>
      </c>
      <c r="X178" s="189">
        <f>iRankMultiple!AA277</f>
        <v>0</v>
      </c>
      <c r="Y178" s="185"/>
      <c r="Z178" s="185"/>
    </row>
    <row r="179" spans="1:27" ht="14.45" hidden="1" x14ac:dyDescent="0.3">
      <c r="A179" s="138"/>
      <c r="B179" s="138">
        <f ca="1">iRankMultiple!DU123</f>
        <v>0</v>
      </c>
      <c r="C179" s="186" t="str">
        <f ca="1">iRankMultiple!DV123</f>
        <v/>
      </c>
      <c r="D179" s="187" t="str">
        <f ca="1">iRankMultiple!DW123</f>
        <v/>
      </c>
      <c r="E179" s="188" t="str">
        <f ca="1">iRankMultiple!DX123</f>
        <v/>
      </c>
      <c r="F179" s="189">
        <f>iRankMultiple!I278</f>
        <v>0</v>
      </c>
      <c r="G179" s="185"/>
      <c r="H179" s="185">
        <f ca="1">iRankMultiple!EA123</f>
        <v>0</v>
      </c>
      <c r="I179" s="186" t="str">
        <f ca="1">iRankMultiple!EB123</f>
        <v/>
      </c>
      <c r="J179" s="187" t="str">
        <f ca="1">iRankMultiple!EC123</f>
        <v/>
      </c>
      <c r="K179" s="188" t="str">
        <f ca="1">iRankMultiple!ED123</f>
        <v/>
      </c>
      <c r="L179" s="189">
        <f>iRankMultiple!O278</f>
        <v>0</v>
      </c>
      <c r="M179" s="185"/>
      <c r="N179" s="185">
        <f ca="1">iRankMultiple!EG123</f>
        <v>0</v>
      </c>
      <c r="O179" s="186" t="str">
        <f ca="1">iRankMultiple!EH123</f>
        <v/>
      </c>
      <c r="P179" s="187" t="str">
        <f ca="1">iRankMultiple!EI123</f>
        <v/>
      </c>
      <c r="Q179" s="188" t="str">
        <f ca="1">iRankMultiple!EJ123</f>
        <v/>
      </c>
      <c r="R179" s="189">
        <f>iRankMultiple!U278</f>
        <v>0</v>
      </c>
      <c r="S179" s="185"/>
      <c r="T179" s="185">
        <f ca="1">iRankMultiple!EM123</f>
        <v>0</v>
      </c>
      <c r="U179" s="186" t="str">
        <f ca="1">iRankMultiple!EN123</f>
        <v/>
      </c>
      <c r="V179" s="187" t="str">
        <f ca="1">iRankMultiple!EO123</f>
        <v/>
      </c>
      <c r="W179" s="188" t="str">
        <f ca="1">iRankMultiple!EP123</f>
        <v/>
      </c>
      <c r="X179" s="189">
        <f>iRankMultiple!AA278</f>
        <v>0</v>
      </c>
      <c r="Y179" s="185"/>
      <c r="Z179" s="185"/>
    </row>
    <row r="180" spans="1:27" ht="14.45" hidden="1" x14ac:dyDescent="0.3">
      <c r="A180" s="138"/>
      <c r="B180" s="138">
        <f ca="1">iRankMultiple!DU124</f>
        <v>0</v>
      </c>
      <c r="C180" s="186" t="str">
        <f ca="1">iRankMultiple!DV124</f>
        <v/>
      </c>
      <c r="D180" s="187" t="str">
        <f ca="1">iRankMultiple!DW124</f>
        <v/>
      </c>
      <c r="E180" s="188" t="str">
        <f ca="1">iRankMultiple!DX124</f>
        <v/>
      </c>
      <c r="F180" s="189">
        <f>iRankMultiple!I279</f>
        <v>0</v>
      </c>
      <c r="G180" s="185"/>
      <c r="H180" s="185">
        <f ca="1">iRankMultiple!EA124</f>
        <v>0</v>
      </c>
      <c r="I180" s="186" t="str">
        <f ca="1">iRankMultiple!EB124</f>
        <v/>
      </c>
      <c r="J180" s="187" t="str">
        <f ca="1">iRankMultiple!EC124</f>
        <v/>
      </c>
      <c r="K180" s="188" t="str">
        <f ca="1">iRankMultiple!ED124</f>
        <v/>
      </c>
      <c r="L180" s="189">
        <f>iRankMultiple!O279</f>
        <v>0</v>
      </c>
      <c r="M180" s="185"/>
      <c r="N180" s="185">
        <f ca="1">iRankMultiple!EG124</f>
        <v>0</v>
      </c>
      <c r="O180" s="186" t="str">
        <f ca="1">iRankMultiple!EH124</f>
        <v/>
      </c>
      <c r="P180" s="187" t="str">
        <f ca="1">iRankMultiple!EI124</f>
        <v/>
      </c>
      <c r="Q180" s="188" t="str">
        <f ca="1">iRankMultiple!EJ124</f>
        <v/>
      </c>
      <c r="R180" s="189">
        <f>iRankMultiple!U279</f>
        <v>0</v>
      </c>
      <c r="S180" s="185"/>
      <c r="T180" s="185">
        <f ca="1">iRankMultiple!EM124</f>
        <v>0</v>
      </c>
      <c r="U180" s="186" t="str">
        <f ca="1">iRankMultiple!EN124</f>
        <v/>
      </c>
      <c r="V180" s="187" t="str">
        <f ca="1">iRankMultiple!EO124</f>
        <v/>
      </c>
      <c r="W180" s="188" t="str">
        <f ca="1">iRankMultiple!EP124</f>
        <v/>
      </c>
      <c r="X180" s="189">
        <f>iRankMultiple!AA279</f>
        <v>0</v>
      </c>
      <c r="Y180" s="185"/>
      <c r="Z180" s="185"/>
    </row>
    <row r="181" spans="1:27" ht="14.45" hidden="1" x14ac:dyDescent="0.3">
      <c r="A181" s="138"/>
      <c r="B181" s="138">
        <f ca="1">iRankMultiple!DU125</f>
        <v>0</v>
      </c>
      <c r="C181" s="186" t="str">
        <f ca="1">iRankMultiple!DV125</f>
        <v/>
      </c>
      <c r="D181" s="187" t="str">
        <f ca="1">iRankMultiple!DW125</f>
        <v/>
      </c>
      <c r="E181" s="188" t="str">
        <f ca="1">iRankMultiple!DX125</f>
        <v/>
      </c>
      <c r="F181" s="189">
        <f>iRankMultiple!I280</f>
        <v>0</v>
      </c>
      <c r="G181" s="185"/>
      <c r="H181" s="185">
        <f ca="1">iRankMultiple!EA125</f>
        <v>0</v>
      </c>
      <c r="I181" s="186" t="str">
        <f ca="1">iRankMultiple!EB125</f>
        <v/>
      </c>
      <c r="J181" s="187" t="str">
        <f ca="1">iRankMultiple!EC125</f>
        <v/>
      </c>
      <c r="K181" s="188" t="str">
        <f ca="1">iRankMultiple!ED125</f>
        <v/>
      </c>
      <c r="L181" s="189">
        <f>iRankMultiple!O280</f>
        <v>0</v>
      </c>
      <c r="M181" s="185"/>
      <c r="N181" s="185">
        <f ca="1">iRankMultiple!EG125</f>
        <v>0</v>
      </c>
      <c r="O181" s="186" t="str">
        <f ca="1">iRankMultiple!EH125</f>
        <v/>
      </c>
      <c r="P181" s="187" t="str">
        <f ca="1">iRankMultiple!EI125</f>
        <v/>
      </c>
      <c r="Q181" s="188" t="str">
        <f ca="1">iRankMultiple!EJ125</f>
        <v/>
      </c>
      <c r="R181" s="189">
        <f>iRankMultiple!U280</f>
        <v>0</v>
      </c>
      <c r="S181" s="185"/>
      <c r="T181" s="185">
        <f ca="1">iRankMultiple!EM125</f>
        <v>0</v>
      </c>
      <c r="U181" s="186" t="str">
        <f ca="1">iRankMultiple!EN125</f>
        <v/>
      </c>
      <c r="V181" s="187" t="str">
        <f ca="1">iRankMultiple!EO125</f>
        <v/>
      </c>
      <c r="W181" s="188" t="str">
        <f ca="1">iRankMultiple!EP125</f>
        <v/>
      </c>
      <c r="X181" s="189">
        <f>iRankMultiple!AA280</f>
        <v>0</v>
      </c>
      <c r="Y181" s="185"/>
      <c r="Z181" s="185"/>
    </row>
    <row r="182" spans="1:27" ht="14.45" hidden="1" x14ac:dyDescent="0.3">
      <c r="A182" s="138"/>
      <c r="B182" s="138">
        <f ca="1">iRankMultiple!DU126</f>
        <v>0</v>
      </c>
      <c r="C182" s="186" t="str">
        <f ca="1">iRankMultiple!DV126</f>
        <v/>
      </c>
      <c r="D182" s="187" t="str">
        <f ca="1">iRankMultiple!DW126</f>
        <v/>
      </c>
      <c r="E182" s="188" t="str">
        <f ca="1">iRankMultiple!DX126</f>
        <v/>
      </c>
      <c r="F182" s="189">
        <f>iRankMultiple!I281</f>
        <v>0</v>
      </c>
      <c r="G182" s="185"/>
      <c r="H182" s="185">
        <f ca="1">iRankMultiple!EA126</f>
        <v>0</v>
      </c>
      <c r="I182" s="186" t="str">
        <f ca="1">iRankMultiple!EB126</f>
        <v/>
      </c>
      <c r="J182" s="187" t="str">
        <f ca="1">iRankMultiple!EC126</f>
        <v/>
      </c>
      <c r="K182" s="188" t="str">
        <f ca="1">iRankMultiple!ED126</f>
        <v/>
      </c>
      <c r="L182" s="189">
        <f>iRankMultiple!O281</f>
        <v>0</v>
      </c>
      <c r="M182" s="185"/>
      <c r="N182" s="185">
        <f ca="1">iRankMultiple!EG126</f>
        <v>0</v>
      </c>
      <c r="O182" s="186" t="str">
        <f ca="1">iRankMultiple!EH126</f>
        <v/>
      </c>
      <c r="P182" s="187" t="str">
        <f ca="1">iRankMultiple!EI126</f>
        <v/>
      </c>
      <c r="Q182" s="188" t="str">
        <f ca="1">iRankMultiple!EJ126</f>
        <v/>
      </c>
      <c r="R182" s="189">
        <f>iRankMultiple!U281</f>
        <v>0</v>
      </c>
      <c r="S182" s="185"/>
      <c r="T182" s="185">
        <f ca="1">iRankMultiple!EM126</f>
        <v>0</v>
      </c>
      <c r="U182" s="186" t="str">
        <f ca="1">iRankMultiple!EN126</f>
        <v/>
      </c>
      <c r="V182" s="187" t="str">
        <f ca="1">iRankMultiple!EO126</f>
        <v/>
      </c>
      <c r="W182" s="188" t="str">
        <f ca="1">iRankMultiple!EP126</f>
        <v/>
      </c>
      <c r="X182" s="189">
        <f>iRankMultiple!AA281</f>
        <v>0</v>
      </c>
      <c r="Y182" s="185"/>
      <c r="Z182" s="185"/>
    </row>
    <row r="183" spans="1:27" ht="14.45" hidden="1" x14ac:dyDescent="0.3">
      <c r="A183" s="138"/>
      <c r="B183" s="138">
        <f ca="1">iRankMultiple!DU127</f>
        <v>0</v>
      </c>
      <c r="C183" s="186" t="str">
        <f ca="1">iRankMultiple!DV127</f>
        <v/>
      </c>
      <c r="D183" s="187" t="str">
        <f ca="1">iRankMultiple!DW127</f>
        <v/>
      </c>
      <c r="E183" s="188" t="str">
        <f ca="1">iRankMultiple!DX127</f>
        <v/>
      </c>
      <c r="F183" s="189">
        <f>iRankMultiple!I282</f>
        <v>0</v>
      </c>
      <c r="G183" s="185"/>
      <c r="H183" s="185">
        <f ca="1">iRankMultiple!EA127</f>
        <v>0</v>
      </c>
      <c r="I183" s="186" t="str">
        <f ca="1">iRankMultiple!EB127</f>
        <v/>
      </c>
      <c r="J183" s="187" t="str">
        <f ca="1">iRankMultiple!EC127</f>
        <v/>
      </c>
      <c r="K183" s="188" t="str">
        <f ca="1">iRankMultiple!ED127</f>
        <v/>
      </c>
      <c r="L183" s="189">
        <f>iRankMultiple!O282</f>
        <v>0</v>
      </c>
      <c r="M183" s="185"/>
      <c r="N183" s="185">
        <f ca="1">iRankMultiple!EG127</f>
        <v>0</v>
      </c>
      <c r="O183" s="186" t="str">
        <f ca="1">iRankMultiple!EH127</f>
        <v/>
      </c>
      <c r="P183" s="187" t="str">
        <f ca="1">iRankMultiple!EI127</f>
        <v/>
      </c>
      <c r="Q183" s="188" t="str">
        <f ca="1">iRankMultiple!EJ127</f>
        <v/>
      </c>
      <c r="R183" s="189">
        <f>iRankMultiple!U282</f>
        <v>0</v>
      </c>
      <c r="S183" s="185"/>
      <c r="T183" s="185">
        <f ca="1">iRankMultiple!EM127</f>
        <v>0</v>
      </c>
      <c r="U183" s="186" t="str">
        <f ca="1">iRankMultiple!EN127</f>
        <v/>
      </c>
      <c r="V183" s="187" t="str">
        <f ca="1">iRankMultiple!EO127</f>
        <v/>
      </c>
      <c r="W183" s="188" t="str">
        <f ca="1">iRankMultiple!EP127</f>
        <v/>
      </c>
      <c r="X183" s="189">
        <f>iRankMultiple!AA282</f>
        <v>0</v>
      </c>
      <c r="Y183" s="185"/>
      <c r="Z183" s="185"/>
    </row>
    <row r="184" spans="1:27" ht="14.45" hidden="1" x14ac:dyDescent="0.3">
      <c r="A184" s="138"/>
      <c r="B184" s="138">
        <f ca="1">iRankMultiple!DU128</f>
        <v>0</v>
      </c>
      <c r="C184" s="186" t="str">
        <f ca="1">iRankMultiple!DV128</f>
        <v/>
      </c>
      <c r="D184" s="187" t="str">
        <f ca="1">iRankMultiple!DW128</f>
        <v/>
      </c>
      <c r="E184" s="188" t="str">
        <f ca="1">iRankMultiple!DX128</f>
        <v/>
      </c>
      <c r="F184" s="189">
        <f>iRankMultiple!I283</f>
        <v>0</v>
      </c>
      <c r="G184" s="185"/>
      <c r="H184" s="185">
        <f ca="1">iRankMultiple!EA128</f>
        <v>0</v>
      </c>
      <c r="I184" s="186" t="str">
        <f ca="1">iRankMultiple!EB128</f>
        <v/>
      </c>
      <c r="J184" s="187" t="str">
        <f ca="1">iRankMultiple!EC128</f>
        <v/>
      </c>
      <c r="K184" s="188" t="str">
        <f ca="1">iRankMultiple!ED128</f>
        <v/>
      </c>
      <c r="L184" s="189">
        <f>iRankMultiple!O283</f>
        <v>0</v>
      </c>
      <c r="M184" s="185"/>
      <c r="N184" s="185">
        <f ca="1">iRankMultiple!EG128</f>
        <v>0</v>
      </c>
      <c r="O184" s="186" t="str">
        <f ca="1">iRankMultiple!EH128</f>
        <v/>
      </c>
      <c r="P184" s="187" t="str">
        <f ca="1">iRankMultiple!EI128</f>
        <v/>
      </c>
      <c r="Q184" s="188" t="str">
        <f ca="1">iRankMultiple!EJ128</f>
        <v/>
      </c>
      <c r="R184" s="189">
        <f>iRankMultiple!U283</f>
        <v>0</v>
      </c>
      <c r="S184" s="185"/>
      <c r="T184" s="185">
        <f ca="1">iRankMultiple!EM128</f>
        <v>0</v>
      </c>
      <c r="U184" s="186" t="str">
        <f ca="1">iRankMultiple!EN128</f>
        <v/>
      </c>
      <c r="V184" s="187" t="str">
        <f ca="1">iRankMultiple!EO128</f>
        <v/>
      </c>
      <c r="W184" s="188" t="str">
        <f ca="1">iRankMultiple!EP128</f>
        <v/>
      </c>
      <c r="X184" s="189">
        <f>iRankMultiple!AA283</f>
        <v>0</v>
      </c>
      <c r="Y184" s="185"/>
      <c r="Z184" s="185"/>
    </row>
    <row r="185" spans="1:27" ht="14.45" hidden="1" x14ac:dyDescent="0.3">
      <c r="A185" s="138"/>
      <c r="B185" s="138">
        <f ca="1">iRankMultiple!DU129</f>
        <v>0</v>
      </c>
      <c r="C185" s="186" t="str">
        <f ca="1">iRankMultiple!DV129</f>
        <v/>
      </c>
      <c r="D185" s="187" t="str">
        <f ca="1">iRankMultiple!DW129</f>
        <v/>
      </c>
      <c r="E185" s="188" t="str">
        <f ca="1">iRankMultiple!DX129</f>
        <v/>
      </c>
      <c r="F185" s="189">
        <f>iRankMultiple!I284</f>
        <v>0</v>
      </c>
      <c r="G185" s="185"/>
      <c r="H185" s="185">
        <f ca="1">iRankMultiple!EA129</f>
        <v>0</v>
      </c>
      <c r="I185" s="186" t="str">
        <f ca="1">iRankMultiple!EB129</f>
        <v/>
      </c>
      <c r="J185" s="187" t="str">
        <f ca="1">iRankMultiple!EC129</f>
        <v/>
      </c>
      <c r="K185" s="188" t="str">
        <f ca="1">iRankMultiple!ED129</f>
        <v/>
      </c>
      <c r="L185" s="189">
        <f>iRankMultiple!O284</f>
        <v>0</v>
      </c>
      <c r="M185" s="185"/>
      <c r="N185" s="185">
        <f ca="1">iRankMultiple!EG129</f>
        <v>0</v>
      </c>
      <c r="O185" s="186" t="str">
        <f ca="1">iRankMultiple!EH129</f>
        <v/>
      </c>
      <c r="P185" s="187" t="str">
        <f ca="1">iRankMultiple!EI129</f>
        <v/>
      </c>
      <c r="Q185" s="188" t="str">
        <f ca="1">iRankMultiple!EJ129</f>
        <v/>
      </c>
      <c r="R185" s="189">
        <f>iRankMultiple!U284</f>
        <v>0</v>
      </c>
      <c r="S185" s="185"/>
      <c r="T185" s="185">
        <f ca="1">iRankMultiple!EM129</f>
        <v>0</v>
      </c>
      <c r="U185" s="186" t="str">
        <f ca="1">iRankMultiple!EN129</f>
        <v/>
      </c>
      <c r="V185" s="187" t="str">
        <f ca="1">iRankMultiple!EO129</f>
        <v/>
      </c>
      <c r="W185" s="188" t="str">
        <f ca="1">iRankMultiple!EP129</f>
        <v/>
      </c>
      <c r="X185" s="189">
        <f>iRankMultiple!AA284</f>
        <v>0</v>
      </c>
      <c r="Y185" s="185"/>
      <c r="Z185" s="185"/>
    </row>
    <row r="186" spans="1:27" ht="14.45" hidden="1" x14ac:dyDescent="0.3">
      <c r="A186" s="138"/>
      <c r="B186" s="138">
        <f ca="1">iRankMultiple!DU130</f>
        <v>0</v>
      </c>
      <c r="C186" s="186" t="str">
        <f ca="1">iRankMultiple!DV130</f>
        <v/>
      </c>
      <c r="D186" s="187" t="str">
        <f ca="1">iRankMultiple!DW130</f>
        <v/>
      </c>
      <c r="E186" s="188" t="str">
        <f ca="1">iRankMultiple!DX130</f>
        <v/>
      </c>
      <c r="F186" s="189">
        <f>iRankMultiple!I285</f>
        <v>0</v>
      </c>
      <c r="G186" s="185"/>
      <c r="H186" s="185">
        <f ca="1">iRankMultiple!EA130</f>
        <v>0</v>
      </c>
      <c r="I186" s="186" t="str">
        <f ca="1">iRankMultiple!EB130</f>
        <v/>
      </c>
      <c r="J186" s="187" t="str">
        <f ca="1">iRankMultiple!EC130</f>
        <v/>
      </c>
      <c r="K186" s="188" t="str">
        <f ca="1">iRankMultiple!ED130</f>
        <v/>
      </c>
      <c r="L186" s="189">
        <f>iRankMultiple!O285</f>
        <v>0</v>
      </c>
      <c r="M186" s="185"/>
      <c r="N186" s="185">
        <f ca="1">iRankMultiple!EG130</f>
        <v>0</v>
      </c>
      <c r="O186" s="186" t="str">
        <f ca="1">iRankMultiple!EH130</f>
        <v/>
      </c>
      <c r="P186" s="187" t="str">
        <f ca="1">iRankMultiple!EI130</f>
        <v/>
      </c>
      <c r="Q186" s="188" t="str">
        <f ca="1">iRankMultiple!EJ130</f>
        <v/>
      </c>
      <c r="R186" s="189">
        <f>iRankMultiple!U285</f>
        <v>0</v>
      </c>
      <c r="S186" s="185"/>
      <c r="T186" s="185">
        <f ca="1">iRankMultiple!EM130</f>
        <v>0</v>
      </c>
      <c r="U186" s="186" t="str">
        <f ca="1">iRankMultiple!EN130</f>
        <v/>
      </c>
      <c r="V186" s="187" t="str">
        <f ca="1">iRankMultiple!EO130</f>
        <v/>
      </c>
      <c r="W186" s="188" t="str">
        <f ca="1">iRankMultiple!EP130</f>
        <v/>
      </c>
      <c r="X186" s="189">
        <f>iRankMultiple!AA285</f>
        <v>0</v>
      </c>
      <c r="Y186" s="185"/>
      <c r="Z186" s="185"/>
    </row>
    <row r="187" spans="1:27" ht="14.45" hidden="1" x14ac:dyDescent="0.3">
      <c r="A187" s="138"/>
      <c r="B187" s="138">
        <f ca="1">iRankMultiple!DU131</f>
        <v>0</v>
      </c>
      <c r="C187" s="186" t="str">
        <f ca="1">iRankMultiple!DV131</f>
        <v/>
      </c>
      <c r="D187" s="187" t="str">
        <f ca="1">iRankMultiple!DW131</f>
        <v/>
      </c>
      <c r="E187" s="188" t="str">
        <f ca="1">iRankMultiple!DX131</f>
        <v/>
      </c>
      <c r="F187" s="189">
        <f>iRankMultiple!I286</f>
        <v>0</v>
      </c>
      <c r="G187" s="185"/>
      <c r="H187" s="185">
        <f ca="1">iRankMultiple!EA131</f>
        <v>0</v>
      </c>
      <c r="I187" s="186" t="str">
        <f ca="1">iRankMultiple!EB131</f>
        <v/>
      </c>
      <c r="J187" s="187" t="str">
        <f ca="1">iRankMultiple!EC131</f>
        <v/>
      </c>
      <c r="K187" s="188" t="str">
        <f ca="1">iRankMultiple!ED131</f>
        <v/>
      </c>
      <c r="L187" s="189">
        <f>iRankMultiple!O286</f>
        <v>0</v>
      </c>
      <c r="M187" s="185"/>
      <c r="N187" s="185">
        <f ca="1">iRankMultiple!EG131</f>
        <v>0</v>
      </c>
      <c r="O187" s="186" t="str">
        <f ca="1">iRankMultiple!EH131</f>
        <v/>
      </c>
      <c r="P187" s="187" t="str">
        <f ca="1">iRankMultiple!EI131</f>
        <v/>
      </c>
      <c r="Q187" s="188" t="str">
        <f ca="1">iRankMultiple!EJ131</f>
        <v/>
      </c>
      <c r="R187" s="189">
        <f>iRankMultiple!U286</f>
        <v>0</v>
      </c>
      <c r="S187" s="185"/>
      <c r="T187" s="185">
        <f ca="1">iRankMultiple!EM131</f>
        <v>0</v>
      </c>
      <c r="U187" s="186" t="str">
        <f ca="1">iRankMultiple!EN131</f>
        <v/>
      </c>
      <c r="V187" s="187" t="str">
        <f ca="1">iRankMultiple!EO131</f>
        <v/>
      </c>
      <c r="W187" s="188" t="str">
        <f ca="1">iRankMultiple!EP131</f>
        <v/>
      </c>
      <c r="X187" s="189">
        <f>iRankMultiple!AA286</f>
        <v>0</v>
      </c>
      <c r="Y187" s="185"/>
      <c r="Z187" s="185"/>
    </row>
    <row r="188" spans="1:27" ht="14.45" hidden="1" x14ac:dyDescent="0.3">
      <c r="A188" s="138"/>
      <c r="B188" s="185"/>
      <c r="C188" s="186"/>
      <c r="D188" s="187"/>
      <c r="E188" s="188"/>
      <c r="F188" s="189"/>
      <c r="G188" s="185"/>
      <c r="H188" s="185"/>
      <c r="I188" s="186"/>
      <c r="J188" s="187"/>
      <c r="K188" s="188"/>
      <c r="L188" s="189"/>
      <c r="M188" s="185"/>
      <c r="N188" s="185"/>
      <c r="O188" s="186"/>
      <c r="P188" s="187"/>
      <c r="Q188" s="188"/>
      <c r="R188" s="189"/>
      <c r="S188" s="185"/>
      <c r="T188" s="185"/>
      <c r="U188" s="186"/>
      <c r="V188" s="187"/>
      <c r="W188" s="188"/>
      <c r="X188" s="189"/>
      <c r="Y188" s="185"/>
      <c r="Z188" s="185"/>
    </row>
    <row r="189" spans="1:27" ht="14.45" hidden="1" x14ac:dyDescent="0.3">
      <c r="A189" s="138"/>
      <c r="B189" s="185"/>
      <c r="C189" s="186"/>
      <c r="D189" s="187"/>
      <c r="E189" s="188"/>
      <c r="F189" s="189"/>
      <c r="G189" s="185"/>
      <c r="H189" s="185"/>
      <c r="I189" s="186"/>
      <c r="J189" s="187"/>
      <c r="K189" s="188"/>
      <c r="L189" s="189"/>
      <c r="M189" s="185"/>
      <c r="N189" s="185"/>
      <c r="O189" s="186"/>
      <c r="P189" s="187"/>
      <c r="Q189" s="188"/>
      <c r="R189" s="189"/>
      <c r="S189" s="185"/>
      <c r="T189" s="185"/>
      <c r="U189" s="186"/>
      <c r="V189" s="187"/>
      <c r="W189" s="188"/>
      <c r="X189" s="189"/>
      <c r="Y189" s="185"/>
      <c r="Z189" s="185"/>
    </row>
    <row r="190" spans="1:27" s="25" customFormat="1" ht="14.45" hidden="1" x14ac:dyDescent="0.3">
      <c r="A190" s="116"/>
      <c r="B190" s="116"/>
      <c r="C190" s="268" t="str">
        <f>iRankMultiple!ET$102</f>
        <v/>
      </c>
      <c r="D190" s="268"/>
      <c r="E190" s="268"/>
      <c r="F190" s="268"/>
      <c r="G190" s="116"/>
      <c r="H190" s="190"/>
      <c r="I190" s="268" t="str">
        <f>iRankMultiple!EZ$102</f>
        <v/>
      </c>
      <c r="J190" s="268"/>
      <c r="K190" s="268"/>
      <c r="L190" s="268"/>
      <c r="M190" s="116"/>
      <c r="N190" s="190"/>
      <c r="O190" s="268" t="str">
        <f>iRankMultiple!FF$102</f>
        <v/>
      </c>
      <c r="P190" s="268"/>
      <c r="Q190" s="268"/>
      <c r="R190" s="268"/>
      <c r="S190" s="190"/>
      <c r="T190" s="190"/>
      <c r="U190" s="268" t="str">
        <f>iRankMultiple!FL$102</f>
        <v/>
      </c>
      <c r="V190" s="268"/>
      <c r="W190" s="268"/>
      <c r="X190" s="268"/>
      <c r="Y190" s="184"/>
      <c r="Z190" s="184"/>
      <c r="AA190" s="183"/>
    </row>
    <row r="191" spans="1:27" s="40" customFormat="1" ht="30" hidden="1" customHeight="1" x14ac:dyDescent="0.3">
      <c r="A191" s="116"/>
      <c r="B191" s="116"/>
      <c r="C191" s="266" t="str">
        <f>iRankMultiple!ET$103</f>
        <v/>
      </c>
      <c r="D191" s="266"/>
      <c r="E191" s="266"/>
      <c r="F191" s="266"/>
      <c r="G191" s="116"/>
      <c r="H191" s="191"/>
      <c r="I191" s="266" t="str">
        <f>iRankMultiple!EZ$103</f>
        <v/>
      </c>
      <c r="J191" s="266"/>
      <c r="K191" s="266"/>
      <c r="L191" s="266"/>
      <c r="M191" s="116"/>
      <c r="N191" s="191"/>
      <c r="O191" s="266" t="str">
        <f>iRankMultiple!FF$103</f>
        <v/>
      </c>
      <c r="P191" s="266"/>
      <c r="Q191" s="266"/>
      <c r="R191" s="266"/>
      <c r="S191" s="191"/>
      <c r="T191" s="191"/>
      <c r="U191" s="266" t="str">
        <f>iRankMultiple!FL$103</f>
        <v/>
      </c>
      <c r="V191" s="266"/>
      <c r="W191" s="266"/>
      <c r="X191" s="266"/>
      <c r="Y191" s="184"/>
      <c r="Z191" s="184"/>
      <c r="AA191" s="148"/>
    </row>
    <row r="192" spans="1:27" ht="13.5" hidden="1" customHeight="1" x14ac:dyDescent="0.3">
      <c r="A192" s="116"/>
      <c r="B192" s="116"/>
      <c r="C192" s="267" t="str">
        <f>iRankMultiple!ET$104</f>
        <v/>
      </c>
      <c r="D192" s="267"/>
      <c r="E192" s="267"/>
      <c r="F192" s="267"/>
      <c r="G192" s="116"/>
      <c r="H192" s="184"/>
      <c r="I192" s="267" t="str">
        <f>iRankMultiple!EZ$104</f>
        <v/>
      </c>
      <c r="J192" s="267"/>
      <c r="K192" s="267"/>
      <c r="L192" s="267"/>
      <c r="M192" s="116"/>
      <c r="N192" s="184"/>
      <c r="O192" s="267" t="str">
        <f>iRankMultiple!FF$104</f>
        <v/>
      </c>
      <c r="P192" s="267"/>
      <c r="Q192" s="267"/>
      <c r="R192" s="267"/>
      <c r="S192" s="184"/>
      <c r="T192" s="184"/>
      <c r="U192" s="267" t="str">
        <f>iRankMultiple!FL$104</f>
        <v/>
      </c>
      <c r="V192" s="267"/>
      <c r="W192" s="267"/>
      <c r="X192" s="267"/>
      <c r="Y192" s="184"/>
      <c r="Z192" s="184"/>
    </row>
    <row r="193" spans="1:26" ht="14.45" hidden="1" x14ac:dyDescent="0.3">
      <c r="A193" s="138"/>
      <c r="B193" s="138">
        <f ca="1">iRankMultiple!ES106</f>
        <v>0</v>
      </c>
      <c r="C193" s="186" t="str">
        <f ca="1">iRankMultiple!ET106</f>
        <v/>
      </c>
      <c r="D193" s="187" t="str">
        <f ca="1">iRankMultiple!EU106</f>
        <v/>
      </c>
      <c r="E193" s="188" t="str">
        <f ca="1">iRankMultiple!EV106</f>
        <v/>
      </c>
      <c r="F193" s="189">
        <f>iRankMultiple!I292</f>
        <v>0</v>
      </c>
      <c r="G193" s="185"/>
      <c r="H193" s="185">
        <f ca="1">iRankMultiple!EY106</f>
        <v>0</v>
      </c>
      <c r="I193" s="186" t="str">
        <f ca="1">iRankMultiple!EZ106</f>
        <v/>
      </c>
      <c r="J193" s="187" t="str">
        <f ca="1">iRankMultiple!FA106</f>
        <v/>
      </c>
      <c r="K193" s="188" t="str">
        <f ca="1">iRankMultiple!FB106</f>
        <v/>
      </c>
      <c r="L193" s="189">
        <f>iRankMultiple!O292</f>
        <v>0</v>
      </c>
      <c r="M193" s="138"/>
      <c r="N193" s="185">
        <f ca="1">iRankMultiple!FE106</f>
        <v>0</v>
      </c>
      <c r="O193" s="186" t="str">
        <f ca="1">iRankMultiple!FF106</f>
        <v/>
      </c>
      <c r="P193" s="187" t="str">
        <f ca="1">iRankMultiple!FG106</f>
        <v/>
      </c>
      <c r="Q193" s="188" t="str">
        <f ca="1">iRankMultiple!FH106</f>
        <v/>
      </c>
      <c r="R193" s="189">
        <f>iRankMultiple!U292</f>
        <v>0</v>
      </c>
      <c r="S193" s="185"/>
      <c r="T193" s="185">
        <f ca="1">iRankMultiple!FK106</f>
        <v>0</v>
      </c>
      <c r="U193" s="186" t="str">
        <f ca="1">iRankMultiple!FL106</f>
        <v/>
      </c>
      <c r="V193" s="187" t="str">
        <f ca="1">iRankMultiple!FM106</f>
        <v/>
      </c>
      <c r="W193" s="188" t="str">
        <f ca="1">iRankMultiple!FN106</f>
        <v/>
      </c>
      <c r="X193" s="189">
        <f>iRankMultiple!AA292</f>
        <v>0</v>
      </c>
      <c r="Y193" s="185"/>
      <c r="Z193" s="185"/>
    </row>
    <row r="194" spans="1:26" ht="14.45" hidden="1" x14ac:dyDescent="0.3">
      <c r="A194" s="138"/>
      <c r="B194" s="138">
        <f ca="1">iRankMultiple!ES107</f>
        <v>0</v>
      </c>
      <c r="C194" s="186" t="str">
        <f ca="1">iRankMultiple!ET107</f>
        <v/>
      </c>
      <c r="D194" s="187" t="str">
        <f ca="1">iRankMultiple!EU107</f>
        <v/>
      </c>
      <c r="E194" s="188" t="str">
        <f ca="1">iRankMultiple!EV107</f>
        <v/>
      </c>
      <c r="F194" s="189">
        <f>iRankMultiple!I293</f>
        <v>0</v>
      </c>
      <c r="G194" s="185"/>
      <c r="H194" s="185">
        <f ca="1">iRankMultiple!EY107</f>
        <v>0</v>
      </c>
      <c r="I194" s="186" t="str">
        <f ca="1">iRankMultiple!EZ107</f>
        <v/>
      </c>
      <c r="J194" s="187" t="str">
        <f ca="1">iRankMultiple!FA107</f>
        <v/>
      </c>
      <c r="K194" s="188" t="str">
        <f ca="1">iRankMultiple!FB107</f>
        <v/>
      </c>
      <c r="L194" s="189">
        <f>iRankMultiple!O293</f>
        <v>0</v>
      </c>
      <c r="M194" s="138"/>
      <c r="N194" s="185">
        <f ca="1">iRankMultiple!FE107</f>
        <v>0</v>
      </c>
      <c r="O194" s="186" t="str">
        <f ca="1">iRankMultiple!FF107</f>
        <v/>
      </c>
      <c r="P194" s="187" t="str">
        <f ca="1">iRankMultiple!FG107</f>
        <v/>
      </c>
      <c r="Q194" s="188" t="str">
        <f ca="1">iRankMultiple!FH107</f>
        <v/>
      </c>
      <c r="R194" s="189">
        <f>iRankMultiple!U293</f>
        <v>0</v>
      </c>
      <c r="S194" s="185"/>
      <c r="T194" s="185">
        <f ca="1">iRankMultiple!FK107</f>
        <v>0</v>
      </c>
      <c r="U194" s="186" t="str">
        <f ca="1">iRankMultiple!FL107</f>
        <v/>
      </c>
      <c r="V194" s="187" t="str">
        <f ca="1">iRankMultiple!FM107</f>
        <v/>
      </c>
      <c r="W194" s="188" t="str">
        <f ca="1">iRankMultiple!FN107</f>
        <v/>
      </c>
      <c r="X194" s="189">
        <f>iRankMultiple!AA293</f>
        <v>0</v>
      </c>
      <c r="Y194" s="185"/>
      <c r="Z194" s="185"/>
    </row>
    <row r="195" spans="1:26" ht="14.45" hidden="1" x14ac:dyDescent="0.3">
      <c r="A195" s="138"/>
      <c r="B195" s="138">
        <f ca="1">iRankMultiple!ES108</f>
        <v>0</v>
      </c>
      <c r="C195" s="186" t="str">
        <f ca="1">iRankMultiple!ET108</f>
        <v/>
      </c>
      <c r="D195" s="187" t="str">
        <f ca="1">iRankMultiple!EU108</f>
        <v/>
      </c>
      <c r="E195" s="188" t="str">
        <f ca="1">iRankMultiple!EV108</f>
        <v/>
      </c>
      <c r="F195" s="189">
        <f>iRankMultiple!I294</f>
        <v>0</v>
      </c>
      <c r="G195" s="185"/>
      <c r="H195" s="185">
        <f ca="1">iRankMultiple!EY108</f>
        <v>0</v>
      </c>
      <c r="I195" s="186" t="str">
        <f ca="1">iRankMultiple!EZ108</f>
        <v/>
      </c>
      <c r="J195" s="187" t="str">
        <f ca="1">iRankMultiple!FA108</f>
        <v/>
      </c>
      <c r="K195" s="188" t="str">
        <f ca="1">iRankMultiple!FB108</f>
        <v/>
      </c>
      <c r="L195" s="189">
        <f>iRankMultiple!O294</f>
        <v>0</v>
      </c>
      <c r="M195" s="185"/>
      <c r="N195" s="185">
        <f ca="1">iRankMultiple!FE108</f>
        <v>0</v>
      </c>
      <c r="O195" s="186" t="str">
        <f ca="1">iRankMultiple!FF108</f>
        <v/>
      </c>
      <c r="P195" s="187" t="str">
        <f ca="1">iRankMultiple!FG108</f>
        <v/>
      </c>
      <c r="Q195" s="188" t="str">
        <f ca="1">iRankMultiple!FH108</f>
        <v/>
      </c>
      <c r="R195" s="189">
        <f>iRankMultiple!U294</f>
        <v>0</v>
      </c>
      <c r="S195" s="185"/>
      <c r="T195" s="185">
        <f ca="1">iRankMultiple!FK108</f>
        <v>0</v>
      </c>
      <c r="U195" s="186" t="str">
        <f ca="1">iRankMultiple!FL108</f>
        <v/>
      </c>
      <c r="V195" s="187" t="str">
        <f ca="1">iRankMultiple!FM108</f>
        <v/>
      </c>
      <c r="W195" s="188" t="str">
        <f ca="1">iRankMultiple!FN108</f>
        <v/>
      </c>
      <c r="X195" s="189">
        <f>iRankMultiple!AA294</f>
        <v>0</v>
      </c>
      <c r="Y195" s="185"/>
      <c r="Z195" s="185"/>
    </row>
    <row r="196" spans="1:26" ht="14.45" hidden="1" x14ac:dyDescent="0.3">
      <c r="A196" s="138"/>
      <c r="B196" s="138">
        <f ca="1">iRankMultiple!ES109</f>
        <v>0</v>
      </c>
      <c r="C196" s="186" t="str">
        <f ca="1">iRankMultiple!ET109</f>
        <v/>
      </c>
      <c r="D196" s="187" t="str">
        <f ca="1">iRankMultiple!EU109</f>
        <v/>
      </c>
      <c r="E196" s="188" t="str">
        <f ca="1">iRankMultiple!EV109</f>
        <v/>
      </c>
      <c r="F196" s="189">
        <f>iRankMultiple!I295</f>
        <v>0</v>
      </c>
      <c r="G196" s="185"/>
      <c r="H196" s="185">
        <f ca="1">iRankMultiple!EY109</f>
        <v>0</v>
      </c>
      <c r="I196" s="186" t="str">
        <f ca="1">iRankMultiple!EZ109</f>
        <v/>
      </c>
      <c r="J196" s="187" t="str">
        <f ca="1">iRankMultiple!FA109</f>
        <v/>
      </c>
      <c r="K196" s="188" t="str">
        <f ca="1">iRankMultiple!FB109</f>
        <v/>
      </c>
      <c r="L196" s="189">
        <f>iRankMultiple!O295</f>
        <v>0</v>
      </c>
      <c r="M196" s="185"/>
      <c r="N196" s="185">
        <f ca="1">iRankMultiple!FE109</f>
        <v>0</v>
      </c>
      <c r="O196" s="186" t="str">
        <f ca="1">iRankMultiple!FF109</f>
        <v/>
      </c>
      <c r="P196" s="187" t="str">
        <f ca="1">iRankMultiple!FG109</f>
        <v/>
      </c>
      <c r="Q196" s="188" t="str">
        <f ca="1">iRankMultiple!FH109</f>
        <v/>
      </c>
      <c r="R196" s="189">
        <f>iRankMultiple!U295</f>
        <v>0</v>
      </c>
      <c r="S196" s="185"/>
      <c r="T196" s="185">
        <f ca="1">iRankMultiple!FK109</f>
        <v>0</v>
      </c>
      <c r="U196" s="186" t="str">
        <f ca="1">iRankMultiple!FL109</f>
        <v/>
      </c>
      <c r="V196" s="187" t="str">
        <f ca="1">iRankMultiple!FM109</f>
        <v/>
      </c>
      <c r="W196" s="188" t="str">
        <f ca="1">iRankMultiple!FN109</f>
        <v/>
      </c>
      <c r="X196" s="189">
        <f>iRankMultiple!AA295</f>
        <v>0</v>
      </c>
      <c r="Y196" s="185"/>
      <c r="Z196" s="185"/>
    </row>
    <row r="197" spans="1:26" ht="14.45" hidden="1" x14ac:dyDescent="0.3">
      <c r="A197" s="138"/>
      <c r="B197" s="138">
        <f ca="1">iRankMultiple!ES110</f>
        <v>0</v>
      </c>
      <c r="C197" s="186" t="str">
        <f ca="1">iRankMultiple!ET110</f>
        <v/>
      </c>
      <c r="D197" s="187" t="str">
        <f ca="1">iRankMultiple!EU110</f>
        <v/>
      </c>
      <c r="E197" s="188" t="str">
        <f ca="1">iRankMultiple!EV110</f>
        <v/>
      </c>
      <c r="F197" s="189">
        <f>iRankMultiple!I296</f>
        <v>0</v>
      </c>
      <c r="G197" s="185"/>
      <c r="H197" s="185">
        <f ca="1">iRankMultiple!EY110</f>
        <v>0</v>
      </c>
      <c r="I197" s="186" t="str">
        <f ca="1">iRankMultiple!EZ110</f>
        <v/>
      </c>
      <c r="J197" s="187" t="str">
        <f ca="1">iRankMultiple!FA110</f>
        <v/>
      </c>
      <c r="K197" s="188" t="str">
        <f ca="1">iRankMultiple!FB110</f>
        <v/>
      </c>
      <c r="L197" s="189">
        <f>iRankMultiple!O296</f>
        <v>0</v>
      </c>
      <c r="M197" s="185"/>
      <c r="N197" s="185">
        <f ca="1">iRankMultiple!FE110</f>
        <v>0</v>
      </c>
      <c r="O197" s="186" t="str">
        <f ca="1">iRankMultiple!FF110</f>
        <v/>
      </c>
      <c r="P197" s="187" t="str">
        <f ca="1">iRankMultiple!FG110</f>
        <v/>
      </c>
      <c r="Q197" s="188" t="str">
        <f ca="1">iRankMultiple!FH110</f>
        <v/>
      </c>
      <c r="R197" s="189">
        <f>iRankMultiple!U296</f>
        <v>0</v>
      </c>
      <c r="S197" s="185"/>
      <c r="T197" s="185">
        <f ca="1">iRankMultiple!FK110</f>
        <v>0</v>
      </c>
      <c r="U197" s="186" t="str">
        <f ca="1">iRankMultiple!FL110</f>
        <v/>
      </c>
      <c r="V197" s="187" t="str">
        <f ca="1">iRankMultiple!FM110</f>
        <v/>
      </c>
      <c r="W197" s="188" t="str">
        <f ca="1">iRankMultiple!FN110</f>
        <v/>
      </c>
      <c r="X197" s="189">
        <f>iRankMultiple!AA296</f>
        <v>0</v>
      </c>
      <c r="Y197" s="185"/>
      <c r="Z197" s="185"/>
    </row>
    <row r="198" spans="1:26" ht="14.45" hidden="1" x14ac:dyDescent="0.3">
      <c r="A198" s="138"/>
      <c r="B198" s="138">
        <f ca="1">iRankMultiple!ES111</f>
        <v>0</v>
      </c>
      <c r="C198" s="186" t="str">
        <f ca="1">iRankMultiple!ET111</f>
        <v/>
      </c>
      <c r="D198" s="187" t="str">
        <f ca="1">iRankMultiple!EU111</f>
        <v/>
      </c>
      <c r="E198" s="188" t="str">
        <f ca="1">iRankMultiple!EV111</f>
        <v/>
      </c>
      <c r="F198" s="189">
        <f>iRankMultiple!I297</f>
        <v>0</v>
      </c>
      <c r="G198" s="185"/>
      <c r="H198" s="185">
        <f ca="1">iRankMultiple!EY111</f>
        <v>0</v>
      </c>
      <c r="I198" s="186" t="str">
        <f ca="1">iRankMultiple!EZ111</f>
        <v/>
      </c>
      <c r="J198" s="187" t="str">
        <f ca="1">iRankMultiple!FA111</f>
        <v/>
      </c>
      <c r="K198" s="188" t="str">
        <f ca="1">iRankMultiple!FB111</f>
        <v/>
      </c>
      <c r="L198" s="189">
        <f>iRankMultiple!O297</f>
        <v>0</v>
      </c>
      <c r="M198" s="185"/>
      <c r="N198" s="185">
        <f ca="1">iRankMultiple!FE111</f>
        <v>0</v>
      </c>
      <c r="O198" s="186" t="str">
        <f ca="1">iRankMultiple!FF111</f>
        <v/>
      </c>
      <c r="P198" s="187" t="str">
        <f ca="1">iRankMultiple!FG111</f>
        <v/>
      </c>
      <c r="Q198" s="188" t="str">
        <f ca="1">iRankMultiple!FH111</f>
        <v/>
      </c>
      <c r="R198" s="189">
        <f>iRankMultiple!U297</f>
        <v>0</v>
      </c>
      <c r="S198" s="185"/>
      <c r="T198" s="185">
        <f ca="1">iRankMultiple!FK111</f>
        <v>0</v>
      </c>
      <c r="U198" s="186" t="str">
        <f ca="1">iRankMultiple!FL111</f>
        <v/>
      </c>
      <c r="V198" s="187" t="str">
        <f ca="1">iRankMultiple!FM111</f>
        <v/>
      </c>
      <c r="W198" s="188" t="str">
        <f ca="1">iRankMultiple!FN111</f>
        <v/>
      </c>
      <c r="X198" s="189">
        <f>iRankMultiple!AA297</f>
        <v>0</v>
      </c>
      <c r="Y198" s="185"/>
      <c r="Z198" s="185"/>
    </row>
    <row r="199" spans="1:26" ht="14.45" hidden="1" x14ac:dyDescent="0.3">
      <c r="A199" s="138"/>
      <c r="B199" s="138">
        <f ca="1">iRankMultiple!ES112</f>
        <v>0</v>
      </c>
      <c r="C199" s="186" t="str">
        <f ca="1">iRankMultiple!ET112</f>
        <v/>
      </c>
      <c r="D199" s="187" t="str">
        <f ca="1">iRankMultiple!EU112</f>
        <v/>
      </c>
      <c r="E199" s="188" t="str">
        <f ca="1">iRankMultiple!EV112</f>
        <v/>
      </c>
      <c r="F199" s="189">
        <f>iRankMultiple!I298</f>
        <v>0</v>
      </c>
      <c r="G199" s="185"/>
      <c r="H199" s="185">
        <f ca="1">iRankMultiple!EY112</f>
        <v>0</v>
      </c>
      <c r="I199" s="186" t="str">
        <f ca="1">iRankMultiple!EZ112</f>
        <v/>
      </c>
      <c r="J199" s="187" t="str">
        <f ca="1">iRankMultiple!FA112</f>
        <v/>
      </c>
      <c r="K199" s="188" t="str">
        <f ca="1">iRankMultiple!FB112</f>
        <v/>
      </c>
      <c r="L199" s="189">
        <f>iRankMultiple!O298</f>
        <v>0</v>
      </c>
      <c r="M199" s="185"/>
      <c r="N199" s="185">
        <f ca="1">iRankMultiple!FE112</f>
        <v>0</v>
      </c>
      <c r="O199" s="186" t="str">
        <f ca="1">iRankMultiple!FF112</f>
        <v/>
      </c>
      <c r="P199" s="187" t="str">
        <f ca="1">iRankMultiple!FG112</f>
        <v/>
      </c>
      <c r="Q199" s="188" t="str">
        <f ca="1">iRankMultiple!FH112</f>
        <v/>
      </c>
      <c r="R199" s="189">
        <f>iRankMultiple!U298</f>
        <v>0</v>
      </c>
      <c r="S199" s="185"/>
      <c r="T199" s="185">
        <f ca="1">iRankMultiple!FK112</f>
        <v>0</v>
      </c>
      <c r="U199" s="186" t="str">
        <f ca="1">iRankMultiple!FL112</f>
        <v/>
      </c>
      <c r="V199" s="187" t="str">
        <f ca="1">iRankMultiple!FM112</f>
        <v/>
      </c>
      <c r="W199" s="188" t="str">
        <f ca="1">iRankMultiple!FN112</f>
        <v/>
      </c>
      <c r="X199" s="189">
        <f>iRankMultiple!AA298</f>
        <v>0</v>
      </c>
      <c r="Y199" s="185"/>
      <c r="Z199" s="185"/>
    </row>
    <row r="200" spans="1:26" ht="14.45" hidden="1" x14ac:dyDescent="0.3">
      <c r="A200" s="138"/>
      <c r="B200" s="138">
        <f ca="1">iRankMultiple!ES113</f>
        <v>0</v>
      </c>
      <c r="C200" s="186" t="str">
        <f ca="1">iRankMultiple!ET113</f>
        <v/>
      </c>
      <c r="D200" s="187" t="str">
        <f ca="1">iRankMultiple!EU113</f>
        <v/>
      </c>
      <c r="E200" s="188" t="str">
        <f ca="1">iRankMultiple!EV113</f>
        <v/>
      </c>
      <c r="F200" s="189">
        <f>iRankMultiple!I299</f>
        <v>0</v>
      </c>
      <c r="G200" s="185"/>
      <c r="H200" s="185">
        <f ca="1">iRankMultiple!EY113</f>
        <v>0</v>
      </c>
      <c r="I200" s="186" t="str">
        <f ca="1">iRankMultiple!EZ113</f>
        <v/>
      </c>
      <c r="J200" s="187" t="str">
        <f ca="1">iRankMultiple!FA113</f>
        <v/>
      </c>
      <c r="K200" s="188" t="str">
        <f ca="1">iRankMultiple!FB113</f>
        <v/>
      </c>
      <c r="L200" s="189">
        <f>iRankMultiple!O299</f>
        <v>0</v>
      </c>
      <c r="M200" s="185"/>
      <c r="N200" s="185">
        <f ca="1">iRankMultiple!FE113</f>
        <v>0</v>
      </c>
      <c r="O200" s="186" t="str">
        <f ca="1">iRankMultiple!FF113</f>
        <v/>
      </c>
      <c r="P200" s="187" t="str">
        <f ca="1">iRankMultiple!FG113</f>
        <v/>
      </c>
      <c r="Q200" s="188" t="str">
        <f ca="1">iRankMultiple!FH113</f>
        <v/>
      </c>
      <c r="R200" s="189">
        <f>iRankMultiple!U299</f>
        <v>0</v>
      </c>
      <c r="S200" s="185"/>
      <c r="T200" s="185">
        <f ca="1">iRankMultiple!FK113</f>
        <v>0</v>
      </c>
      <c r="U200" s="186" t="str">
        <f ca="1">iRankMultiple!FL113</f>
        <v/>
      </c>
      <c r="V200" s="187" t="str">
        <f ca="1">iRankMultiple!FM113</f>
        <v/>
      </c>
      <c r="W200" s="188" t="str">
        <f ca="1">iRankMultiple!FN113</f>
        <v/>
      </c>
      <c r="X200" s="189">
        <f>iRankMultiple!AA299</f>
        <v>0</v>
      </c>
      <c r="Y200" s="185"/>
      <c r="Z200" s="185"/>
    </row>
    <row r="201" spans="1:26" ht="14.45" hidden="1" x14ac:dyDescent="0.3">
      <c r="A201" s="138"/>
      <c r="B201" s="138">
        <f ca="1">iRankMultiple!ES114</f>
        <v>0</v>
      </c>
      <c r="C201" s="186" t="str">
        <f ca="1">iRankMultiple!ET114</f>
        <v/>
      </c>
      <c r="D201" s="187" t="str">
        <f ca="1">iRankMultiple!EU114</f>
        <v/>
      </c>
      <c r="E201" s="188" t="str">
        <f ca="1">iRankMultiple!EV114</f>
        <v/>
      </c>
      <c r="F201" s="189">
        <f>iRankMultiple!I300</f>
        <v>0</v>
      </c>
      <c r="G201" s="185"/>
      <c r="H201" s="185">
        <f ca="1">iRankMultiple!EY114</f>
        <v>0</v>
      </c>
      <c r="I201" s="186" t="str">
        <f ca="1">iRankMultiple!EZ114</f>
        <v/>
      </c>
      <c r="J201" s="187" t="str">
        <f ca="1">iRankMultiple!FA114</f>
        <v/>
      </c>
      <c r="K201" s="188" t="str">
        <f ca="1">iRankMultiple!FB114</f>
        <v/>
      </c>
      <c r="L201" s="189">
        <f>iRankMultiple!O300</f>
        <v>0</v>
      </c>
      <c r="M201" s="185"/>
      <c r="N201" s="185">
        <f ca="1">iRankMultiple!FE114</f>
        <v>0</v>
      </c>
      <c r="O201" s="186" t="str">
        <f ca="1">iRankMultiple!FF114</f>
        <v/>
      </c>
      <c r="P201" s="187" t="str">
        <f ca="1">iRankMultiple!FG114</f>
        <v/>
      </c>
      <c r="Q201" s="188" t="str">
        <f ca="1">iRankMultiple!FH114</f>
        <v/>
      </c>
      <c r="R201" s="189">
        <f>iRankMultiple!U300</f>
        <v>0</v>
      </c>
      <c r="S201" s="185"/>
      <c r="T201" s="185">
        <f ca="1">iRankMultiple!FK114</f>
        <v>0</v>
      </c>
      <c r="U201" s="186" t="str">
        <f ca="1">iRankMultiple!FL114</f>
        <v/>
      </c>
      <c r="V201" s="187" t="str">
        <f ca="1">iRankMultiple!FM114</f>
        <v/>
      </c>
      <c r="W201" s="188" t="str">
        <f ca="1">iRankMultiple!FN114</f>
        <v/>
      </c>
      <c r="X201" s="189">
        <f>iRankMultiple!AA300</f>
        <v>0</v>
      </c>
      <c r="Y201" s="185"/>
      <c r="Z201" s="185"/>
    </row>
    <row r="202" spans="1:26" ht="14.45" hidden="1" x14ac:dyDescent="0.3">
      <c r="A202" s="138"/>
      <c r="B202" s="138">
        <f ca="1">iRankMultiple!ES115</f>
        <v>0</v>
      </c>
      <c r="C202" s="186" t="str">
        <f ca="1">iRankMultiple!ET115</f>
        <v/>
      </c>
      <c r="D202" s="187" t="str">
        <f ca="1">iRankMultiple!EU115</f>
        <v/>
      </c>
      <c r="E202" s="188" t="str">
        <f ca="1">iRankMultiple!EV115</f>
        <v/>
      </c>
      <c r="F202" s="189">
        <f>iRankMultiple!I301</f>
        <v>0</v>
      </c>
      <c r="G202" s="185"/>
      <c r="H202" s="185">
        <f ca="1">iRankMultiple!EY115</f>
        <v>0</v>
      </c>
      <c r="I202" s="186" t="str">
        <f ca="1">iRankMultiple!EZ115</f>
        <v/>
      </c>
      <c r="J202" s="187" t="str">
        <f ca="1">iRankMultiple!FA115</f>
        <v/>
      </c>
      <c r="K202" s="188" t="str">
        <f ca="1">iRankMultiple!FB115</f>
        <v/>
      </c>
      <c r="L202" s="189">
        <f>iRankMultiple!O301</f>
        <v>0</v>
      </c>
      <c r="M202" s="185"/>
      <c r="N202" s="185">
        <f ca="1">iRankMultiple!FE115</f>
        <v>0</v>
      </c>
      <c r="O202" s="186" t="str">
        <f ca="1">iRankMultiple!FF115</f>
        <v/>
      </c>
      <c r="P202" s="187" t="str">
        <f ca="1">iRankMultiple!FG115</f>
        <v/>
      </c>
      <c r="Q202" s="188" t="str">
        <f ca="1">iRankMultiple!FH115</f>
        <v/>
      </c>
      <c r="R202" s="189">
        <f>iRankMultiple!U301</f>
        <v>0</v>
      </c>
      <c r="S202" s="185"/>
      <c r="T202" s="185">
        <f ca="1">iRankMultiple!FK115</f>
        <v>0</v>
      </c>
      <c r="U202" s="186" t="str">
        <f ca="1">iRankMultiple!FL115</f>
        <v/>
      </c>
      <c r="V202" s="187" t="str">
        <f ca="1">iRankMultiple!FM115</f>
        <v/>
      </c>
      <c r="W202" s="188" t="str">
        <f ca="1">iRankMultiple!FN115</f>
        <v/>
      </c>
      <c r="X202" s="189">
        <f>iRankMultiple!AA301</f>
        <v>0</v>
      </c>
      <c r="Y202" s="185"/>
      <c r="Z202" s="185"/>
    </row>
    <row r="203" spans="1:26" ht="14.45" hidden="1" x14ac:dyDescent="0.3">
      <c r="A203" s="138"/>
      <c r="B203" s="138">
        <f ca="1">iRankMultiple!ES116</f>
        <v>0</v>
      </c>
      <c r="C203" s="186" t="str">
        <f ca="1">iRankMultiple!ET116</f>
        <v/>
      </c>
      <c r="D203" s="187" t="str">
        <f ca="1">iRankMultiple!EU116</f>
        <v/>
      </c>
      <c r="E203" s="188" t="str">
        <f ca="1">iRankMultiple!EV116</f>
        <v/>
      </c>
      <c r="F203" s="189">
        <f>iRankMultiple!I302</f>
        <v>0</v>
      </c>
      <c r="G203" s="185"/>
      <c r="H203" s="185">
        <f ca="1">iRankMultiple!EY116</f>
        <v>0</v>
      </c>
      <c r="I203" s="186" t="str">
        <f ca="1">iRankMultiple!EZ116</f>
        <v/>
      </c>
      <c r="J203" s="187" t="str">
        <f ca="1">iRankMultiple!FA116</f>
        <v/>
      </c>
      <c r="K203" s="188" t="str">
        <f ca="1">iRankMultiple!FB116</f>
        <v/>
      </c>
      <c r="L203" s="189">
        <f>iRankMultiple!O302</f>
        <v>0</v>
      </c>
      <c r="M203" s="185"/>
      <c r="N203" s="185">
        <f ca="1">iRankMultiple!FE116</f>
        <v>0</v>
      </c>
      <c r="O203" s="186" t="str">
        <f ca="1">iRankMultiple!FF116</f>
        <v/>
      </c>
      <c r="P203" s="187" t="str">
        <f ca="1">iRankMultiple!FG116</f>
        <v/>
      </c>
      <c r="Q203" s="188" t="str">
        <f ca="1">iRankMultiple!FH116</f>
        <v/>
      </c>
      <c r="R203" s="189">
        <f>iRankMultiple!U302</f>
        <v>0</v>
      </c>
      <c r="S203" s="185"/>
      <c r="T203" s="185">
        <f ca="1">iRankMultiple!FK116</f>
        <v>0</v>
      </c>
      <c r="U203" s="186" t="str">
        <f ca="1">iRankMultiple!FL116</f>
        <v/>
      </c>
      <c r="V203" s="187" t="str">
        <f ca="1">iRankMultiple!FM116</f>
        <v/>
      </c>
      <c r="W203" s="188" t="str">
        <f ca="1">iRankMultiple!FN116</f>
        <v/>
      </c>
      <c r="X203" s="189">
        <f>iRankMultiple!AA302</f>
        <v>0</v>
      </c>
      <c r="Y203" s="185"/>
      <c r="Z203" s="185"/>
    </row>
    <row r="204" spans="1:26" ht="14.45" hidden="1" x14ac:dyDescent="0.3">
      <c r="A204" s="138"/>
      <c r="B204" s="138">
        <f ca="1">iRankMultiple!ES117</f>
        <v>0</v>
      </c>
      <c r="C204" s="186" t="str">
        <f ca="1">iRankMultiple!ET117</f>
        <v/>
      </c>
      <c r="D204" s="187" t="str">
        <f ca="1">iRankMultiple!EU117</f>
        <v/>
      </c>
      <c r="E204" s="188" t="str">
        <f ca="1">iRankMultiple!EV117</f>
        <v/>
      </c>
      <c r="F204" s="189">
        <f>iRankMultiple!I303</f>
        <v>0</v>
      </c>
      <c r="G204" s="185"/>
      <c r="H204" s="185">
        <f ca="1">iRankMultiple!EY117</f>
        <v>0</v>
      </c>
      <c r="I204" s="186" t="str">
        <f ca="1">iRankMultiple!EZ117</f>
        <v/>
      </c>
      <c r="J204" s="187" t="str">
        <f ca="1">iRankMultiple!FA117</f>
        <v/>
      </c>
      <c r="K204" s="188" t="str">
        <f ca="1">iRankMultiple!FB117</f>
        <v/>
      </c>
      <c r="L204" s="189">
        <f>iRankMultiple!O303</f>
        <v>0</v>
      </c>
      <c r="M204" s="185"/>
      <c r="N204" s="185">
        <f ca="1">iRankMultiple!FE117</f>
        <v>0</v>
      </c>
      <c r="O204" s="186" t="str">
        <f ca="1">iRankMultiple!FF117</f>
        <v/>
      </c>
      <c r="P204" s="187" t="str">
        <f ca="1">iRankMultiple!FG117</f>
        <v/>
      </c>
      <c r="Q204" s="188" t="str">
        <f ca="1">iRankMultiple!FH117</f>
        <v/>
      </c>
      <c r="R204" s="189">
        <f>iRankMultiple!U303</f>
        <v>0</v>
      </c>
      <c r="S204" s="185"/>
      <c r="T204" s="185">
        <f ca="1">iRankMultiple!FK117</f>
        <v>0</v>
      </c>
      <c r="U204" s="186" t="str">
        <f ca="1">iRankMultiple!FL117</f>
        <v/>
      </c>
      <c r="V204" s="187" t="str">
        <f ca="1">iRankMultiple!FM117</f>
        <v/>
      </c>
      <c r="W204" s="188" t="str">
        <f ca="1">iRankMultiple!FN117</f>
        <v/>
      </c>
      <c r="X204" s="189">
        <f>iRankMultiple!AA303</f>
        <v>0</v>
      </c>
      <c r="Y204" s="185"/>
      <c r="Z204" s="185"/>
    </row>
    <row r="205" spans="1:26" ht="14.45" hidden="1" x14ac:dyDescent="0.3">
      <c r="A205" s="138"/>
      <c r="B205" s="138">
        <f ca="1">iRankMultiple!ES118</f>
        <v>0</v>
      </c>
      <c r="C205" s="186" t="str">
        <f ca="1">iRankMultiple!ET118</f>
        <v/>
      </c>
      <c r="D205" s="187" t="str">
        <f ca="1">iRankMultiple!EU118</f>
        <v/>
      </c>
      <c r="E205" s="188" t="str">
        <f ca="1">iRankMultiple!EV118</f>
        <v/>
      </c>
      <c r="F205" s="189">
        <f>iRankMultiple!I304</f>
        <v>0</v>
      </c>
      <c r="G205" s="185"/>
      <c r="H205" s="185">
        <f ca="1">iRankMultiple!EY118</f>
        <v>0</v>
      </c>
      <c r="I205" s="186" t="str">
        <f ca="1">iRankMultiple!EZ118</f>
        <v/>
      </c>
      <c r="J205" s="187" t="str">
        <f ca="1">iRankMultiple!FA118</f>
        <v/>
      </c>
      <c r="K205" s="188" t="str">
        <f ca="1">iRankMultiple!FB118</f>
        <v/>
      </c>
      <c r="L205" s="189">
        <f>iRankMultiple!O304</f>
        <v>0</v>
      </c>
      <c r="M205" s="185"/>
      <c r="N205" s="185">
        <f ca="1">iRankMultiple!FE118</f>
        <v>0</v>
      </c>
      <c r="O205" s="186" t="str">
        <f ca="1">iRankMultiple!FF118</f>
        <v/>
      </c>
      <c r="P205" s="187" t="str">
        <f ca="1">iRankMultiple!FG118</f>
        <v/>
      </c>
      <c r="Q205" s="188" t="str">
        <f ca="1">iRankMultiple!FH118</f>
        <v/>
      </c>
      <c r="R205" s="189">
        <f>iRankMultiple!U304</f>
        <v>0</v>
      </c>
      <c r="S205" s="185"/>
      <c r="T205" s="185">
        <f ca="1">iRankMultiple!FK118</f>
        <v>0</v>
      </c>
      <c r="U205" s="186" t="str">
        <f ca="1">iRankMultiple!FL118</f>
        <v/>
      </c>
      <c r="V205" s="187" t="str">
        <f ca="1">iRankMultiple!FM118</f>
        <v/>
      </c>
      <c r="W205" s="188" t="str">
        <f ca="1">iRankMultiple!FN118</f>
        <v/>
      </c>
      <c r="X205" s="189">
        <f>iRankMultiple!AA304</f>
        <v>0</v>
      </c>
      <c r="Y205" s="185"/>
      <c r="Z205" s="185"/>
    </row>
    <row r="206" spans="1:26" ht="14.45" hidden="1" x14ac:dyDescent="0.3">
      <c r="A206" s="138"/>
      <c r="B206" s="138">
        <f ca="1">iRankMultiple!ES119</f>
        <v>0</v>
      </c>
      <c r="C206" s="186" t="str">
        <f ca="1">iRankMultiple!ET119</f>
        <v/>
      </c>
      <c r="D206" s="187" t="str">
        <f ca="1">iRankMultiple!EU119</f>
        <v/>
      </c>
      <c r="E206" s="188" t="str">
        <f ca="1">iRankMultiple!EV119</f>
        <v/>
      </c>
      <c r="F206" s="189">
        <f>iRankMultiple!I305</f>
        <v>0</v>
      </c>
      <c r="G206" s="185"/>
      <c r="H206" s="185">
        <f ca="1">iRankMultiple!EY119</f>
        <v>0</v>
      </c>
      <c r="I206" s="186" t="str">
        <f ca="1">iRankMultiple!EZ119</f>
        <v/>
      </c>
      <c r="J206" s="187" t="str">
        <f ca="1">iRankMultiple!FA119</f>
        <v/>
      </c>
      <c r="K206" s="188" t="str">
        <f ca="1">iRankMultiple!FB119</f>
        <v/>
      </c>
      <c r="L206" s="189">
        <f>iRankMultiple!O305</f>
        <v>0</v>
      </c>
      <c r="M206" s="185"/>
      <c r="N206" s="185">
        <f ca="1">iRankMultiple!FE119</f>
        <v>0</v>
      </c>
      <c r="O206" s="186" t="str">
        <f ca="1">iRankMultiple!FF119</f>
        <v/>
      </c>
      <c r="P206" s="187" t="str">
        <f ca="1">iRankMultiple!FG119</f>
        <v/>
      </c>
      <c r="Q206" s="188" t="str">
        <f ca="1">iRankMultiple!FH119</f>
        <v/>
      </c>
      <c r="R206" s="189">
        <f>iRankMultiple!U305</f>
        <v>0</v>
      </c>
      <c r="S206" s="185"/>
      <c r="T206" s="185">
        <f ca="1">iRankMultiple!FK119</f>
        <v>0</v>
      </c>
      <c r="U206" s="186" t="str">
        <f ca="1">iRankMultiple!FL119</f>
        <v/>
      </c>
      <c r="V206" s="187" t="str">
        <f ca="1">iRankMultiple!FM119</f>
        <v/>
      </c>
      <c r="W206" s="188" t="str">
        <f ca="1">iRankMultiple!FN119</f>
        <v/>
      </c>
      <c r="X206" s="189">
        <f>iRankMultiple!AA305</f>
        <v>0</v>
      </c>
      <c r="Y206" s="185"/>
      <c r="Z206" s="185"/>
    </row>
    <row r="207" spans="1:26" ht="14.45" hidden="1" x14ac:dyDescent="0.3">
      <c r="A207" s="138"/>
      <c r="B207" s="138">
        <f ca="1">iRankMultiple!ES120</f>
        <v>0</v>
      </c>
      <c r="C207" s="186" t="str">
        <f ca="1">iRankMultiple!ET120</f>
        <v/>
      </c>
      <c r="D207" s="187" t="str">
        <f ca="1">iRankMultiple!EU120</f>
        <v/>
      </c>
      <c r="E207" s="188" t="str">
        <f ca="1">iRankMultiple!EV120</f>
        <v/>
      </c>
      <c r="F207" s="189">
        <f>iRankMultiple!I306</f>
        <v>0</v>
      </c>
      <c r="G207" s="185"/>
      <c r="H207" s="185">
        <f ca="1">iRankMultiple!EY120</f>
        <v>0</v>
      </c>
      <c r="I207" s="186" t="str">
        <f ca="1">iRankMultiple!EZ120</f>
        <v/>
      </c>
      <c r="J207" s="187" t="str">
        <f ca="1">iRankMultiple!FA120</f>
        <v/>
      </c>
      <c r="K207" s="188" t="str">
        <f ca="1">iRankMultiple!FB120</f>
        <v/>
      </c>
      <c r="L207" s="189">
        <f>iRankMultiple!O306</f>
        <v>0</v>
      </c>
      <c r="M207" s="185"/>
      <c r="N207" s="185">
        <f ca="1">iRankMultiple!FE120</f>
        <v>0</v>
      </c>
      <c r="O207" s="186" t="str">
        <f ca="1">iRankMultiple!FF120</f>
        <v/>
      </c>
      <c r="P207" s="187" t="str">
        <f ca="1">iRankMultiple!FG120</f>
        <v/>
      </c>
      <c r="Q207" s="188" t="str">
        <f ca="1">iRankMultiple!FH120</f>
        <v/>
      </c>
      <c r="R207" s="189">
        <f>iRankMultiple!U306</f>
        <v>0</v>
      </c>
      <c r="S207" s="185"/>
      <c r="T207" s="185">
        <f ca="1">iRankMultiple!FK120</f>
        <v>0</v>
      </c>
      <c r="U207" s="186" t="str">
        <f ca="1">iRankMultiple!FL120</f>
        <v/>
      </c>
      <c r="V207" s="187" t="str">
        <f ca="1">iRankMultiple!FM120</f>
        <v/>
      </c>
      <c r="W207" s="188" t="str">
        <f ca="1">iRankMultiple!FN120</f>
        <v/>
      </c>
      <c r="X207" s="189">
        <f>iRankMultiple!AA306</f>
        <v>0</v>
      </c>
      <c r="Y207" s="185"/>
      <c r="Z207" s="185"/>
    </row>
    <row r="208" spans="1:26" ht="14.45" hidden="1" x14ac:dyDescent="0.3">
      <c r="A208" s="138"/>
      <c r="B208" s="138">
        <f ca="1">iRankMultiple!ES121</f>
        <v>0</v>
      </c>
      <c r="C208" s="186" t="str">
        <f ca="1">iRankMultiple!ET121</f>
        <v/>
      </c>
      <c r="D208" s="187" t="str">
        <f ca="1">iRankMultiple!EU121</f>
        <v/>
      </c>
      <c r="E208" s="188" t="str">
        <f ca="1">iRankMultiple!EV121</f>
        <v/>
      </c>
      <c r="F208" s="189">
        <f>iRankMultiple!I307</f>
        <v>0</v>
      </c>
      <c r="G208" s="185"/>
      <c r="H208" s="185">
        <f ca="1">iRankMultiple!EY121</f>
        <v>0</v>
      </c>
      <c r="I208" s="186" t="str">
        <f ca="1">iRankMultiple!EZ121</f>
        <v/>
      </c>
      <c r="J208" s="187" t="str">
        <f ca="1">iRankMultiple!FA121</f>
        <v/>
      </c>
      <c r="K208" s="188" t="str">
        <f ca="1">iRankMultiple!FB121</f>
        <v/>
      </c>
      <c r="L208" s="189">
        <f>iRankMultiple!O307</f>
        <v>0</v>
      </c>
      <c r="M208" s="185"/>
      <c r="N208" s="185">
        <f ca="1">iRankMultiple!FE121</f>
        <v>0</v>
      </c>
      <c r="O208" s="186" t="str">
        <f ca="1">iRankMultiple!FF121</f>
        <v/>
      </c>
      <c r="P208" s="187" t="str">
        <f ca="1">iRankMultiple!FG121</f>
        <v/>
      </c>
      <c r="Q208" s="188" t="str">
        <f ca="1">iRankMultiple!FH121</f>
        <v/>
      </c>
      <c r="R208" s="189">
        <f>iRankMultiple!U307</f>
        <v>0</v>
      </c>
      <c r="S208" s="185"/>
      <c r="T208" s="185">
        <f ca="1">iRankMultiple!FK121</f>
        <v>0</v>
      </c>
      <c r="U208" s="186" t="str">
        <f ca="1">iRankMultiple!FL121</f>
        <v/>
      </c>
      <c r="V208" s="187" t="str">
        <f ca="1">iRankMultiple!FM121</f>
        <v/>
      </c>
      <c r="W208" s="188" t="str">
        <f ca="1">iRankMultiple!FN121</f>
        <v/>
      </c>
      <c r="X208" s="189">
        <f>iRankMultiple!AA307</f>
        <v>0</v>
      </c>
      <c r="Y208" s="185"/>
      <c r="Z208" s="185"/>
    </row>
    <row r="209" spans="1:26" ht="14.45" hidden="1" x14ac:dyDescent="0.3">
      <c r="A209" s="138"/>
      <c r="B209" s="138">
        <f ca="1">iRankMultiple!ES122</f>
        <v>0</v>
      </c>
      <c r="C209" s="186" t="str">
        <f ca="1">iRankMultiple!ET122</f>
        <v/>
      </c>
      <c r="D209" s="187" t="str">
        <f ca="1">iRankMultiple!EU122</f>
        <v/>
      </c>
      <c r="E209" s="188" t="str">
        <f ca="1">iRankMultiple!EV122</f>
        <v/>
      </c>
      <c r="F209" s="189">
        <f>iRankMultiple!I308</f>
        <v>0</v>
      </c>
      <c r="G209" s="185"/>
      <c r="H209" s="185">
        <f ca="1">iRankMultiple!EY122</f>
        <v>0</v>
      </c>
      <c r="I209" s="186" t="str">
        <f ca="1">iRankMultiple!EZ122</f>
        <v/>
      </c>
      <c r="J209" s="187" t="str">
        <f ca="1">iRankMultiple!FA122</f>
        <v/>
      </c>
      <c r="K209" s="188" t="str">
        <f ca="1">iRankMultiple!FB122</f>
        <v/>
      </c>
      <c r="L209" s="189">
        <f>iRankMultiple!O308</f>
        <v>0</v>
      </c>
      <c r="M209" s="185"/>
      <c r="N209" s="185">
        <f ca="1">iRankMultiple!FE122</f>
        <v>0</v>
      </c>
      <c r="O209" s="186" t="str">
        <f ca="1">iRankMultiple!FF122</f>
        <v/>
      </c>
      <c r="P209" s="187" t="str">
        <f ca="1">iRankMultiple!FG122</f>
        <v/>
      </c>
      <c r="Q209" s="188" t="str">
        <f ca="1">iRankMultiple!FH122</f>
        <v/>
      </c>
      <c r="R209" s="189">
        <f>iRankMultiple!U308</f>
        <v>0</v>
      </c>
      <c r="S209" s="185"/>
      <c r="T209" s="185">
        <f ca="1">iRankMultiple!FK122</f>
        <v>0</v>
      </c>
      <c r="U209" s="186" t="str">
        <f ca="1">iRankMultiple!FL122</f>
        <v/>
      </c>
      <c r="V209" s="187" t="str">
        <f ca="1">iRankMultiple!FM122</f>
        <v/>
      </c>
      <c r="W209" s="188" t="str">
        <f ca="1">iRankMultiple!FN122</f>
        <v/>
      </c>
      <c r="X209" s="189">
        <f>iRankMultiple!AA308</f>
        <v>0</v>
      </c>
      <c r="Y209" s="185"/>
      <c r="Z209" s="185"/>
    </row>
    <row r="210" spans="1:26" ht="14.45" hidden="1" x14ac:dyDescent="0.3">
      <c r="A210" s="138"/>
      <c r="B210" s="138">
        <f ca="1">iRankMultiple!ES123</f>
        <v>0</v>
      </c>
      <c r="C210" s="186" t="str">
        <f ca="1">iRankMultiple!ET123</f>
        <v/>
      </c>
      <c r="D210" s="187" t="str">
        <f ca="1">iRankMultiple!EU123</f>
        <v/>
      </c>
      <c r="E210" s="188" t="str">
        <f ca="1">iRankMultiple!EV123</f>
        <v/>
      </c>
      <c r="F210" s="189">
        <f>iRankMultiple!I309</f>
        <v>0</v>
      </c>
      <c r="G210" s="185"/>
      <c r="H210" s="185">
        <f ca="1">iRankMultiple!EY123</f>
        <v>0</v>
      </c>
      <c r="I210" s="186" t="str">
        <f ca="1">iRankMultiple!EZ123</f>
        <v/>
      </c>
      <c r="J210" s="187" t="str">
        <f ca="1">iRankMultiple!FA123</f>
        <v/>
      </c>
      <c r="K210" s="188" t="str">
        <f ca="1">iRankMultiple!FB123</f>
        <v/>
      </c>
      <c r="L210" s="189">
        <f>iRankMultiple!O309</f>
        <v>0</v>
      </c>
      <c r="M210" s="185"/>
      <c r="N210" s="185">
        <f ca="1">iRankMultiple!FE123</f>
        <v>0</v>
      </c>
      <c r="O210" s="186" t="str">
        <f ca="1">iRankMultiple!FF123</f>
        <v/>
      </c>
      <c r="P210" s="187" t="str">
        <f ca="1">iRankMultiple!FG123</f>
        <v/>
      </c>
      <c r="Q210" s="188" t="str">
        <f ca="1">iRankMultiple!FH123</f>
        <v/>
      </c>
      <c r="R210" s="189">
        <f>iRankMultiple!U309</f>
        <v>0</v>
      </c>
      <c r="S210" s="185"/>
      <c r="T210" s="185">
        <f ca="1">iRankMultiple!FK123</f>
        <v>0</v>
      </c>
      <c r="U210" s="186" t="str">
        <f ca="1">iRankMultiple!FL123</f>
        <v/>
      </c>
      <c r="V210" s="187" t="str">
        <f ca="1">iRankMultiple!FM123</f>
        <v/>
      </c>
      <c r="W210" s="188" t="str">
        <f ca="1">iRankMultiple!FN123</f>
        <v/>
      </c>
      <c r="X210" s="189">
        <f>iRankMultiple!AA309</f>
        <v>0</v>
      </c>
      <c r="Y210" s="185"/>
      <c r="Z210" s="185"/>
    </row>
    <row r="211" spans="1:26" ht="14.45" hidden="1" x14ac:dyDescent="0.3">
      <c r="A211" s="138"/>
      <c r="B211" s="138">
        <f ca="1">iRankMultiple!ES124</f>
        <v>0</v>
      </c>
      <c r="C211" s="186" t="str">
        <f ca="1">iRankMultiple!ET124</f>
        <v/>
      </c>
      <c r="D211" s="187" t="str">
        <f ca="1">iRankMultiple!EU124</f>
        <v/>
      </c>
      <c r="E211" s="188" t="str">
        <f ca="1">iRankMultiple!EV124</f>
        <v/>
      </c>
      <c r="F211" s="189">
        <f>iRankMultiple!I310</f>
        <v>0</v>
      </c>
      <c r="G211" s="185"/>
      <c r="H211" s="185">
        <f ca="1">iRankMultiple!EY124</f>
        <v>0</v>
      </c>
      <c r="I211" s="186" t="str">
        <f ca="1">iRankMultiple!EZ124</f>
        <v/>
      </c>
      <c r="J211" s="187" t="str">
        <f ca="1">iRankMultiple!FA124</f>
        <v/>
      </c>
      <c r="K211" s="188" t="str">
        <f ca="1">iRankMultiple!FB124</f>
        <v/>
      </c>
      <c r="L211" s="189">
        <f>iRankMultiple!O310</f>
        <v>0</v>
      </c>
      <c r="M211" s="185"/>
      <c r="N211" s="185">
        <f ca="1">iRankMultiple!FE124</f>
        <v>0</v>
      </c>
      <c r="O211" s="186" t="str">
        <f ca="1">iRankMultiple!FF124</f>
        <v/>
      </c>
      <c r="P211" s="187" t="str">
        <f ca="1">iRankMultiple!FG124</f>
        <v/>
      </c>
      <c r="Q211" s="188" t="str">
        <f ca="1">iRankMultiple!FH124</f>
        <v/>
      </c>
      <c r="R211" s="189">
        <f>iRankMultiple!U310</f>
        <v>0</v>
      </c>
      <c r="S211" s="185"/>
      <c r="T211" s="185">
        <f ca="1">iRankMultiple!FK124</f>
        <v>0</v>
      </c>
      <c r="U211" s="186" t="str">
        <f ca="1">iRankMultiple!FL124</f>
        <v/>
      </c>
      <c r="V211" s="187" t="str">
        <f ca="1">iRankMultiple!FM124</f>
        <v/>
      </c>
      <c r="W211" s="188" t="str">
        <f ca="1">iRankMultiple!FN124</f>
        <v/>
      </c>
      <c r="X211" s="189">
        <f>iRankMultiple!AA310</f>
        <v>0</v>
      </c>
      <c r="Y211" s="185"/>
      <c r="Z211" s="185"/>
    </row>
    <row r="212" spans="1:26" ht="14.45" hidden="1" x14ac:dyDescent="0.3">
      <c r="A212" s="138"/>
      <c r="B212" s="138">
        <f ca="1">iRankMultiple!ES125</f>
        <v>0</v>
      </c>
      <c r="C212" s="186" t="str">
        <f ca="1">iRankMultiple!ET125</f>
        <v/>
      </c>
      <c r="D212" s="187" t="str">
        <f ca="1">iRankMultiple!EU125</f>
        <v/>
      </c>
      <c r="E212" s="188" t="str">
        <f ca="1">iRankMultiple!EV125</f>
        <v/>
      </c>
      <c r="F212" s="189">
        <f>iRankMultiple!I311</f>
        <v>0</v>
      </c>
      <c r="G212" s="185"/>
      <c r="H212" s="185">
        <f ca="1">iRankMultiple!EY125</f>
        <v>0</v>
      </c>
      <c r="I212" s="186" t="str">
        <f ca="1">iRankMultiple!EZ125</f>
        <v/>
      </c>
      <c r="J212" s="187" t="str">
        <f ca="1">iRankMultiple!FA125</f>
        <v/>
      </c>
      <c r="K212" s="188" t="str">
        <f ca="1">iRankMultiple!FB125</f>
        <v/>
      </c>
      <c r="L212" s="189">
        <f>iRankMultiple!O311</f>
        <v>0</v>
      </c>
      <c r="M212" s="185"/>
      <c r="N212" s="185">
        <f ca="1">iRankMultiple!FE125</f>
        <v>0</v>
      </c>
      <c r="O212" s="186" t="str">
        <f ca="1">iRankMultiple!FF125</f>
        <v/>
      </c>
      <c r="P212" s="187" t="str">
        <f ca="1">iRankMultiple!FG125</f>
        <v/>
      </c>
      <c r="Q212" s="188" t="str">
        <f ca="1">iRankMultiple!FH125</f>
        <v/>
      </c>
      <c r="R212" s="189">
        <f>iRankMultiple!U311</f>
        <v>0</v>
      </c>
      <c r="S212" s="185"/>
      <c r="T212" s="185">
        <f ca="1">iRankMultiple!FK125</f>
        <v>0</v>
      </c>
      <c r="U212" s="186" t="str">
        <f ca="1">iRankMultiple!FL125</f>
        <v/>
      </c>
      <c r="V212" s="187" t="str">
        <f ca="1">iRankMultiple!FM125</f>
        <v/>
      </c>
      <c r="W212" s="188" t="str">
        <f ca="1">iRankMultiple!FN125</f>
        <v/>
      </c>
      <c r="X212" s="189">
        <f>iRankMultiple!AA311</f>
        <v>0</v>
      </c>
      <c r="Y212" s="185"/>
      <c r="Z212" s="185"/>
    </row>
    <row r="213" spans="1:26" ht="14.45" hidden="1" x14ac:dyDescent="0.3">
      <c r="A213" s="138"/>
      <c r="B213" s="138">
        <f ca="1">iRankMultiple!ES126</f>
        <v>0</v>
      </c>
      <c r="C213" s="186" t="str">
        <f ca="1">iRankMultiple!ET126</f>
        <v/>
      </c>
      <c r="D213" s="187" t="str">
        <f ca="1">iRankMultiple!EU126</f>
        <v/>
      </c>
      <c r="E213" s="188" t="str">
        <f ca="1">iRankMultiple!EV126</f>
        <v/>
      </c>
      <c r="F213" s="189">
        <f>iRankMultiple!I312</f>
        <v>0</v>
      </c>
      <c r="G213" s="185"/>
      <c r="H213" s="185">
        <f ca="1">iRankMultiple!EY126</f>
        <v>0</v>
      </c>
      <c r="I213" s="186" t="str">
        <f ca="1">iRankMultiple!EZ126</f>
        <v/>
      </c>
      <c r="J213" s="187" t="str">
        <f ca="1">iRankMultiple!FA126</f>
        <v/>
      </c>
      <c r="K213" s="188" t="str">
        <f ca="1">iRankMultiple!FB126</f>
        <v/>
      </c>
      <c r="L213" s="189">
        <f>iRankMultiple!O312</f>
        <v>0</v>
      </c>
      <c r="M213" s="185"/>
      <c r="N213" s="185">
        <f ca="1">iRankMultiple!FE126</f>
        <v>0</v>
      </c>
      <c r="O213" s="186" t="str">
        <f ca="1">iRankMultiple!FF126</f>
        <v/>
      </c>
      <c r="P213" s="187" t="str">
        <f ca="1">iRankMultiple!FG126</f>
        <v/>
      </c>
      <c r="Q213" s="188" t="str">
        <f ca="1">iRankMultiple!FH126</f>
        <v/>
      </c>
      <c r="R213" s="189">
        <f>iRankMultiple!U312</f>
        <v>0</v>
      </c>
      <c r="S213" s="185"/>
      <c r="T213" s="185">
        <f ca="1">iRankMultiple!FK126</f>
        <v>0</v>
      </c>
      <c r="U213" s="186" t="str">
        <f ca="1">iRankMultiple!FL126</f>
        <v/>
      </c>
      <c r="V213" s="187" t="str">
        <f ca="1">iRankMultiple!FM126</f>
        <v/>
      </c>
      <c r="W213" s="188" t="str">
        <f ca="1">iRankMultiple!FN126</f>
        <v/>
      </c>
      <c r="X213" s="189">
        <f>iRankMultiple!AA312</f>
        <v>0</v>
      </c>
      <c r="Y213" s="185"/>
      <c r="Z213" s="185"/>
    </row>
    <row r="214" spans="1:26" ht="14.45" hidden="1" x14ac:dyDescent="0.3">
      <c r="A214" s="138"/>
      <c r="B214" s="138">
        <f ca="1">iRankMultiple!ES127</f>
        <v>0</v>
      </c>
      <c r="C214" s="186" t="str">
        <f ca="1">iRankMultiple!ET127</f>
        <v/>
      </c>
      <c r="D214" s="187" t="str">
        <f ca="1">iRankMultiple!EU127</f>
        <v/>
      </c>
      <c r="E214" s="188" t="str">
        <f ca="1">iRankMultiple!EV127</f>
        <v/>
      </c>
      <c r="F214" s="189">
        <f>iRankMultiple!I313</f>
        <v>0</v>
      </c>
      <c r="G214" s="185"/>
      <c r="H214" s="185">
        <f ca="1">iRankMultiple!EY127</f>
        <v>0</v>
      </c>
      <c r="I214" s="186" t="str">
        <f ca="1">iRankMultiple!EZ127</f>
        <v/>
      </c>
      <c r="J214" s="187" t="str">
        <f ca="1">iRankMultiple!FA127</f>
        <v/>
      </c>
      <c r="K214" s="188" t="str">
        <f ca="1">iRankMultiple!FB127</f>
        <v/>
      </c>
      <c r="L214" s="189">
        <f>iRankMultiple!O313</f>
        <v>0</v>
      </c>
      <c r="M214" s="185"/>
      <c r="N214" s="185">
        <f ca="1">iRankMultiple!FE127</f>
        <v>0</v>
      </c>
      <c r="O214" s="186" t="str">
        <f ca="1">iRankMultiple!FF127</f>
        <v/>
      </c>
      <c r="P214" s="187" t="str">
        <f ca="1">iRankMultiple!FG127</f>
        <v/>
      </c>
      <c r="Q214" s="188" t="str">
        <f ca="1">iRankMultiple!FH127</f>
        <v/>
      </c>
      <c r="R214" s="189">
        <f>iRankMultiple!U313</f>
        <v>0</v>
      </c>
      <c r="S214" s="185"/>
      <c r="T214" s="185">
        <f ca="1">iRankMultiple!FK127</f>
        <v>0</v>
      </c>
      <c r="U214" s="186" t="str">
        <f ca="1">iRankMultiple!FL127</f>
        <v/>
      </c>
      <c r="V214" s="187" t="str">
        <f ca="1">iRankMultiple!FM127</f>
        <v/>
      </c>
      <c r="W214" s="188" t="str">
        <f ca="1">iRankMultiple!FN127</f>
        <v/>
      </c>
      <c r="X214" s="189">
        <f>iRankMultiple!AA313</f>
        <v>0</v>
      </c>
      <c r="Y214" s="185"/>
      <c r="Z214" s="185"/>
    </row>
    <row r="215" spans="1:26" ht="14.45" hidden="1" x14ac:dyDescent="0.3">
      <c r="A215" s="138"/>
      <c r="B215" s="138">
        <f ca="1">iRankMultiple!ES128</f>
        <v>0</v>
      </c>
      <c r="C215" s="186" t="str">
        <f ca="1">iRankMultiple!ET128</f>
        <v/>
      </c>
      <c r="D215" s="187" t="str">
        <f ca="1">iRankMultiple!EU128</f>
        <v/>
      </c>
      <c r="E215" s="188" t="str">
        <f ca="1">iRankMultiple!EV128</f>
        <v/>
      </c>
      <c r="F215" s="189">
        <f>iRankMultiple!I314</f>
        <v>0</v>
      </c>
      <c r="G215" s="185"/>
      <c r="H215" s="185">
        <f ca="1">iRankMultiple!EY128</f>
        <v>0</v>
      </c>
      <c r="I215" s="186" t="str">
        <f ca="1">iRankMultiple!EZ128</f>
        <v/>
      </c>
      <c r="J215" s="187" t="str">
        <f ca="1">iRankMultiple!FA128</f>
        <v/>
      </c>
      <c r="K215" s="188" t="str">
        <f ca="1">iRankMultiple!FB128</f>
        <v/>
      </c>
      <c r="L215" s="189">
        <f>iRankMultiple!O314</f>
        <v>0</v>
      </c>
      <c r="M215" s="185"/>
      <c r="N215" s="185">
        <f ca="1">iRankMultiple!FE128</f>
        <v>0</v>
      </c>
      <c r="O215" s="186" t="str">
        <f ca="1">iRankMultiple!FF128</f>
        <v/>
      </c>
      <c r="P215" s="187" t="str">
        <f ca="1">iRankMultiple!FG128</f>
        <v/>
      </c>
      <c r="Q215" s="188" t="str">
        <f ca="1">iRankMultiple!FH128</f>
        <v/>
      </c>
      <c r="R215" s="189">
        <f>iRankMultiple!U314</f>
        <v>0</v>
      </c>
      <c r="S215" s="185"/>
      <c r="T215" s="185">
        <f ca="1">iRankMultiple!FK128</f>
        <v>0</v>
      </c>
      <c r="U215" s="186" t="str">
        <f ca="1">iRankMultiple!FL128</f>
        <v/>
      </c>
      <c r="V215" s="187" t="str">
        <f ca="1">iRankMultiple!FM128</f>
        <v/>
      </c>
      <c r="W215" s="188" t="str">
        <f ca="1">iRankMultiple!FN128</f>
        <v/>
      </c>
      <c r="X215" s="189">
        <f>iRankMultiple!AA314</f>
        <v>0</v>
      </c>
      <c r="Y215" s="185"/>
      <c r="Z215" s="185"/>
    </row>
    <row r="216" spans="1:26" ht="14.45" hidden="1" x14ac:dyDescent="0.3">
      <c r="A216" s="138"/>
      <c r="B216" s="138">
        <f ca="1">iRankMultiple!ES129</f>
        <v>0</v>
      </c>
      <c r="C216" s="186" t="str">
        <f ca="1">iRankMultiple!ET129</f>
        <v/>
      </c>
      <c r="D216" s="187" t="str">
        <f ca="1">iRankMultiple!EU129</f>
        <v/>
      </c>
      <c r="E216" s="188" t="str">
        <f ca="1">iRankMultiple!EV129</f>
        <v/>
      </c>
      <c r="F216" s="189">
        <f>iRankMultiple!I315</f>
        <v>0</v>
      </c>
      <c r="G216" s="185"/>
      <c r="H216" s="185">
        <f ca="1">iRankMultiple!EY129</f>
        <v>0</v>
      </c>
      <c r="I216" s="186" t="str">
        <f ca="1">iRankMultiple!EZ129</f>
        <v/>
      </c>
      <c r="J216" s="187" t="str">
        <f ca="1">iRankMultiple!FA129</f>
        <v/>
      </c>
      <c r="K216" s="188" t="str">
        <f ca="1">iRankMultiple!FB129</f>
        <v/>
      </c>
      <c r="L216" s="189">
        <f>iRankMultiple!O315</f>
        <v>0</v>
      </c>
      <c r="M216" s="185"/>
      <c r="N216" s="185">
        <f ca="1">iRankMultiple!FE129</f>
        <v>0</v>
      </c>
      <c r="O216" s="186" t="str">
        <f ca="1">iRankMultiple!FF129</f>
        <v/>
      </c>
      <c r="P216" s="187" t="str">
        <f ca="1">iRankMultiple!FG129</f>
        <v/>
      </c>
      <c r="Q216" s="188" t="str">
        <f ca="1">iRankMultiple!FH129</f>
        <v/>
      </c>
      <c r="R216" s="189">
        <f>iRankMultiple!U315</f>
        <v>0</v>
      </c>
      <c r="S216" s="185"/>
      <c r="T216" s="185">
        <f ca="1">iRankMultiple!FK129</f>
        <v>0</v>
      </c>
      <c r="U216" s="186" t="str">
        <f ca="1">iRankMultiple!FL129</f>
        <v/>
      </c>
      <c r="V216" s="187" t="str">
        <f ca="1">iRankMultiple!FM129</f>
        <v/>
      </c>
      <c r="W216" s="188" t="str">
        <f ca="1">iRankMultiple!FN129</f>
        <v/>
      </c>
      <c r="X216" s="189">
        <f>iRankMultiple!AA315</f>
        <v>0</v>
      </c>
      <c r="Y216" s="185"/>
      <c r="Z216" s="185"/>
    </row>
    <row r="217" spans="1:26" ht="14.45" hidden="1" x14ac:dyDescent="0.3">
      <c r="A217" s="138"/>
      <c r="B217" s="138">
        <f ca="1">iRankMultiple!ES130</f>
        <v>0</v>
      </c>
      <c r="C217" s="186" t="str">
        <f ca="1">iRankMultiple!ET130</f>
        <v/>
      </c>
      <c r="D217" s="187" t="str">
        <f ca="1">iRankMultiple!EU130</f>
        <v/>
      </c>
      <c r="E217" s="188" t="str">
        <f ca="1">iRankMultiple!EV130</f>
        <v/>
      </c>
      <c r="F217" s="189">
        <f>iRankMultiple!I316</f>
        <v>0</v>
      </c>
      <c r="G217" s="185"/>
      <c r="H217" s="185">
        <f ca="1">iRankMultiple!EY130</f>
        <v>0</v>
      </c>
      <c r="I217" s="186" t="str">
        <f ca="1">iRankMultiple!EZ130</f>
        <v/>
      </c>
      <c r="J217" s="187" t="str">
        <f ca="1">iRankMultiple!FA130</f>
        <v/>
      </c>
      <c r="K217" s="188" t="str">
        <f ca="1">iRankMultiple!FB130</f>
        <v/>
      </c>
      <c r="L217" s="189">
        <f>iRankMultiple!O316</f>
        <v>0</v>
      </c>
      <c r="M217" s="185"/>
      <c r="N217" s="185">
        <f ca="1">iRankMultiple!FE130</f>
        <v>0</v>
      </c>
      <c r="O217" s="186" t="str">
        <f ca="1">iRankMultiple!FF130</f>
        <v/>
      </c>
      <c r="P217" s="187" t="str">
        <f ca="1">iRankMultiple!FG130</f>
        <v/>
      </c>
      <c r="Q217" s="188" t="str">
        <f ca="1">iRankMultiple!FH130</f>
        <v/>
      </c>
      <c r="R217" s="189">
        <f>iRankMultiple!U316</f>
        <v>0</v>
      </c>
      <c r="S217" s="185"/>
      <c r="T217" s="185">
        <f ca="1">iRankMultiple!FK130</f>
        <v>0</v>
      </c>
      <c r="U217" s="186" t="str">
        <f ca="1">iRankMultiple!FL130</f>
        <v/>
      </c>
      <c r="V217" s="187" t="str">
        <f ca="1">iRankMultiple!FM130</f>
        <v/>
      </c>
      <c r="W217" s="188" t="str">
        <f ca="1">iRankMultiple!FN130</f>
        <v/>
      </c>
      <c r="X217" s="189">
        <f>iRankMultiple!AA316</f>
        <v>0</v>
      </c>
      <c r="Y217" s="185"/>
      <c r="Z217" s="185"/>
    </row>
    <row r="218" spans="1:26" ht="14.45" hidden="1" x14ac:dyDescent="0.3">
      <c r="A218" s="138"/>
      <c r="B218" s="138">
        <f ca="1">iRankMultiple!ES131</f>
        <v>0</v>
      </c>
      <c r="C218" s="186" t="str">
        <f ca="1">iRankMultiple!ET131</f>
        <v/>
      </c>
      <c r="D218" s="187" t="str">
        <f ca="1">iRankMultiple!EU131</f>
        <v/>
      </c>
      <c r="E218" s="188" t="str">
        <f ca="1">iRankMultiple!EV131</f>
        <v/>
      </c>
      <c r="F218" s="189">
        <f>iRankMultiple!I317</f>
        <v>0</v>
      </c>
      <c r="G218" s="185"/>
      <c r="H218" s="185">
        <f ca="1">iRankMultiple!EY131</f>
        <v>0</v>
      </c>
      <c r="I218" s="186" t="str">
        <f ca="1">iRankMultiple!EZ131</f>
        <v/>
      </c>
      <c r="J218" s="187" t="str">
        <f ca="1">iRankMultiple!FA131</f>
        <v/>
      </c>
      <c r="K218" s="188" t="str">
        <f ca="1">iRankMultiple!FB131</f>
        <v/>
      </c>
      <c r="L218" s="189">
        <f>iRankMultiple!O317</f>
        <v>0</v>
      </c>
      <c r="M218" s="185"/>
      <c r="N218" s="185">
        <f ca="1">iRankMultiple!FE131</f>
        <v>0</v>
      </c>
      <c r="O218" s="186" t="str">
        <f ca="1">iRankMultiple!FF131</f>
        <v/>
      </c>
      <c r="P218" s="187" t="str">
        <f ca="1">iRankMultiple!FG131</f>
        <v/>
      </c>
      <c r="Q218" s="188" t="str">
        <f ca="1">iRankMultiple!FH131</f>
        <v/>
      </c>
      <c r="R218" s="189">
        <f>iRankMultiple!U317</f>
        <v>0</v>
      </c>
      <c r="S218" s="185"/>
      <c r="T218" s="185">
        <f ca="1">iRankMultiple!FK131</f>
        <v>0</v>
      </c>
      <c r="U218" s="186" t="str">
        <f ca="1">iRankMultiple!FL131</f>
        <v/>
      </c>
      <c r="V218" s="187" t="str">
        <f ca="1">iRankMultiple!FM131</f>
        <v/>
      </c>
      <c r="W218" s="237" t="str">
        <f ca="1">iRankMultiple!FN131</f>
        <v/>
      </c>
      <c r="X218" s="189">
        <f>iRankMultiple!AA317</f>
        <v>0</v>
      </c>
      <c r="Y218" s="185"/>
      <c r="Z218" s="185"/>
    </row>
    <row r="219" spans="1:26" ht="14.45" hidden="1" x14ac:dyDescent="0.3">
      <c r="A219" s="138"/>
      <c r="B219" s="185"/>
      <c r="C219" s="186"/>
      <c r="D219" s="187"/>
      <c r="E219" s="188"/>
      <c r="F219" s="189"/>
      <c r="G219" s="185"/>
      <c r="H219" s="185"/>
      <c r="I219" s="186"/>
      <c r="J219" s="187"/>
      <c r="K219" s="188"/>
      <c r="L219" s="189"/>
      <c r="M219" s="185"/>
      <c r="N219" s="185"/>
      <c r="O219" s="186"/>
      <c r="P219" s="187"/>
      <c r="Q219" s="188"/>
      <c r="R219" s="189"/>
      <c r="S219" s="185"/>
      <c r="T219" s="185"/>
      <c r="U219" s="186"/>
      <c r="V219" s="187"/>
      <c r="W219" s="188"/>
      <c r="X219" s="189"/>
      <c r="Y219" s="185"/>
      <c r="Z219" s="185"/>
    </row>
    <row r="220" spans="1:26" ht="13.9" hidden="1" x14ac:dyDescent="0.3"/>
    <row r="221" spans="1:26" ht="13.9" hidden="1" x14ac:dyDescent="0.3"/>
    <row r="222" spans="1:26" ht="13.9" hidden="1" x14ac:dyDescent="0.3"/>
    <row r="223" spans="1:26" ht="13.9" hidden="1" x14ac:dyDescent="0.3"/>
    <row r="224" spans="1:26" ht="13.9" hidden="1" x14ac:dyDescent="0.3"/>
    <row r="225" ht="13.9" hidden="1" x14ac:dyDescent="0.3"/>
  </sheetData>
  <sheetProtection sheet="1" objects="1" scenarios="1"/>
  <mergeCells count="84">
    <mergeCell ref="U4:X4"/>
    <mergeCell ref="U6:X6"/>
    <mergeCell ref="U5:X5"/>
    <mergeCell ref="O35:R35"/>
    <mergeCell ref="U35:X35"/>
    <mergeCell ref="U36:X36"/>
    <mergeCell ref="I5:L5"/>
    <mergeCell ref="I35:L35"/>
    <mergeCell ref="I6:L6"/>
    <mergeCell ref="O5:R5"/>
    <mergeCell ref="C4:F4"/>
    <mergeCell ref="C6:F6"/>
    <mergeCell ref="O4:R4"/>
    <mergeCell ref="C129:F129"/>
    <mergeCell ref="I129:L129"/>
    <mergeCell ref="O129:R129"/>
    <mergeCell ref="C67:F67"/>
    <mergeCell ref="I67:L67"/>
    <mergeCell ref="O67:R67"/>
    <mergeCell ref="C37:F37"/>
    <mergeCell ref="C36:F36"/>
    <mergeCell ref="I36:L36"/>
    <mergeCell ref="O6:R6"/>
    <mergeCell ref="C35:F35"/>
    <mergeCell ref="C5:F5"/>
    <mergeCell ref="I4:L4"/>
    <mergeCell ref="C130:F130"/>
    <mergeCell ref="O36:R36"/>
    <mergeCell ref="I37:L37"/>
    <mergeCell ref="C68:F68"/>
    <mergeCell ref="I68:L68"/>
    <mergeCell ref="O68:R68"/>
    <mergeCell ref="I97:L97"/>
    <mergeCell ref="C99:F99"/>
    <mergeCell ref="C98:F98"/>
    <mergeCell ref="C66:F66"/>
    <mergeCell ref="I66:L66"/>
    <mergeCell ref="I98:L98"/>
    <mergeCell ref="O66:R66"/>
    <mergeCell ref="O97:R97"/>
    <mergeCell ref="O37:R37"/>
    <mergeCell ref="C97:F97"/>
    <mergeCell ref="U98:X98"/>
    <mergeCell ref="O99:R99"/>
    <mergeCell ref="C128:F128"/>
    <mergeCell ref="I128:L128"/>
    <mergeCell ref="I99:L99"/>
    <mergeCell ref="O98:R98"/>
    <mergeCell ref="O128:R128"/>
    <mergeCell ref="U37:X37"/>
    <mergeCell ref="U66:X66"/>
    <mergeCell ref="U67:X67"/>
    <mergeCell ref="U68:X68"/>
    <mergeCell ref="U97:X97"/>
    <mergeCell ref="I130:L130"/>
    <mergeCell ref="U99:X99"/>
    <mergeCell ref="U128:X128"/>
    <mergeCell ref="U129:X129"/>
    <mergeCell ref="U130:X130"/>
    <mergeCell ref="O130:R130"/>
    <mergeCell ref="C159:F159"/>
    <mergeCell ref="I159:L159"/>
    <mergeCell ref="O159:R159"/>
    <mergeCell ref="U159:X159"/>
    <mergeCell ref="C160:F160"/>
    <mergeCell ref="I160:L160"/>
    <mergeCell ref="O160:R160"/>
    <mergeCell ref="U160:X160"/>
    <mergeCell ref="C161:F161"/>
    <mergeCell ref="I161:L161"/>
    <mergeCell ref="O161:R161"/>
    <mergeCell ref="U161:X161"/>
    <mergeCell ref="C190:F190"/>
    <mergeCell ref="I190:L190"/>
    <mergeCell ref="O190:R190"/>
    <mergeCell ref="U190:X190"/>
    <mergeCell ref="C191:F191"/>
    <mergeCell ref="I191:L191"/>
    <mergeCell ref="O191:R191"/>
    <mergeCell ref="U191:X191"/>
    <mergeCell ref="C192:F192"/>
    <mergeCell ref="I192:L192"/>
    <mergeCell ref="O192:R192"/>
    <mergeCell ref="U192:X192"/>
  </mergeCells>
  <phoneticPr fontId="12" type="noConversion"/>
  <conditionalFormatting sqref="C7:C33">
    <cfRule type="expression" dxfId="231" priority="2413">
      <formula>C7="-"</formula>
    </cfRule>
  </conditionalFormatting>
  <conditionalFormatting sqref="C7:E33">
    <cfRule type="expression" dxfId="230" priority="1071">
      <formula>$B7=1</formula>
    </cfRule>
    <cfRule type="expression" dxfId="229" priority="2109">
      <formula>$B7=2</formula>
    </cfRule>
    <cfRule type="expression" dxfId="228" priority="2412">
      <formula>$B7=3</formula>
    </cfRule>
  </conditionalFormatting>
  <conditionalFormatting sqref="C4:F4">
    <cfRule type="expression" dxfId="227" priority="858">
      <formula>C4&lt;&gt;""</formula>
    </cfRule>
  </conditionalFormatting>
  <conditionalFormatting sqref="C5:F5">
    <cfRule type="expression" dxfId="226" priority="857">
      <formula>C5&lt;&gt;""</formula>
    </cfRule>
  </conditionalFormatting>
  <conditionalFormatting sqref="C6:F6">
    <cfRule type="expression" dxfId="225" priority="856">
      <formula>C6&lt;&gt;""</formula>
    </cfRule>
  </conditionalFormatting>
  <conditionalFormatting sqref="I4:L4">
    <cfRule type="expression" dxfId="224" priority="427">
      <formula>I4&lt;&gt;""</formula>
    </cfRule>
  </conditionalFormatting>
  <conditionalFormatting sqref="I5:L5">
    <cfRule type="expression" dxfId="223" priority="426">
      <formula>I5&lt;&gt;""</formula>
    </cfRule>
  </conditionalFormatting>
  <conditionalFormatting sqref="I6:L6">
    <cfRule type="expression" dxfId="222" priority="425">
      <formula>I6&lt;&gt;""</formula>
    </cfRule>
  </conditionalFormatting>
  <conditionalFormatting sqref="O4:R4">
    <cfRule type="expression" dxfId="221" priority="424">
      <formula>O4&lt;&gt;""</formula>
    </cfRule>
  </conditionalFormatting>
  <conditionalFormatting sqref="O5:R5">
    <cfRule type="expression" dxfId="220" priority="423">
      <formula>O5&lt;&gt;""</formula>
    </cfRule>
  </conditionalFormatting>
  <conditionalFormatting sqref="O6:R6">
    <cfRule type="expression" dxfId="219" priority="422">
      <formula>O6&lt;&gt;""</formula>
    </cfRule>
  </conditionalFormatting>
  <conditionalFormatting sqref="U4:X4">
    <cfRule type="expression" dxfId="218" priority="421">
      <formula>U4&lt;&gt;""</formula>
    </cfRule>
  </conditionalFormatting>
  <conditionalFormatting sqref="U5:X5">
    <cfRule type="expression" dxfId="217" priority="420">
      <formula>U5&lt;&gt;""</formula>
    </cfRule>
  </conditionalFormatting>
  <conditionalFormatting sqref="U6:X6">
    <cfRule type="expression" dxfId="216" priority="419">
      <formula>U6&lt;&gt;""</formula>
    </cfRule>
  </conditionalFormatting>
  <conditionalFormatting sqref="I7:I33">
    <cfRule type="expression" dxfId="215" priority="390">
      <formula>I7="-"</formula>
    </cfRule>
  </conditionalFormatting>
  <conditionalFormatting sqref="O7:O33">
    <cfRule type="expression" dxfId="214" priority="386">
      <formula>O7="-"</formula>
    </cfRule>
  </conditionalFormatting>
  <conditionalFormatting sqref="U7:U33">
    <cfRule type="expression" dxfId="213" priority="382">
      <formula>U7="-"</formula>
    </cfRule>
  </conditionalFormatting>
  <conditionalFormatting sqref="C38:C64 C131:C156 C69:C95 C100:C126">
    <cfRule type="expression" dxfId="212" priority="378">
      <formula>C38="-"</formula>
    </cfRule>
  </conditionalFormatting>
  <conditionalFormatting sqref="C35:F35 C66:F66 C97:F97 C128:F128">
    <cfRule type="expression" dxfId="211" priority="374">
      <formula>C35&lt;&gt;""</formula>
    </cfRule>
  </conditionalFormatting>
  <conditionalFormatting sqref="C36:F36 C67:F67 C98:F98 C129:F129">
    <cfRule type="expression" dxfId="210" priority="373">
      <formula>C36&lt;&gt;""</formula>
    </cfRule>
  </conditionalFormatting>
  <conditionalFormatting sqref="C37:F37 C68:F68 C99:F99 C130:F130">
    <cfRule type="expression" dxfId="209" priority="372">
      <formula>C37&lt;&gt;""</formula>
    </cfRule>
  </conditionalFormatting>
  <conditionalFormatting sqref="I35:L35 I66:L66 I97:L97 I128:L128">
    <cfRule type="expression" dxfId="208" priority="371">
      <formula>I35&lt;&gt;""</formula>
    </cfRule>
  </conditionalFormatting>
  <conditionalFormatting sqref="I36:L36 I67:L67 I98:L98 I129:L129">
    <cfRule type="expression" dxfId="207" priority="370">
      <formula>I36&lt;&gt;""</formula>
    </cfRule>
  </conditionalFormatting>
  <conditionalFormatting sqref="I37:L37 I68:L68 I99:L99 I130:L130">
    <cfRule type="expression" dxfId="206" priority="369">
      <formula>I37&lt;&gt;""</formula>
    </cfRule>
  </conditionalFormatting>
  <conditionalFormatting sqref="O35:R35 O66:R66 O97:R97 O128:R128">
    <cfRule type="expression" dxfId="205" priority="368">
      <formula>O35&lt;&gt;""</formula>
    </cfRule>
  </conditionalFormatting>
  <conditionalFormatting sqref="O36:R36 O67:R67 O98:R98 O129:R129">
    <cfRule type="expression" dxfId="204" priority="367">
      <formula>O36&lt;&gt;""</formula>
    </cfRule>
  </conditionalFormatting>
  <conditionalFormatting sqref="O37:R37 O68:R68 O99:R99 O130:R130">
    <cfRule type="expression" dxfId="203" priority="366">
      <formula>O37&lt;&gt;""</formula>
    </cfRule>
  </conditionalFormatting>
  <conditionalFormatting sqref="U35:X35 U66:X66 U97:X97 U128:X128">
    <cfRule type="expression" dxfId="202" priority="365">
      <formula>U35&lt;&gt;""</formula>
    </cfRule>
  </conditionalFormatting>
  <conditionalFormatting sqref="U36:X36 U67:X67 U98:X98 U129:X129">
    <cfRule type="expression" dxfId="201" priority="364">
      <formula>U36&lt;&gt;""</formula>
    </cfRule>
  </conditionalFormatting>
  <conditionalFormatting sqref="U37:X37 U68:X68 U99:X99 U130:X130">
    <cfRule type="expression" dxfId="200" priority="363">
      <formula>U37&lt;&gt;""</formula>
    </cfRule>
  </conditionalFormatting>
  <conditionalFormatting sqref="I7:K33">
    <cfRule type="expression" dxfId="199" priority="387">
      <formula>$H7=1</formula>
    </cfRule>
    <cfRule type="expression" dxfId="198" priority="388">
      <formula>$H7=2</formula>
    </cfRule>
    <cfRule type="expression" dxfId="197" priority="389">
      <formula>$H7=3</formula>
    </cfRule>
  </conditionalFormatting>
  <conditionalFormatting sqref="O7:Q33">
    <cfRule type="expression" dxfId="196" priority="383">
      <formula>$N7=1</formula>
    </cfRule>
    <cfRule type="expression" dxfId="195" priority="384">
      <formula>$N7=2</formula>
    </cfRule>
    <cfRule type="expression" dxfId="194" priority="385">
      <formula>$N7=3</formula>
    </cfRule>
  </conditionalFormatting>
  <conditionalFormatting sqref="U7:W33">
    <cfRule type="expression" dxfId="193" priority="379">
      <formula>$T7=1</formula>
    </cfRule>
    <cfRule type="expression" dxfId="192" priority="380">
      <formula>$T7=2</formula>
    </cfRule>
    <cfRule type="expression" dxfId="191" priority="381">
      <formula>$T7=3</formula>
    </cfRule>
  </conditionalFormatting>
  <conditionalFormatting sqref="C38:E64 C131:E156 C69:E95 C100:E126">
    <cfRule type="expression" dxfId="190" priority="375">
      <formula>$B38=1</formula>
    </cfRule>
    <cfRule type="expression" dxfId="189" priority="376">
      <formula>$B38=2</formula>
    </cfRule>
    <cfRule type="expression" dxfId="188" priority="377">
      <formula>$B38=3</formula>
    </cfRule>
  </conditionalFormatting>
  <conditionalFormatting sqref="I38:I64 I131:I156 I69:I95 I100:I126">
    <cfRule type="expression" dxfId="187" priority="362">
      <formula>I38="-"</formula>
    </cfRule>
  </conditionalFormatting>
  <conditionalFormatting sqref="I38:K64 I131:K156 I69:K95 I100:K126">
    <cfRule type="expression" dxfId="186" priority="359">
      <formula>$H38=1</formula>
    </cfRule>
    <cfRule type="expression" dxfId="185" priority="360">
      <formula>$H38=2</formula>
    </cfRule>
    <cfRule type="expression" dxfId="184" priority="361">
      <formula>$H38=3</formula>
    </cfRule>
  </conditionalFormatting>
  <conditionalFormatting sqref="O38:O64 O131:O156 O69:O95 O100:O126">
    <cfRule type="expression" dxfId="183" priority="358">
      <formula>O38="-"</formula>
    </cfRule>
  </conditionalFormatting>
  <conditionalFormatting sqref="O38:Q64 O131:Q156 O69:Q95 O100:Q126">
    <cfRule type="expression" dxfId="182" priority="355">
      <formula>$N38=1</formula>
    </cfRule>
    <cfRule type="expression" dxfId="181" priority="356">
      <formula>$N38=2</formula>
    </cfRule>
    <cfRule type="expression" dxfId="180" priority="357">
      <formula>$N38=3</formula>
    </cfRule>
  </conditionalFormatting>
  <conditionalFormatting sqref="U38:U64 U131:U156 U69:U95 U100:U126">
    <cfRule type="expression" dxfId="179" priority="354">
      <formula>U38="-"</formula>
    </cfRule>
  </conditionalFormatting>
  <conditionalFormatting sqref="U38:W64 U131:W156 U69:W95 U100:W126">
    <cfRule type="expression" dxfId="178" priority="351">
      <formula>$T38=1</formula>
    </cfRule>
    <cfRule type="expression" dxfId="177" priority="352">
      <formula>$T38=2</formula>
    </cfRule>
    <cfRule type="expression" dxfId="176" priority="353">
      <formula>$T38=3</formula>
    </cfRule>
  </conditionalFormatting>
  <conditionalFormatting sqref="C34">
    <cfRule type="expression" dxfId="175" priority="350">
      <formula>C34="-"</formula>
    </cfRule>
  </conditionalFormatting>
  <conditionalFormatting sqref="C34:E34">
    <cfRule type="expression" dxfId="174" priority="347">
      <formula>$B34=1</formula>
    </cfRule>
    <cfRule type="expression" dxfId="173" priority="348">
      <formula>$B34=2</formula>
    </cfRule>
    <cfRule type="expression" dxfId="172" priority="349">
      <formula>$B34=3</formula>
    </cfRule>
  </conditionalFormatting>
  <conditionalFormatting sqref="I34">
    <cfRule type="expression" dxfId="171" priority="346">
      <formula>I34="-"</formula>
    </cfRule>
  </conditionalFormatting>
  <conditionalFormatting sqref="O34">
    <cfRule type="expression" dxfId="170" priority="345">
      <formula>O34="-"</formula>
    </cfRule>
  </conditionalFormatting>
  <conditionalFormatting sqref="U34">
    <cfRule type="expression" dxfId="169" priority="344">
      <formula>U34="-"</formula>
    </cfRule>
  </conditionalFormatting>
  <conditionalFormatting sqref="I34:K34">
    <cfRule type="expression" dxfId="168" priority="341">
      <formula>$H34=1</formula>
    </cfRule>
    <cfRule type="expression" dxfId="167" priority="342">
      <formula>$H34=2</formula>
    </cfRule>
    <cfRule type="expression" dxfId="166" priority="343">
      <formula>$H34=3</formula>
    </cfRule>
  </conditionalFormatting>
  <conditionalFormatting sqref="O34:Q34">
    <cfRule type="expression" dxfId="165" priority="338">
      <formula>$N34=1</formula>
    </cfRule>
    <cfRule type="expression" dxfId="164" priority="339">
      <formula>$N34=2</formula>
    </cfRule>
    <cfRule type="expression" dxfId="163" priority="340">
      <formula>$N34=3</formula>
    </cfRule>
  </conditionalFormatting>
  <conditionalFormatting sqref="U34:W34">
    <cfRule type="expression" dxfId="162" priority="335">
      <formula>$T34=1</formula>
    </cfRule>
    <cfRule type="expression" dxfId="161" priority="336">
      <formula>$T34=2</formula>
    </cfRule>
    <cfRule type="expression" dxfId="160" priority="337">
      <formula>$T34=3</formula>
    </cfRule>
  </conditionalFormatting>
  <conditionalFormatting sqref="C64">
    <cfRule type="expression" dxfId="159" priority="334">
      <formula>C64="-"</formula>
    </cfRule>
  </conditionalFormatting>
  <conditionalFormatting sqref="C64:E64">
    <cfRule type="expression" dxfId="158" priority="331">
      <formula>$B64=1</formula>
    </cfRule>
    <cfRule type="expression" dxfId="157" priority="332">
      <formula>$B64=2</formula>
    </cfRule>
    <cfRule type="expression" dxfId="156" priority="333">
      <formula>$B64=3</formula>
    </cfRule>
  </conditionalFormatting>
  <conditionalFormatting sqref="I64">
    <cfRule type="expression" dxfId="155" priority="330">
      <formula>I64="-"</formula>
    </cfRule>
  </conditionalFormatting>
  <conditionalFormatting sqref="O64">
    <cfRule type="expression" dxfId="154" priority="329">
      <formula>O64="-"</formula>
    </cfRule>
  </conditionalFormatting>
  <conditionalFormatting sqref="U64">
    <cfRule type="expression" dxfId="153" priority="328">
      <formula>U64="-"</formula>
    </cfRule>
  </conditionalFormatting>
  <conditionalFormatting sqref="I64:K64">
    <cfRule type="expression" dxfId="152" priority="325">
      <formula>$H64=1</formula>
    </cfRule>
    <cfRule type="expression" dxfId="151" priority="326">
      <formula>$H64=2</formula>
    </cfRule>
    <cfRule type="expression" dxfId="150" priority="327">
      <formula>$H64=3</formula>
    </cfRule>
  </conditionalFormatting>
  <conditionalFormatting sqref="O64:Q64">
    <cfRule type="expression" dxfId="149" priority="322">
      <formula>$N64=1</formula>
    </cfRule>
    <cfRule type="expression" dxfId="148" priority="323">
      <formula>$N64=2</formula>
    </cfRule>
    <cfRule type="expression" dxfId="147" priority="324">
      <formula>$N64=3</formula>
    </cfRule>
  </conditionalFormatting>
  <conditionalFormatting sqref="U64:W64">
    <cfRule type="expression" dxfId="146" priority="319">
      <formula>$T64=1</formula>
    </cfRule>
    <cfRule type="expression" dxfId="145" priority="320">
      <formula>$T64=2</formula>
    </cfRule>
    <cfRule type="expression" dxfId="144" priority="321">
      <formula>$T64=3</formula>
    </cfRule>
  </conditionalFormatting>
  <conditionalFormatting sqref="C65">
    <cfRule type="expression" dxfId="143" priority="318">
      <formula>C65="-"</formula>
    </cfRule>
  </conditionalFormatting>
  <conditionalFormatting sqref="C65:E65">
    <cfRule type="expression" dxfId="142" priority="315">
      <formula>$B65=1</formula>
    </cfRule>
    <cfRule type="expression" dxfId="141" priority="316">
      <formula>$B65=2</formula>
    </cfRule>
    <cfRule type="expression" dxfId="140" priority="317">
      <formula>$B65=3</formula>
    </cfRule>
  </conditionalFormatting>
  <conditionalFormatting sqref="I65">
    <cfRule type="expression" dxfId="139" priority="314">
      <formula>I65="-"</formula>
    </cfRule>
  </conditionalFormatting>
  <conditionalFormatting sqref="O65">
    <cfRule type="expression" dxfId="138" priority="313">
      <formula>O65="-"</formula>
    </cfRule>
  </conditionalFormatting>
  <conditionalFormatting sqref="U65">
    <cfRule type="expression" dxfId="137" priority="312">
      <formula>U65="-"</formula>
    </cfRule>
  </conditionalFormatting>
  <conditionalFormatting sqref="I65:K65">
    <cfRule type="expression" dxfId="136" priority="309">
      <formula>$H65=1</formula>
    </cfRule>
    <cfRule type="expression" dxfId="135" priority="310">
      <formula>$H65=2</formula>
    </cfRule>
    <cfRule type="expression" dxfId="134" priority="311">
      <formula>$H65=3</formula>
    </cfRule>
  </conditionalFormatting>
  <conditionalFormatting sqref="O65:Q65">
    <cfRule type="expression" dxfId="133" priority="306">
      <formula>$N65=1</formula>
    </cfRule>
    <cfRule type="expression" dxfId="132" priority="307">
      <formula>$N65=2</formula>
    </cfRule>
    <cfRule type="expression" dxfId="131" priority="308">
      <formula>$N65=3</formula>
    </cfRule>
  </conditionalFormatting>
  <conditionalFormatting sqref="U65:W65">
    <cfRule type="expression" dxfId="130" priority="303">
      <formula>$T65=1</formula>
    </cfRule>
    <cfRule type="expression" dxfId="129" priority="304">
      <formula>$T65=2</formula>
    </cfRule>
    <cfRule type="expression" dxfId="128" priority="305">
      <formula>$T65=3</formula>
    </cfRule>
  </conditionalFormatting>
  <conditionalFormatting sqref="C95">
    <cfRule type="expression" dxfId="127" priority="302">
      <formula>C95="-"</formula>
    </cfRule>
  </conditionalFormatting>
  <conditionalFormatting sqref="C95:E95">
    <cfRule type="expression" dxfId="126" priority="299">
      <formula>$B95=1</formula>
    </cfRule>
    <cfRule type="expression" dxfId="125" priority="300">
      <formula>$B95=2</formula>
    </cfRule>
    <cfRule type="expression" dxfId="124" priority="301">
      <formula>$B95=3</formula>
    </cfRule>
  </conditionalFormatting>
  <conditionalFormatting sqref="I95">
    <cfRule type="expression" dxfId="123" priority="298">
      <formula>I95="-"</formula>
    </cfRule>
  </conditionalFormatting>
  <conditionalFormatting sqref="O95">
    <cfRule type="expression" dxfId="122" priority="297">
      <formula>O95="-"</formula>
    </cfRule>
  </conditionalFormatting>
  <conditionalFormatting sqref="U95">
    <cfRule type="expression" dxfId="121" priority="296">
      <formula>U95="-"</formula>
    </cfRule>
  </conditionalFormatting>
  <conditionalFormatting sqref="I95:K95">
    <cfRule type="expression" dxfId="120" priority="293">
      <formula>$H95=1</formula>
    </cfRule>
    <cfRule type="expression" dxfId="119" priority="294">
      <formula>$H95=2</formula>
    </cfRule>
    <cfRule type="expression" dxfId="118" priority="295">
      <formula>$H95=3</formula>
    </cfRule>
  </conditionalFormatting>
  <conditionalFormatting sqref="O95:Q95">
    <cfRule type="expression" dxfId="117" priority="290">
      <formula>$N95=1</formula>
    </cfRule>
    <cfRule type="expression" dxfId="116" priority="291">
      <formula>$N95=2</formula>
    </cfRule>
    <cfRule type="expression" dxfId="115" priority="292">
      <formula>$N95=3</formula>
    </cfRule>
  </conditionalFormatting>
  <conditionalFormatting sqref="U95:W95">
    <cfRule type="expression" dxfId="114" priority="287">
      <formula>$T95=1</formula>
    </cfRule>
    <cfRule type="expression" dxfId="113" priority="288">
      <formula>$T95=2</formula>
    </cfRule>
    <cfRule type="expression" dxfId="112" priority="289">
      <formula>$T95=3</formula>
    </cfRule>
  </conditionalFormatting>
  <conditionalFormatting sqref="C96">
    <cfRule type="expression" dxfId="111" priority="286">
      <formula>C96="-"</formula>
    </cfRule>
  </conditionalFormatting>
  <conditionalFormatting sqref="C96:E96">
    <cfRule type="expression" dxfId="110" priority="283">
      <formula>$B96=1</formula>
    </cfRule>
    <cfRule type="expression" dxfId="109" priority="284">
      <formula>$B96=2</formula>
    </cfRule>
    <cfRule type="expression" dxfId="108" priority="285">
      <formula>$B96=3</formula>
    </cfRule>
  </conditionalFormatting>
  <conditionalFormatting sqref="I96">
    <cfRule type="expression" dxfId="107" priority="282">
      <formula>I96="-"</formula>
    </cfRule>
  </conditionalFormatting>
  <conditionalFormatting sqref="O96">
    <cfRule type="expression" dxfId="106" priority="281">
      <formula>O96="-"</formula>
    </cfRule>
  </conditionalFormatting>
  <conditionalFormatting sqref="U96">
    <cfRule type="expression" dxfId="105" priority="280">
      <formula>U96="-"</formula>
    </cfRule>
  </conditionalFormatting>
  <conditionalFormatting sqref="I96:K96">
    <cfRule type="expression" dxfId="104" priority="277">
      <formula>$H96=1</formula>
    </cfRule>
    <cfRule type="expression" dxfId="103" priority="278">
      <formula>$H96=2</formula>
    </cfRule>
    <cfRule type="expression" dxfId="102" priority="279">
      <formula>$H96=3</formula>
    </cfRule>
  </conditionalFormatting>
  <conditionalFormatting sqref="O96:Q96">
    <cfRule type="expression" dxfId="101" priority="274">
      <formula>$N96=1</formula>
    </cfRule>
    <cfRule type="expression" dxfId="100" priority="275">
      <formula>$N96=2</formula>
    </cfRule>
    <cfRule type="expression" dxfId="99" priority="276">
      <formula>$N96=3</formula>
    </cfRule>
  </conditionalFormatting>
  <conditionalFormatting sqref="U96:W96">
    <cfRule type="expression" dxfId="98" priority="271">
      <formula>$T96=1</formula>
    </cfRule>
    <cfRule type="expression" dxfId="97" priority="272">
      <formula>$T96=2</formula>
    </cfRule>
    <cfRule type="expression" dxfId="96" priority="273">
      <formula>$T96=3</formula>
    </cfRule>
  </conditionalFormatting>
  <conditionalFormatting sqref="C126">
    <cfRule type="expression" dxfId="95" priority="270">
      <formula>C126="-"</formula>
    </cfRule>
  </conditionalFormatting>
  <conditionalFormatting sqref="C126:E126">
    <cfRule type="expression" dxfId="94" priority="267">
      <formula>$B126=1</formula>
    </cfRule>
    <cfRule type="expression" dxfId="93" priority="268">
      <formula>$B126=2</formula>
    </cfRule>
    <cfRule type="expression" dxfId="92" priority="269">
      <formula>$B126=3</formula>
    </cfRule>
  </conditionalFormatting>
  <conditionalFormatting sqref="I126">
    <cfRule type="expression" dxfId="91" priority="266">
      <formula>I126="-"</formula>
    </cfRule>
  </conditionalFormatting>
  <conditionalFormatting sqref="O126">
    <cfRule type="expression" dxfId="90" priority="265">
      <formula>O126="-"</formula>
    </cfRule>
  </conditionalFormatting>
  <conditionalFormatting sqref="U126">
    <cfRule type="expression" dxfId="89" priority="264">
      <formula>U126="-"</formula>
    </cfRule>
  </conditionalFormatting>
  <conditionalFormatting sqref="I126:K126">
    <cfRule type="expression" dxfId="88" priority="261">
      <formula>$H126=1</formula>
    </cfRule>
    <cfRule type="expression" dxfId="87" priority="262">
      <formula>$H126=2</formula>
    </cfRule>
    <cfRule type="expression" dxfId="86" priority="263">
      <formula>$H126=3</formula>
    </cfRule>
  </conditionalFormatting>
  <conditionalFormatting sqref="O126:Q126">
    <cfRule type="expression" dxfId="85" priority="258">
      <formula>$N126=1</formula>
    </cfRule>
    <cfRule type="expression" dxfId="84" priority="259">
      <formula>$N126=2</formula>
    </cfRule>
    <cfRule type="expression" dxfId="83" priority="260">
      <formula>$N126=3</formula>
    </cfRule>
  </conditionalFormatting>
  <conditionalFormatting sqref="U126:W126">
    <cfRule type="expression" dxfId="82" priority="255">
      <formula>$T126=1</formula>
    </cfRule>
    <cfRule type="expression" dxfId="81" priority="256">
      <formula>$T126=2</formula>
    </cfRule>
    <cfRule type="expression" dxfId="80" priority="257">
      <formula>$T126=3</formula>
    </cfRule>
  </conditionalFormatting>
  <conditionalFormatting sqref="C127">
    <cfRule type="expression" dxfId="79" priority="254">
      <formula>C127="-"</formula>
    </cfRule>
  </conditionalFormatting>
  <conditionalFormatting sqref="C127:E127">
    <cfRule type="expression" dxfId="78" priority="251">
      <formula>$B127=1</formula>
    </cfRule>
    <cfRule type="expression" dxfId="77" priority="252">
      <formula>$B127=2</formula>
    </cfRule>
    <cfRule type="expression" dxfId="76" priority="253">
      <formula>$B127=3</formula>
    </cfRule>
  </conditionalFormatting>
  <conditionalFormatting sqref="I127">
    <cfRule type="expression" dxfId="75" priority="250">
      <formula>I127="-"</formula>
    </cfRule>
  </conditionalFormatting>
  <conditionalFormatting sqref="O127">
    <cfRule type="expression" dxfId="74" priority="249">
      <formula>O127="-"</formula>
    </cfRule>
  </conditionalFormatting>
  <conditionalFormatting sqref="U127">
    <cfRule type="expression" dxfId="73" priority="248">
      <formula>U127="-"</formula>
    </cfRule>
  </conditionalFormatting>
  <conditionalFormatting sqref="I127:K127">
    <cfRule type="expression" dxfId="72" priority="245">
      <formula>$H127=1</formula>
    </cfRule>
    <cfRule type="expression" dxfId="71" priority="246">
      <formula>$H127=2</formula>
    </cfRule>
    <cfRule type="expression" dxfId="70" priority="247">
      <formula>$H127=3</formula>
    </cfRule>
  </conditionalFormatting>
  <conditionalFormatting sqref="O127:Q127">
    <cfRule type="expression" dxfId="69" priority="242">
      <formula>$N127=1</formula>
    </cfRule>
    <cfRule type="expression" dxfId="68" priority="243">
      <formula>$N127=2</formula>
    </cfRule>
    <cfRule type="expression" dxfId="67" priority="244">
      <formula>$N127=3</formula>
    </cfRule>
  </conditionalFormatting>
  <conditionalFormatting sqref="U127:W127">
    <cfRule type="expression" dxfId="66" priority="239">
      <formula>$T127=1</formula>
    </cfRule>
    <cfRule type="expression" dxfId="65" priority="240">
      <formula>$T127=2</formula>
    </cfRule>
    <cfRule type="expression" dxfId="64" priority="241">
      <formula>$T127=3</formula>
    </cfRule>
  </conditionalFormatting>
  <conditionalFormatting sqref="C162:C187">
    <cfRule type="expression" dxfId="63" priority="56">
      <formula>C162="-"</formula>
    </cfRule>
  </conditionalFormatting>
  <conditionalFormatting sqref="C159:F159">
    <cfRule type="expression" dxfId="62" priority="55">
      <formula>C159&lt;&gt;""</formula>
    </cfRule>
  </conditionalFormatting>
  <conditionalFormatting sqref="C160:F160">
    <cfRule type="expression" dxfId="61" priority="54">
      <formula>C160&lt;&gt;""</formula>
    </cfRule>
  </conditionalFormatting>
  <conditionalFormatting sqref="C161:F161">
    <cfRule type="expression" dxfId="60" priority="53">
      <formula>C161&lt;&gt;""</formula>
    </cfRule>
  </conditionalFormatting>
  <conditionalFormatting sqref="I159:L159">
    <cfRule type="expression" dxfId="59" priority="52">
      <formula>I159&lt;&gt;""</formula>
    </cfRule>
  </conditionalFormatting>
  <conditionalFormatting sqref="I160:L160">
    <cfRule type="expression" dxfId="58" priority="51">
      <formula>I160&lt;&gt;""</formula>
    </cfRule>
  </conditionalFormatting>
  <conditionalFormatting sqref="I161:L161">
    <cfRule type="expression" dxfId="57" priority="50">
      <formula>I161&lt;&gt;""</formula>
    </cfRule>
  </conditionalFormatting>
  <conditionalFormatting sqref="O159:R159">
    <cfRule type="expression" dxfId="56" priority="49">
      <formula>O159&lt;&gt;""</formula>
    </cfRule>
  </conditionalFormatting>
  <conditionalFormatting sqref="O160:R160">
    <cfRule type="expression" dxfId="55" priority="48">
      <formula>O160&lt;&gt;""</formula>
    </cfRule>
  </conditionalFormatting>
  <conditionalFormatting sqref="O161:R161">
    <cfRule type="expression" dxfId="54" priority="47">
      <formula>O161&lt;&gt;""</formula>
    </cfRule>
  </conditionalFormatting>
  <conditionalFormatting sqref="U159:X159">
    <cfRule type="expression" dxfId="53" priority="46">
      <formula>U159&lt;&gt;""</formula>
    </cfRule>
  </conditionalFormatting>
  <conditionalFormatting sqref="U160:X160">
    <cfRule type="expression" dxfId="52" priority="45">
      <formula>U160&lt;&gt;""</formula>
    </cfRule>
  </conditionalFormatting>
  <conditionalFormatting sqref="U161:X161">
    <cfRule type="expression" dxfId="51" priority="44">
      <formula>U161&lt;&gt;""</formula>
    </cfRule>
  </conditionalFormatting>
  <conditionalFormatting sqref="C162:E187">
    <cfRule type="expression" dxfId="50" priority="41">
      <formula>$B162=1</formula>
    </cfRule>
    <cfRule type="expression" dxfId="49" priority="42">
      <formula>$B162=2</formula>
    </cfRule>
    <cfRule type="expression" dxfId="48" priority="43">
      <formula>$B162=3</formula>
    </cfRule>
  </conditionalFormatting>
  <conditionalFormatting sqref="I162:I187">
    <cfRule type="expression" dxfId="47" priority="40">
      <formula>I162="-"</formula>
    </cfRule>
  </conditionalFormatting>
  <conditionalFormatting sqref="I162:K187">
    <cfRule type="expression" dxfId="46" priority="37">
      <formula>$H162=1</formula>
    </cfRule>
    <cfRule type="expression" dxfId="45" priority="38">
      <formula>$H162=2</formula>
    </cfRule>
    <cfRule type="expression" dxfId="44" priority="39">
      <formula>$H162=3</formula>
    </cfRule>
  </conditionalFormatting>
  <conditionalFormatting sqref="O162:O187">
    <cfRule type="expression" dxfId="43" priority="36">
      <formula>O162="-"</formula>
    </cfRule>
  </conditionalFormatting>
  <conditionalFormatting sqref="O162:Q187">
    <cfRule type="expression" dxfId="42" priority="33">
      <formula>$N162=1</formula>
    </cfRule>
    <cfRule type="expression" dxfId="41" priority="34">
      <formula>$N162=2</formula>
    </cfRule>
    <cfRule type="expression" dxfId="40" priority="35">
      <formula>$N162=3</formula>
    </cfRule>
  </conditionalFormatting>
  <conditionalFormatting sqref="U162:U187">
    <cfRule type="expression" dxfId="39" priority="32">
      <formula>U162="-"</formula>
    </cfRule>
  </conditionalFormatting>
  <conditionalFormatting sqref="U162:W187">
    <cfRule type="expression" dxfId="38" priority="29">
      <formula>$T162=1</formula>
    </cfRule>
    <cfRule type="expression" dxfId="37" priority="30">
      <formula>$T162=2</formula>
    </cfRule>
    <cfRule type="expression" dxfId="36" priority="31">
      <formula>$T162=3</formula>
    </cfRule>
  </conditionalFormatting>
  <conditionalFormatting sqref="C193:C218">
    <cfRule type="expression" dxfId="35" priority="28">
      <formula>C193="-"</formula>
    </cfRule>
  </conditionalFormatting>
  <conditionalFormatting sqref="C190:F190">
    <cfRule type="expression" dxfId="34" priority="27">
      <formula>C190&lt;&gt;""</formula>
    </cfRule>
  </conditionalFormatting>
  <conditionalFormatting sqref="C191:F191">
    <cfRule type="expression" dxfId="33" priority="26">
      <formula>C191&lt;&gt;""</formula>
    </cfRule>
  </conditionalFormatting>
  <conditionalFormatting sqref="C192:F192">
    <cfRule type="expression" dxfId="32" priority="25">
      <formula>C192&lt;&gt;""</formula>
    </cfRule>
  </conditionalFormatting>
  <conditionalFormatting sqref="I190:L190">
    <cfRule type="expression" dxfId="31" priority="24">
      <formula>I190&lt;&gt;""</formula>
    </cfRule>
  </conditionalFormatting>
  <conditionalFormatting sqref="I191:L191">
    <cfRule type="expression" dxfId="30" priority="23">
      <formula>I191&lt;&gt;""</formula>
    </cfRule>
  </conditionalFormatting>
  <conditionalFormatting sqref="I192:L192">
    <cfRule type="expression" dxfId="29" priority="22">
      <formula>I192&lt;&gt;""</formula>
    </cfRule>
  </conditionalFormatting>
  <conditionalFormatting sqref="O190:R190">
    <cfRule type="expression" dxfId="28" priority="21">
      <formula>O190&lt;&gt;""</formula>
    </cfRule>
  </conditionalFormatting>
  <conditionalFormatting sqref="O191:R191">
    <cfRule type="expression" dxfId="27" priority="20">
      <formula>O191&lt;&gt;""</formula>
    </cfRule>
  </conditionalFormatting>
  <conditionalFormatting sqref="O192:R192">
    <cfRule type="expression" dxfId="26" priority="19">
      <formula>O192&lt;&gt;""</formula>
    </cfRule>
  </conditionalFormatting>
  <conditionalFormatting sqref="U190:X190">
    <cfRule type="expression" dxfId="25" priority="18">
      <formula>U190&lt;&gt;""</formula>
    </cfRule>
  </conditionalFormatting>
  <conditionalFormatting sqref="U191:X191">
    <cfRule type="expression" dxfId="24" priority="17">
      <formula>U191&lt;&gt;""</formula>
    </cfRule>
  </conditionalFormatting>
  <conditionalFormatting sqref="U192:X192">
    <cfRule type="expression" dxfId="23" priority="16">
      <formula>U192&lt;&gt;""</formula>
    </cfRule>
  </conditionalFormatting>
  <conditionalFormatting sqref="C193:E218">
    <cfRule type="expression" dxfId="22" priority="13">
      <formula>$B193=1</formula>
    </cfRule>
    <cfRule type="expression" dxfId="21" priority="14">
      <formula>$B193=2</formula>
    </cfRule>
    <cfRule type="expression" dxfId="20" priority="15">
      <formula>$B193=3</formula>
    </cfRule>
  </conditionalFormatting>
  <conditionalFormatting sqref="I193:I218">
    <cfRule type="expression" dxfId="19" priority="12">
      <formula>I193="-"</formula>
    </cfRule>
  </conditionalFormatting>
  <conditionalFormatting sqref="I193:K218">
    <cfRule type="expression" dxfId="18" priority="9">
      <formula>$H193=1</formula>
    </cfRule>
    <cfRule type="expression" dxfId="17" priority="10">
      <formula>$H193=2</formula>
    </cfRule>
    <cfRule type="expression" dxfId="16" priority="11">
      <formula>$H193=3</formula>
    </cfRule>
  </conditionalFormatting>
  <conditionalFormatting sqref="O193:O218">
    <cfRule type="expression" dxfId="15" priority="8">
      <formula>O193="-"</formula>
    </cfRule>
  </conditionalFormatting>
  <conditionalFormatting sqref="O193:Q218">
    <cfRule type="expression" dxfId="14" priority="5">
      <formula>$N193=1</formula>
    </cfRule>
    <cfRule type="expression" dxfId="13" priority="6">
      <formula>$N193=2</formula>
    </cfRule>
    <cfRule type="expression" dxfId="12" priority="7">
      <formula>$N193=3</formula>
    </cfRule>
  </conditionalFormatting>
  <conditionalFormatting sqref="U193:U218">
    <cfRule type="expression" dxfId="11" priority="4">
      <formula>U193="-"</formula>
    </cfRule>
  </conditionalFormatting>
  <conditionalFormatting sqref="U193:W218">
    <cfRule type="expression" dxfId="10" priority="1">
      <formula>$T193=1</formula>
    </cfRule>
    <cfRule type="expression" dxfId="9" priority="2">
      <formula>$T193=2</formula>
    </cfRule>
    <cfRule type="expression" dxfId="8" priority="3">
      <formula>$T193=3</formula>
    </cfRule>
  </conditionalFormatting>
  <pageMargins left="0.70866141732283472" right="0.70866141732283472" top="0.74803149606299213" bottom="0.74803149606299213" header="0.31496062992125984" footer="0.31496062992125984"/>
  <pageSetup scale="54" fitToHeight="5" orientation="portrait" r:id="rId1"/>
  <headerFooter>
    <oddHeader>&amp;LFreight Transport and Logistics Yearbook 2014, IDB</oddHeader>
    <oddFooter>&amp;LFreight Transport and Logistics Regional Observatory</oddFooter>
  </headerFooter>
  <rowBreaks count="3" manualBreakCount="3">
    <brk id="64" max="24" man="1"/>
    <brk id="126" max="24" man="1"/>
    <brk id="188"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384003" r:id="rId4" name="Drop Down 3">
              <controlPr defaultSize="0" autoLine="0" autoPict="0">
                <anchor moveWithCells="1">
                  <from>
                    <xdr:col>14</xdr:col>
                    <xdr:colOff>28575</xdr:colOff>
                    <xdr:row>1</xdr:row>
                    <xdr:rowOff>38100</xdr:rowOff>
                  </from>
                  <to>
                    <xdr:col>16</xdr:col>
                    <xdr:colOff>219075</xdr:colOff>
                    <xdr:row>1</xdr:row>
                    <xdr:rowOff>200025</xdr:rowOff>
                  </to>
                </anchor>
              </controlPr>
            </control>
          </mc:Choice>
        </mc:AlternateContent>
        <mc:AlternateContent xmlns:mc="http://schemas.openxmlformats.org/markup-compatibility/2006">
          <mc:Choice Requires="x14">
            <control shapeId="384006" r:id="rId5" name="Drop Down 6">
              <controlPr defaultSize="0" autoLine="0" autoPict="0" macro="[0]!Cat_Change">
                <anchor moveWithCells="1">
                  <from>
                    <xdr:col>3</xdr:col>
                    <xdr:colOff>666750</xdr:colOff>
                    <xdr:row>1</xdr:row>
                    <xdr:rowOff>38100</xdr:rowOff>
                  </from>
                  <to>
                    <xdr:col>9</xdr:col>
                    <xdr:colOff>381000</xdr:colOff>
                    <xdr:row>1</xdr:row>
                    <xdr:rowOff>200025</xdr:rowOff>
                  </to>
                </anchor>
              </controlPr>
            </control>
          </mc:Choice>
        </mc:AlternateContent>
        <mc:AlternateContent xmlns:mc="http://schemas.openxmlformats.org/markup-compatibility/2006">
          <mc:Choice Requires="x14">
            <control shapeId="384007" r:id="rId6" name="Drop Down 7">
              <controlPr defaultSize="0" autoLine="0" autoPict="0">
                <anchor moveWithCells="1">
                  <from>
                    <xdr:col>21</xdr:col>
                    <xdr:colOff>485775</xdr:colOff>
                    <xdr:row>1</xdr:row>
                    <xdr:rowOff>28575</xdr:rowOff>
                  </from>
                  <to>
                    <xdr:col>22</xdr:col>
                    <xdr:colOff>533400</xdr:colOff>
                    <xdr:row>1</xdr:row>
                    <xdr:rowOff>190500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2:BL169"/>
  <sheetViews>
    <sheetView showGridLines="0" showRowColHeaders="0" workbookViewId="0"/>
  </sheetViews>
  <sheetFormatPr defaultColWidth="9.140625" defaultRowHeight="11.25" x14ac:dyDescent="0.2"/>
  <cols>
    <col min="1" max="3" width="9.140625" style="1"/>
    <col min="4" max="4" width="25.7109375" style="1" customWidth="1"/>
    <col min="5" max="13" width="9.140625" style="1"/>
    <col min="14" max="14" width="11" style="1" customWidth="1"/>
    <col min="15" max="24" width="3.85546875" style="1" customWidth="1"/>
    <col min="25" max="27" width="5.140625" style="1" customWidth="1"/>
    <col min="28" max="38" width="7" style="1" customWidth="1"/>
    <col min="39" max="41" width="9.140625" style="1"/>
    <col min="42" max="52" width="5.7109375" style="1" customWidth="1"/>
    <col min="53" max="16384" width="9.140625" style="1"/>
  </cols>
  <sheetData>
    <row r="2" spans="1:52" ht="10.15" x14ac:dyDescent="0.2">
      <c r="A2" s="1" t="s">
        <v>495</v>
      </c>
      <c r="B2" s="6">
        <f>uxbWorks!B30</f>
        <v>1</v>
      </c>
      <c r="C2" s="6" t="str">
        <f>uxbWorks!C30</f>
        <v>AR</v>
      </c>
      <c r="D2" s="6" t="str">
        <f>uxbWorks!D30</f>
        <v>Argentina</v>
      </c>
      <c r="E2" s="6">
        <f>uxbWorks!E30</f>
        <v>1</v>
      </c>
      <c r="F2" s="6" t="str">
        <f>uxbWorks!F30</f>
        <v>NAC_AR_1</v>
      </c>
      <c r="K2" s="17" t="s">
        <v>3012</v>
      </c>
    </row>
    <row r="3" spans="1:52" ht="10.15" x14ac:dyDescent="0.2">
      <c r="K3" s="1">
        <f>CHOOSE(uxbWorks!$B$7,6,8)</f>
        <v>6</v>
      </c>
    </row>
    <row r="5" spans="1:52" ht="10.15" x14ac:dyDescent="0.2">
      <c r="A5" s="1" t="str">
        <f>tblIndicators!B1</f>
        <v>IndiCode</v>
      </c>
      <c r="B5" s="1" t="str">
        <f>tblIndicators!D1</f>
        <v>Level</v>
      </c>
      <c r="C5" s="1" t="str">
        <f>tblIndicators!E1</f>
        <v>HasData</v>
      </c>
      <c r="D5" s="1" t="str">
        <f>tblIndicators!O1</f>
        <v>Description</v>
      </c>
      <c r="E5" s="1" t="str">
        <f>tblIndicators!P1</f>
        <v>Unit</v>
      </c>
      <c r="F5" s="1" t="str">
        <f>tblIndicators!Q1</f>
        <v>Category</v>
      </c>
      <c r="G5" s="1" t="s">
        <v>244</v>
      </c>
    </row>
    <row r="6" spans="1:52" ht="10.15" x14ac:dyDescent="0.2">
      <c r="A6" s="1" t="str">
        <f>tblIndicators!B2</f>
        <v>GENERAL</v>
      </c>
      <c r="B6" s="1">
        <f>tblIndicators!D2</f>
        <v>0</v>
      </c>
      <c r="C6" s="1">
        <f>tblIndicators!E2</f>
        <v>0</v>
      </c>
      <c r="D6" s="1" t="str">
        <f>IF(C6=0,UPPER(tblIndicators!O2),tblIndicators!O2)</f>
        <v>GENERAL INDICATORS</v>
      </c>
      <c r="E6" s="1" t="str">
        <f>IF($C6=1,tblIndicators!P2,"")</f>
        <v/>
      </c>
      <c r="F6" s="1" t="str">
        <f>IF($C6=1,tblIndicators!Q2,"")</f>
        <v/>
      </c>
      <c r="G6" s="1" t="str">
        <f>IF($C6=1,tblIndicators!G2,"")</f>
        <v/>
      </c>
      <c r="H6" s="1" t="str">
        <f t="shared" ref="H6:H69" si="0">IF($C6=0,"",MATCH(CONCATENATE($F$2,"_",$A6),lu_DataCode,0))</f>
        <v/>
      </c>
      <c r="I6" s="1" t="str">
        <f t="shared" ref="I6:I69" ca="1" si="1">IF($C6=0,"",INDEX(OFFSET(lu_DataCode,0,4),$H6))</f>
        <v/>
      </c>
      <c r="J6" s="22" t="str">
        <f>IF($C6=0,"",IF(ISNUMBER(I6),I6,"-"))</f>
        <v/>
      </c>
      <c r="K6" s="1" t="str">
        <f ca="1">IF($C6=0,"",INDEX(OFFSET(lu_DataCode,0,3),$H6))</f>
        <v/>
      </c>
      <c r="L6" s="1" t="str">
        <f t="shared" ref="L6" ca="1" si="2">IF(ISNUMBER(K6),INDEX(OFFSET(lu_DataCode,0,5),$H6),"")</f>
        <v/>
      </c>
      <c r="AB6" s="22"/>
      <c r="AC6" s="22"/>
      <c r="AD6" s="22"/>
      <c r="AE6" s="22"/>
      <c r="AF6" s="22"/>
      <c r="AG6" s="22"/>
      <c r="AH6" s="22"/>
      <c r="AI6" s="22"/>
      <c r="AJ6" s="22"/>
      <c r="AK6" s="22"/>
      <c r="AL6" s="22"/>
      <c r="AP6" s="22"/>
      <c r="AQ6" s="22"/>
      <c r="AR6" s="22"/>
      <c r="AS6" s="22"/>
      <c r="AT6" s="22"/>
      <c r="AU6" s="22"/>
      <c r="AV6" s="22"/>
      <c r="AW6" s="22"/>
      <c r="AX6" s="22"/>
      <c r="AY6" s="22"/>
      <c r="AZ6" s="22"/>
    </row>
    <row r="7" spans="1:52" ht="10.15" x14ac:dyDescent="0.2">
      <c r="A7" s="1" t="str">
        <f>tblIndicators!B3</f>
        <v>GENERAL01</v>
      </c>
      <c r="B7" s="1">
        <f>tblIndicators!D3</f>
        <v>1</v>
      </c>
      <c r="C7" s="1">
        <f>tblIndicators!E3</f>
        <v>1</v>
      </c>
      <c r="D7" s="1" t="str">
        <f>IF(C7=0,UPPER(tblIndicators!O3),tblIndicators!O3)</f>
        <v>Transport sector  % GDP</v>
      </c>
      <c r="E7" s="1" t="str">
        <f>IF($C7=1,tblIndicators!P3,"")</f>
        <v>%</v>
      </c>
      <c r="F7" s="1" t="str">
        <f>IF($C7=1,tblIndicators!Q3,"")</f>
        <v>General indicators</v>
      </c>
      <c r="G7" s="1">
        <f>IF($C7=1,tblIndicators!G3,"")</f>
        <v>2</v>
      </c>
      <c r="H7" s="1">
        <f t="shared" si="0"/>
        <v>1</v>
      </c>
      <c r="I7" s="1">
        <f t="shared" ca="1" si="1"/>
        <v>7.2048221837913999</v>
      </c>
      <c r="J7" s="22">
        <f t="shared" ref="J7:J70" ca="1" si="3">IF($C7=0,"",IF(ISNUMBER(I7),I7,"-"))</f>
        <v>7.2048221837913999</v>
      </c>
      <c r="K7" s="1" t="str">
        <f t="shared" ref="K7:K38" ca="1" si="4">IF(OR($C7=0,NOT(ISNUMBER(H7))),"",INDEX(OFFSET(lu_DataCode,0,$K$3),$H7))</f>
        <v>National Accounts methods.  Annual frequency. ISIC I.</v>
      </c>
      <c r="L7" s="1" t="str">
        <f t="shared" ref="L7:L38" ca="1" si="5">IF(OR($C7=0,NOT(ISNUMBER(H7))),"",INDEX(OFFSET(lu_DataCode,0,5),$H7))</f>
        <v>Instituto Nacional de Estadística y Censos (INDEC)</v>
      </c>
      <c r="AB7" s="22"/>
      <c r="AC7" s="22"/>
      <c r="AD7" s="22"/>
      <c r="AE7" s="22"/>
      <c r="AF7" s="22"/>
      <c r="AG7" s="22"/>
      <c r="AH7" s="22"/>
      <c r="AI7" s="22"/>
      <c r="AJ7" s="22"/>
      <c r="AK7" s="22"/>
      <c r="AL7" s="22"/>
      <c r="AP7" s="22"/>
      <c r="AQ7" s="22"/>
      <c r="AR7" s="22"/>
      <c r="AS7" s="22"/>
      <c r="AT7" s="22"/>
      <c r="AU7" s="22"/>
      <c r="AV7" s="22"/>
      <c r="AW7" s="22"/>
      <c r="AX7" s="22"/>
      <c r="AY7" s="22"/>
      <c r="AZ7" s="22"/>
    </row>
    <row r="8" spans="1:52" ht="10.15" x14ac:dyDescent="0.2">
      <c r="A8" s="1" t="str">
        <f>tblIndicators!B4</f>
        <v>GENERAL02</v>
      </c>
      <c r="B8" s="1">
        <f>tblIndicators!D4</f>
        <v>1</v>
      </c>
      <c r="C8" s="1">
        <f>tblIndicators!E4</f>
        <v>1</v>
      </c>
      <c r="D8" s="1" t="str">
        <f>IF(C8=0,UPPER(tblIndicators!O4),tblIndicators!O4)</f>
        <v>Population</v>
      </c>
      <c r="E8" s="1" t="str">
        <f>IF($C8=1,tblIndicators!P4,"")</f>
        <v>millions</v>
      </c>
      <c r="F8" s="1" t="str">
        <f>IF($C8=1,tblIndicators!Q4,"")</f>
        <v>General indicators</v>
      </c>
      <c r="G8" s="1">
        <f>IF($C8=1,tblIndicators!G4,"")</f>
        <v>1</v>
      </c>
      <c r="H8" s="1">
        <f t="shared" si="0"/>
        <v>26</v>
      </c>
      <c r="I8" s="1">
        <f t="shared" ca="1" si="1"/>
        <v>41.116745999999999</v>
      </c>
      <c r="J8" s="22">
        <f t="shared" ca="1" si="3"/>
        <v>41.116745999999999</v>
      </c>
      <c r="K8" s="1" t="str">
        <f t="shared" ca="1" si="4"/>
        <v>Based on data extrapolation from years 2008-2011. World Bank estimations and national census.  Annual frequency.</v>
      </c>
      <c r="L8" s="1" t="str">
        <f t="shared" ca="1" si="5"/>
        <v>Indicadores de Desarrollo Mundial (WDI)</v>
      </c>
      <c r="AB8" s="22"/>
      <c r="AC8" s="22"/>
      <c r="AD8" s="22"/>
      <c r="AE8" s="22"/>
      <c r="AF8" s="22"/>
      <c r="AG8" s="22"/>
      <c r="AH8" s="22"/>
      <c r="AI8" s="22"/>
      <c r="AJ8" s="22"/>
      <c r="AK8" s="22"/>
      <c r="AL8" s="22"/>
      <c r="AP8" s="22"/>
      <c r="AQ8" s="22"/>
      <c r="AR8" s="22"/>
      <c r="AS8" s="22"/>
      <c r="AT8" s="22"/>
      <c r="AU8" s="22"/>
      <c r="AV8" s="22"/>
      <c r="AW8" s="22"/>
      <c r="AX8" s="22"/>
      <c r="AY8" s="22"/>
      <c r="AZ8" s="22"/>
    </row>
    <row r="9" spans="1:52" ht="10.15" x14ac:dyDescent="0.2">
      <c r="A9" s="1" t="str">
        <f>tblIndicators!B5</f>
        <v>GENERAL03</v>
      </c>
      <c r="B9" s="1">
        <f>tblIndicators!D5</f>
        <v>1</v>
      </c>
      <c r="C9" s="1">
        <f>tblIndicators!E5</f>
        <v>1</v>
      </c>
      <c r="D9" s="1" t="str">
        <f>IF(C9=0,UPPER(tblIndicators!O5),tblIndicators!O5)</f>
        <v>Land area</v>
      </c>
      <c r="E9" s="1" t="str">
        <f>IF($C9=1,tblIndicators!P5,"")</f>
        <v>sq km</v>
      </c>
      <c r="F9" s="1" t="str">
        <f>IF($C9=1,tblIndicators!Q5,"")</f>
        <v>General indicators</v>
      </c>
      <c r="G9" s="1">
        <f>IF($C9=1,tblIndicators!G5,"")</f>
        <v>0</v>
      </c>
      <c r="H9" s="1">
        <f t="shared" si="0"/>
        <v>52</v>
      </c>
      <c r="I9" s="1">
        <f t="shared" ca="1" si="1"/>
        <v>2780400</v>
      </c>
      <c r="J9" s="22">
        <f t="shared" ca="1" si="3"/>
        <v>2780400</v>
      </c>
      <c r="K9" s="1" t="str">
        <f t="shared" ca="1" si="4"/>
        <v>World Bank estimations and national census. Annual frequency.</v>
      </c>
      <c r="L9" s="1" t="str">
        <f t="shared" ca="1" si="5"/>
        <v>Indicadores de Desarrollo Mundial (WDI)</v>
      </c>
      <c r="AB9" s="22"/>
      <c r="AC9" s="22"/>
      <c r="AD9" s="22"/>
      <c r="AE9" s="22"/>
      <c r="AF9" s="22"/>
      <c r="AG9" s="22"/>
      <c r="AH9" s="22"/>
      <c r="AI9" s="22"/>
      <c r="AJ9" s="22"/>
      <c r="AK9" s="22"/>
      <c r="AL9" s="22"/>
      <c r="AP9" s="22"/>
      <c r="AQ9" s="22"/>
      <c r="AR9" s="22"/>
      <c r="AS9" s="22"/>
      <c r="AT9" s="22"/>
      <c r="AU9" s="22"/>
      <c r="AV9" s="22"/>
      <c r="AW9" s="22"/>
      <c r="AX9" s="22"/>
      <c r="AY9" s="22"/>
      <c r="AZ9" s="22"/>
    </row>
    <row r="10" spans="1:52" ht="10.15" x14ac:dyDescent="0.2">
      <c r="A10" s="1" t="str">
        <f>tblIndicators!B6</f>
        <v>GENERAL04</v>
      </c>
      <c r="B10" s="1">
        <f>tblIndicators!D6</f>
        <v>1</v>
      </c>
      <c r="C10" s="1">
        <f>tblIndicators!E6</f>
        <v>1</v>
      </c>
      <c r="D10" s="1" t="str">
        <f>IF(C10=0,UPPER(tblIndicators!O6),tblIndicators!O6)</f>
        <v>Gross Domestic Product (GDP)</v>
      </c>
      <c r="E10" s="1" t="str">
        <f>IF($C10=1,tblIndicators!P6,"")</f>
        <v>US$ (billions)</v>
      </c>
      <c r="F10" s="1" t="str">
        <f>IF($C10=1,tblIndicators!Q6,"")</f>
        <v>General indicators</v>
      </c>
      <c r="G10" s="1">
        <f>IF($C10=1,tblIndicators!G6,"")</f>
        <v>1</v>
      </c>
      <c r="H10" s="1">
        <f t="shared" si="0"/>
        <v>78</v>
      </c>
      <c r="I10" s="1">
        <f t="shared" ca="1" si="1"/>
        <v>474.81200000000001</v>
      </c>
      <c r="J10" s="22">
        <f t="shared" ca="1" si="3"/>
        <v>474.81200000000001</v>
      </c>
      <c r="K10" s="1" t="str">
        <f t="shared" ca="1" si="4"/>
        <v>International Monetary Fund data collection. Annual frequency.</v>
      </c>
      <c r="L10" s="1" t="str">
        <f t="shared" ca="1" si="5"/>
        <v>Fondo Monetario Internacional (FMI)</v>
      </c>
      <c r="AB10" s="22"/>
      <c r="AC10" s="22"/>
      <c r="AD10" s="22"/>
      <c r="AE10" s="22"/>
      <c r="AF10" s="22"/>
      <c r="AG10" s="22"/>
      <c r="AH10" s="22"/>
      <c r="AI10" s="22"/>
      <c r="AJ10" s="22"/>
      <c r="AK10" s="22"/>
      <c r="AL10" s="22"/>
      <c r="AP10" s="22"/>
      <c r="AQ10" s="22"/>
      <c r="AR10" s="22"/>
      <c r="AS10" s="22"/>
      <c r="AT10" s="22"/>
      <c r="AU10" s="22"/>
      <c r="AV10" s="22"/>
      <c r="AW10" s="22"/>
      <c r="AX10" s="22"/>
      <c r="AY10" s="22"/>
      <c r="AZ10" s="22"/>
    </row>
    <row r="11" spans="1:52" ht="10.15" x14ac:dyDescent="0.2">
      <c r="A11" s="1" t="str">
        <f>tblIndicators!B7</f>
        <v>GENERAL05</v>
      </c>
      <c r="B11" s="1">
        <f>tblIndicators!D7</f>
        <v>1</v>
      </c>
      <c r="C11" s="1">
        <f>tblIndicators!E7</f>
        <v>1</v>
      </c>
      <c r="D11" s="1" t="str">
        <f>IF(C11=0,UPPER(tblIndicators!O7),tblIndicators!O7)</f>
        <v>GDP-PPP</v>
      </c>
      <c r="E11" s="1" t="str">
        <f>IF($C11=1,tblIndicators!P7,"")</f>
        <v>US$ (billions)</v>
      </c>
      <c r="F11" s="1" t="str">
        <f>IF($C11=1,tblIndicators!Q7,"")</f>
        <v>General indicators</v>
      </c>
      <c r="G11" s="1">
        <f>IF($C11=1,tblIndicators!G7,"")</f>
        <v>1</v>
      </c>
      <c r="H11" s="1">
        <f t="shared" si="0"/>
        <v>104</v>
      </c>
      <c r="I11" s="1">
        <f t="shared" ca="1" si="1"/>
        <v>746.92700000000002</v>
      </c>
      <c r="J11" s="22">
        <f t="shared" ca="1" si="3"/>
        <v>746.92700000000002</v>
      </c>
      <c r="K11" s="1">
        <f t="shared" ca="1" si="4"/>
        <v>0</v>
      </c>
      <c r="L11" s="1" t="str">
        <f t="shared" ca="1" si="5"/>
        <v>Fondo Monetario Internacional (FMI)</v>
      </c>
      <c r="AB11" s="22"/>
      <c r="AC11" s="22"/>
      <c r="AD11" s="22"/>
      <c r="AE11" s="22"/>
      <c r="AF11" s="22"/>
      <c r="AG11" s="22"/>
      <c r="AH11" s="22"/>
      <c r="AI11" s="22"/>
      <c r="AJ11" s="22"/>
      <c r="AK11" s="22"/>
      <c r="AL11" s="22"/>
      <c r="AP11" s="22"/>
      <c r="AQ11" s="22"/>
      <c r="AR11" s="22"/>
      <c r="AS11" s="22"/>
      <c r="AT11" s="22"/>
      <c r="AU11" s="22"/>
      <c r="AV11" s="22"/>
      <c r="AW11" s="22"/>
      <c r="AX11" s="22"/>
      <c r="AY11" s="22"/>
      <c r="AZ11" s="22"/>
    </row>
    <row r="12" spans="1:52" ht="10.15" x14ac:dyDescent="0.2">
      <c r="A12" s="1" t="str">
        <f>tblIndicators!B8</f>
        <v>GENERAL06</v>
      </c>
      <c r="B12" s="1">
        <f>tblIndicators!D8</f>
        <v>1</v>
      </c>
      <c r="C12" s="1">
        <f>tblIndicators!E8</f>
        <v>1</v>
      </c>
      <c r="D12" s="1" t="str">
        <f>IF(C12=0,UPPER(tblIndicators!O8),tblIndicators!O8)</f>
        <v>Transport service imports</v>
      </c>
      <c r="E12" s="1" t="str">
        <f>IF($C12=1,tblIndicators!P8,"")</f>
        <v>US$ (billions)</v>
      </c>
      <c r="F12" s="1" t="str">
        <f>IF($C12=1,tblIndicators!Q8,"")</f>
        <v>General indicators</v>
      </c>
      <c r="G12" s="1">
        <f>IF($C12=1,tblIndicators!G8,"")</f>
        <v>1</v>
      </c>
      <c r="H12" s="1">
        <f t="shared" si="0"/>
        <v>130</v>
      </c>
      <c r="I12" s="1">
        <f t="shared" ca="1" si="1"/>
        <v>5.3750454000000003</v>
      </c>
      <c r="J12" s="22">
        <f t="shared" ca="1" si="3"/>
        <v>5.3750454000000003</v>
      </c>
      <c r="K12" s="1" t="str">
        <f t="shared" ca="1" si="4"/>
        <v>Based on data extrapolation from years 2008-2011. International Monetary Fund data collection. Annual frequency.</v>
      </c>
      <c r="L12" s="1" t="str">
        <f t="shared" ca="1" si="5"/>
        <v>Fondo Monetario Internacional (FMI)</v>
      </c>
      <c r="AB12" s="22"/>
      <c r="AC12" s="22"/>
      <c r="AD12" s="22"/>
      <c r="AE12" s="22"/>
      <c r="AF12" s="22"/>
      <c r="AG12" s="22"/>
      <c r="AH12" s="22"/>
      <c r="AI12" s="22"/>
      <c r="AJ12" s="22"/>
      <c r="AK12" s="22"/>
      <c r="AL12" s="22"/>
      <c r="AP12" s="22"/>
      <c r="AQ12" s="22"/>
      <c r="AR12" s="22"/>
      <c r="AS12" s="22"/>
      <c r="AT12" s="22"/>
      <c r="AU12" s="22"/>
      <c r="AV12" s="22"/>
      <c r="AW12" s="22"/>
      <c r="AX12" s="22"/>
      <c r="AY12" s="22"/>
      <c r="AZ12" s="22"/>
    </row>
    <row r="13" spans="1:52" ht="10.15" x14ac:dyDescent="0.2">
      <c r="A13" s="1" t="str">
        <f>tblIndicators!B9</f>
        <v>GENERAL07</v>
      </c>
      <c r="B13" s="1">
        <f>tblIndicators!D9</f>
        <v>1</v>
      </c>
      <c r="C13" s="1">
        <f>tblIndicators!E9</f>
        <v>1</v>
      </c>
      <c r="D13" s="1" t="str">
        <f>IF(C13=0,UPPER(tblIndicators!O9),tblIndicators!O9)</f>
        <v>Transport service exports</v>
      </c>
      <c r="E13" s="1" t="str">
        <f>IF($C13=1,tblIndicators!P9,"")</f>
        <v>US$ (billions)</v>
      </c>
      <c r="F13" s="1" t="str">
        <f>IF($C13=1,tblIndicators!Q9,"")</f>
        <v>General indicators</v>
      </c>
      <c r="G13" s="1">
        <f>IF($C13=1,tblIndicators!G9,"")</f>
        <v>1</v>
      </c>
      <c r="H13" s="1">
        <f t="shared" si="0"/>
        <v>156</v>
      </c>
      <c r="I13" s="1">
        <f t="shared" ca="1" si="1"/>
        <v>2.4069547999999998</v>
      </c>
      <c r="J13" s="22">
        <f t="shared" ca="1" si="3"/>
        <v>2.4069547999999998</v>
      </c>
      <c r="K13" s="1" t="str">
        <f t="shared" ca="1" si="4"/>
        <v>Based on data extrapolation from years 2008-2011. International Monetary Fund data collection. Annual frequency.</v>
      </c>
      <c r="L13" s="1" t="str">
        <f t="shared" ca="1" si="5"/>
        <v>Fondo Monetario Internacional (FMI)</v>
      </c>
      <c r="AB13" s="22"/>
      <c r="AC13" s="22"/>
      <c r="AD13" s="22"/>
      <c r="AE13" s="22"/>
      <c r="AF13" s="22"/>
      <c r="AG13" s="22"/>
      <c r="AH13" s="22"/>
      <c r="AI13" s="22"/>
      <c r="AJ13" s="22"/>
      <c r="AK13" s="22"/>
      <c r="AL13" s="22"/>
      <c r="AP13" s="22"/>
      <c r="AQ13" s="22"/>
      <c r="AR13" s="22"/>
      <c r="AS13" s="22"/>
      <c r="AT13" s="22"/>
      <c r="AU13" s="22"/>
      <c r="AV13" s="22"/>
      <c r="AW13" s="22"/>
      <c r="AX13" s="22"/>
      <c r="AY13" s="22"/>
      <c r="AZ13" s="22"/>
    </row>
    <row r="14" spans="1:52" ht="10.15" x14ac:dyDescent="0.2">
      <c r="A14" s="1" t="str">
        <f>tblIndicators!B10</f>
        <v>GENERAL08</v>
      </c>
      <c r="B14" s="1">
        <f>tblIndicators!D10</f>
        <v>1</v>
      </c>
      <c r="C14" s="1">
        <f>tblIndicators!E10</f>
        <v>1</v>
      </c>
      <c r="D14" s="1" t="str">
        <f>IF(C14=0,UPPER(tblIndicators!O10),tblIndicators!O10)</f>
        <v>Value of exports</v>
      </c>
      <c r="E14" s="1" t="str">
        <f>IF($C14=1,tblIndicators!P10,"")</f>
        <v>US$ (billions)</v>
      </c>
      <c r="F14" s="1" t="str">
        <f>IF($C14=1,tblIndicators!Q10,"")</f>
        <v>General indicators</v>
      </c>
      <c r="G14" s="1">
        <f>IF($C14=1,tblIndicators!G10,"")</f>
        <v>1</v>
      </c>
      <c r="H14" s="1">
        <f t="shared" si="0"/>
        <v>180</v>
      </c>
      <c r="I14" s="1">
        <f t="shared" ca="1" si="1"/>
        <v>81.903149600000006</v>
      </c>
      <c r="J14" s="22">
        <f t="shared" ca="1" si="3"/>
        <v>81.903149600000006</v>
      </c>
      <c r="K14" s="1">
        <f t="shared" ca="1" si="4"/>
        <v>0</v>
      </c>
      <c r="L14" s="1" t="str">
        <f t="shared" ca="1" si="5"/>
        <v>Fondo Monetario Internacional (FMI)</v>
      </c>
      <c r="AB14" s="22"/>
      <c r="AC14" s="22"/>
      <c r="AD14" s="22"/>
      <c r="AE14" s="22"/>
      <c r="AF14" s="22"/>
      <c r="AG14" s="22"/>
      <c r="AH14" s="22"/>
      <c r="AI14" s="22"/>
      <c r="AJ14" s="22"/>
      <c r="AK14" s="22"/>
      <c r="AL14" s="22"/>
      <c r="AP14" s="22"/>
      <c r="AQ14" s="22"/>
      <c r="AR14" s="22"/>
      <c r="AS14" s="22"/>
      <c r="AT14" s="22"/>
      <c r="AU14" s="22"/>
      <c r="AV14" s="22"/>
      <c r="AW14" s="22"/>
      <c r="AX14" s="22"/>
      <c r="AY14" s="22"/>
      <c r="AZ14" s="22"/>
    </row>
    <row r="15" spans="1:52" ht="10.15" x14ac:dyDescent="0.2">
      <c r="A15" s="1" t="str">
        <f>tblIndicators!B11</f>
        <v>GENERAL09</v>
      </c>
      <c r="B15" s="1">
        <f>tblIndicators!D11</f>
        <v>1</v>
      </c>
      <c r="C15" s="1">
        <f>tblIndicators!E11</f>
        <v>1</v>
      </c>
      <c r="D15" s="1" t="str">
        <f>IF(C15=0,UPPER(tblIndicators!O11),tblIndicators!O11)</f>
        <v>Volume of exports</v>
      </c>
      <c r="E15" s="1" t="str">
        <f>IF($C15=1,tblIndicators!P11,"")</f>
        <v>ton</v>
      </c>
      <c r="F15" s="1" t="str">
        <f>IF($C15=1,tblIndicators!Q11,"")</f>
        <v>General indicators</v>
      </c>
      <c r="G15" s="1">
        <f>IF($C15=1,tblIndicators!G11,"")</f>
        <v>0</v>
      </c>
      <c r="H15" s="1">
        <f t="shared" si="0"/>
        <v>206</v>
      </c>
      <c r="I15" s="1">
        <f t="shared" ca="1" si="1"/>
        <v>100244570.502</v>
      </c>
      <c r="J15" s="22">
        <f t="shared" ca="1" si="3"/>
        <v>100244570.502</v>
      </c>
      <c r="K15" s="1">
        <f t="shared" ca="1" si="4"/>
        <v>0</v>
      </c>
      <c r="L15" s="1" t="str">
        <f t="shared" ca="1" si="5"/>
        <v>COMTRADE</v>
      </c>
      <c r="AB15" s="22"/>
      <c r="AC15" s="22"/>
      <c r="AD15" s="22"/>
      <c r="AE15" s="22"/>
      <c r="AF15" s="22"/>
      <c r="AG15" s="22"/>
      <c r="AH15" s="22"/>
      <c r="AI15" s="22"/>
      <c r="AJ15" s="22"/>
      <c r="AK15" s="22"/>
      <c r="AL15" s="22"/>
      <c r="AP15" s="22"/>
      <c r="AQ15" s="22"/>
      <c r="AR15" s="22"/>
      <c r="AS15" s="22"/>
      <c r="AT15" s="22"/>
      <c r="AU15" s="22"/>
      <c r="AV15" s="22"/>
      <c r="AW15" s="22"/>
      <c r="AX15" s="22"/>
      <c r="AY15" s="22"/>
      <c r="AZ15" s="22"/>
    </row>
    <row r="16" spans="1:52" ht="10.15" x14ac:dyDescent="0.2">
      <c r="A16" s="1" t="str">
        <f>tblIndicators!B12</f>
        <v>GENERAL10</v>
      </c>
      <c r="B16" s="1">
        <f>tblIndicators!D12</f>
        <v>1</v>
      </c>
      <c r="C16" s="1">
        <f>tblIndicators!E12</f>
        <v>1</v>
      </c>
      <c r="D16" s="1" t="str">
        <f>IF(C16=0,UPPER(tblIndicators!O12),tblIndicators!O12)</f>
        <v>Value of imports</v>
      </c>
      <c r="E16" s="1" t="str">
        <f>IF($C16=1,tblIndicators!P12,"")</f>
        <v>US$ (billions)</v>
      </c>
      <c r="F16" s="1" t="str">
        <f>IF($C16=1,tblIndicators!Q12,"")</f>
        <v>General indicators</v>
      </c>
      <c r="G16" s="1">
        <f>IF($C16=1,tblIndicators!G12,"")</f>
        <v>1</v>
      </c>
      <c r="H16" s="1">
        <f t="shared" si="0"/>
        <v>231</v>
      </c>
      <c r="I16" s="1">
        <f t="shared" ca="1" si="1"/>
        <v>65.773621199999994</v>
      </c>
      <c r="J16" s="22">
        <f t="shared" ca="1" si="3"/>
        <v>65.773621199999994</v>
      </c>
      <c r="K16" s="1">
        <f t="shared" ca="1" si="4"/>
        <v>0</v>
      </c>
      <c r="L16" s="1" t="str">
        <f t="shared" ca="1" si="5"/>
        <v>Fondo Monetario Internacional (FMI)</v>
      </c>
      <c r="AB16" s="22"/>
      <c r="AC16" s="22"/>
      <c r="AD16" s="22"/>
      <c r="AE16" s="22"/>
      <c r="AF16" s="22"/>
      <c r="AG16" s="22"/>
      <c r="AH16" s="22"/>
      <c r="AI16" s="22"/>
      <c r="AJ16" s="22"/>
      <c r="AK16" s="22"/>
      <c r="AL16" s="22"/>
      <c r="AP16" s="22"/>
      <c r="AQ16" s="22"/>
      <c r="AR16" s="22"/>
      <c r="AS16" s="22"/>
      <c r="AT16" s="22"/>
      <c r="AU16" s="22"/>
      <c r="AV16" s="22"/>
      <c r="AW16" s="22"/>
      <c r="AX16" s="22"/>
      <c r="AY16" s="22"/>
      <c r="AZ16" s="22"/>
    </row>
    <row r="17" spans="1:52" ht="10.15" x14ac:dyDescent="0.2">
      <c r="A17" s="1" t="str">
        <f>tblIndicators!B13</f>
        <v>GENERAL11</v>
      </c>
      <c r="B17" s="1">
        <f>tblIndicators!D13</f>
        <v>1</v>
      </c>
      <c r="C17" s="1">
        <f>tblIndicators!E13</f>
        <v>1</v>
      </c>
      <c r="D17" s="1" t="str">
        <f>IF(C17=0,UPPER(tblIndicators!O13),tblIndicators!O13)</f>
        <v>Volume of imports</v>
      </c>
      <c r="E17" s="1" t="str">
        <f>IF($C17=1,tblIndicators!P13,"")</f>
        <v>tons</v>
      </c>
      <c r="F17" s="1" t="str">
        <f>IF($C17=1,tblIndicators!Q13,"")</f>
        <v>General indicators</v>
      </c>
      <c r="G17" s="1">
        <f>IF($C17=1,tblIndicators!G13,"")</f>
        <v>0</v>
      </c>
      <c r="H17" s="1">
        <f t="shared" si="0"/>
        <v>257</v>
      </c>
      <c r="I17" s="1">
        <f t="shared" ca="1" si="1"/>
        <v>33687227.989</v>
      </c>
      <c r="J17" s="22">
        <f t="shared" ca="1" si="3"/>
        <v>33687227.989</v>
      </c>
      <c r="K17" s="1">
        <f t="shared" ca="1" si="4"/>
        <v>0</v>
      </c>
      <c r="L17" s="1" t="str">
        <f t="shared" ca="1" si="5"/>
        <v>COMTRADE</v>
      </c>
      <c r="AB17" s="22"/>
      <c r="AC17" s="22"/>
      <c r="AD17" s="22"/>
      <c r="AE17" s="22"/>
      <c r="AF17" s="22"/>
      <c r="AG17" s="22"/>
      <c r="AH17" s="22"/>
      <c r="AI17" s="22"/>
      <c r="AJ17" s="22"/>
      <c r="AK17" s="22"/>
      <c r="AL17" s="22"/>
      <c r="AP17" s="22"/>
      <c r="AQ17" s="22"/>
      <c r="AR17" s="22"/>
      <c r="AS17" s="22"/>
      <c r="AT17" s="22"/>
      <c r="AU17" s="22"/>
      <c r="AV17" s="22"/>
      <c r="AW17" s="22"/>
      <c r="AX17" s="22"/>
      <c r="AY17" s="22"/>
      <c r="AZ17" s="22"/>
    </row>
    <row r="18" spans="1:52" s="2" customFormat="1" ht="10.15" x14ac:dyDescent="0.2">
      <c r="A18" s="1" t="str">
        <f>tblIndicators!B14</f>
        <v>ROAD</v>
      </c>
      <c r="B18" s="1">
        <f>tblIndicators!D14</f>
        <v>0</v>
      </c>
      <c r="C18" s="1">
        <f>tblIndicators!E14</f>
        <v>0</v>
      </c>
      <c r="D18" s="1" t="str">
        <f>IF(C18=0,UPPER(tblIndicators!O14),tblIndicators!O14)</f>
        <v>ROAD TRANSPORTATION</v>
      </c>
      <c r="E18" s="1" t="str">
        <f>IF($C18=1,tblIndicators!P14,"")</f>
        <v/>
      </c>
      <c r="F18" s="1" t="str">
        <f>IF($C18=1,tblIndicators!Q14,"")</f>
        <v/>
      </c>
      <c r="G18" s="1" t="str">
        <f>IF($C18=1,tblIndicators!G14,"")</f>
        <v/>
      </c>
      <c r="H18" s="1" t="str">
        <f t="shared" si="0"/>
        <v/>
      </c>
      <c r="I18" s="1" t="str">
        <f t="shared" ca="1" si="1"/>
        <v/>
      </c>
      <c r="J18" s="22" t="str">
        <f t="shared" si="3"/>
        <v/>
      </c>
      <c r="K18" s="1" t="str">
        <f t="shared" ca="1" si="4"/>
        <v/>
      </c>
      <c r="L18" s="1" t="str">
        <f t="shared" ca="1" si="5"/>
        <v/>
      </c>
      <c r="M18" s="1"/>
      <c r="N18" s="1"/>
      <c r="O18" s="1"/>
      <c r="P18" s="1"/>
      <c r="Q18" s="1"/>
      <c r="R18" s="1"/>
      <c r="S18" s="1"/>
      <c r="T18" s="1"/>
      <c r="U18" s="1"/>
      <c r="V18" s="1"/>
      <c r="W18" s="1"/>
      <c r="X18" s="1"/>
      <c r="Y18" s="1"/>
      <c r="Z18" s="1"/>
      <c r="AA18" s="1"/>
      <c r="AB18" s="22"/>
      <c r="AC18" s="22"/>
      <c r="AD18" s="22"/>
      <c r="AE18" s="22"/>
      <c r="AF18" s="22"/>
      <c r="AG18" s="22"/>
      <c r="AH18" s="22"/>
      <c r="AI18" s="22"/>
      <c r="AJ18" s="22"/>
      <c r="AK18" s="22"/>
      <c r="AL18" s="22"/>
      <c r="AM18" s="1"/>
      <c r="AN18" s="1"/>
      <c r="AO18" s="1"/>
      <c r="AP18" s="22"/>
      <c r="AQ18" s="22"/>
      <c r="AR18" s="22"/>
      <c r="AS18" s="22"/>
      <c r="AT18" s="22"/>
      <c r="AU18" s="22"/>
      <c r="AV18" s="22"/>
      <c r="AW18" s="22"/>
      <c r="AX18" s="22"/>
      <c r="AY18" s="22"/>
      <c r="AZ18" s="22"/>
    </row>
    <row r="19" spans="1:52" ht="10.15" x14ac:dyDescent="0.2">
      <c r="A19" s="1" t="str">
        <f>tblIndicators!B15</f>
        <v>ROAD01</v>
      </c>
      <c r="B19" s="1">
        <f>tblIndicators!D15</f>
        <v>1</v>
      </c>
      <c r="C19" s="1">
        <f>tblIndicators!E15</f>
        <v>1</v>
      </c>
      <c r="D19" s="1" t="str">
        <f>IF(C19=0,UPPER(tblIndicators!O15),tblIndicators!O15)</f>
        <v>Road network</v>
      </c>
      <c r="E19" s="1" t="str">
        <f>IF($C19=1,tblIndicators!P15,"")</f>
        <v>km</v>
      </c>
      <c r="F19" s="1" t="str">
        <f>IF($C19=1,tblIndicators!Q15,"")</f>
        <v>Road transport</v>
      </c>
      <c r="G19" s="1">
        <f>IF($C19=1,tblIndicators!G15,"")</f>
        <v>0</v>
      </c>
      <c r="H19" s="1">
        <f t="shared" si="0"/>
        <v>281</v>
      </c>
      <c r="I19" s="1">
        <f t="shared" ca="1" si="1"/>
        <v>628692.56000000006</v>
      </c>
      <c r="J19" s="22">
        <f t="shared" ca="1" si="3"/>
        <v>628692.56000000006</v>
      </c>
      <c r="K19" s="1">
        <f t="shared" ca="1" si="4"/>
        <v>0</v>
      </c>
      <c r="L19" s="1" t="str">
        <f t="shared" ca="1" si="5"/>
        <v>Dirección Nacional de Vialidad (DNV)</v>
      </c>
      <c r="AB19" s="22"/>
      <c r="AC19" s="22"/>
      <c r="AD19" s="22"/>
      <c r="AE19" s="22"/>
      <c r="AF19" s="22"/>
      <c r="AG19" s="22"/>
      <c r="AH19" s="22"/>
      <c r="AI19" s="22"/>
      <c r="AJ19" s="22"/>
      <c r="AK19" s="22"/>
      <c r="AL19" s="22"/>
      <c r="AP19" s="22"/>
      <c r="AQ19" s="22"/>
      <c r="AR19" s="22"/>
      <c r="AS19" s="22"/>
      <c r="AT19" s="22"/>
      <c r="AU19" s="22"/>
      <c r="AV19" s="22"/>
      <c r="AW19" s="22"/>
      <c r="AX19" s="22"/>
      <c r="AY19" s="22"/>
      <c r="AZ19" s="22"/>
    </row>
    <row r="20" spans="1:52" ht="10.15" x14ac:dyDescent="0.2">
      <c r="A20" s="1" t="str">
        <f>tblIndicators!B16</f>
        <v>ROAD02</v>
      </c>
      <c r="B20" s="1">
        <f>tblIndicators!D16</f>
        <v>1</v>
      </c>
      <c r="C20" s="1">
        <f>tblIndicators!E16</f>
        <v>1</v>
      </c>
      <c r="D20" s="1" t="str">
        <f>IF(C20=0,UPPER(tblIndicators!O16),tblIndicators!O16)</f>
        <v>Freeways</v>
      </c>
      <c r="E20" s="1" t="str">
        <f>IF($C20=1,tblIndicators!P16,"")</f>
        <v>km</v>
      </c>
      <c r="F20" s="1" t="str">
        <f>IF($C20=1,tblIndicators!Q16,"")</f>
        <v>Road transport</v>
      </c>
      <c r="G20" s="1">
        <f>IF($C20=1,tblIndicators!G16,"")</f>
        <v>0</v>
      </c>
      <c r="H20" s="1">
        <f t="shared" si="0"/>
        <v>307</v>
      </c>
      <c r="I20" s="1">
        <f t="shared" ca="1" si="1"/>
        <v>1070.8499999999999</v>
      </c>
      <c r="J20" s="22">
        <f t="shared" ca="1" si="3"/>
        <v>1070.8499999999999</v>
      </c>
      <c r="K20" s="1" t="str">
        <f t="shared" ca="1" si="4"/>
        <v>Annual report by the National Roads Directorate.</v>
      </c>
      <c r="L20" s="1" t="str">
        <f t="shared" ca="1" si="5"/>
        <v>Dirección Nacional de Vialidad (DNV)</v>
      </c>
      <c r="AB20" s="22"/>
      <c r="AC20" s="22"/>
      <c r="AD20" s="22"/>
      <c r="AE20" s="22"/>
      <c r="AF20" s="22"/>
      <c r="AG20" s="22"/>
      <c r="AH20" s="22"/>
      <c r="AI20" s="22"/>
      <c r="AJ20" s="22"/>
      <c r="AK20" s="22"/>
      <c r="AL20" s="22"/>
      <c r="AP20" s="22"/>
      <c r="AQ20" s="22"/>
      <c r="AR20" s="22"/>
      <c r="AS20" s="22"/>
      <c r="AT20" s="22"/>
      <c r="AU20" s="22"/>
      <c r="AV20" s="22"/>
      <c r="AW20" s="22"/>
      <c r="AX20" s="22"/>
      <c r="AY20" s="22"/>
      <c r="AZ20" s="22"/>
    </row>
    <row r="21" spans="1:52" ht="10.15" x14ac:dyDescent="0.2">
      <c r="A21" s="1" t="str">
        <f>tblIndicators!B17</f>
        <v>ROAD03</v>
      </c>
      <c r="B21" s="1">
        <f>tblIndicators!D17</f>
        <v>1</v>
      </c>
      <c r="C21" s="1">
        <f>tblIndicators!E17</f>
        <v>1</v>
      </c>
      <c r="D21" s="1" t="str">
        <f>IF(C21=0,UPPER(tblIndicators!O17),tblIndicators!O17)</f>
        <v>Primary network</v>
      </c>
      <c r="E21" s="1" t="str">
        <f>IF($C21=1,tblIndicators!P17,"")</f>
        <v>km</v>
      </c>
      <c r="F21" s="1" t="str">
        <f>IF($C21=1,tblIndicators!Q17,"")</f>
        <v>Road transport</v>
      </c>
      <c r="G21" s="1">
        <f>IF($C21=1,tblIndicators!G17,"")</f>
        <v>0</v>
      </c>
      <c r="H21" s="1">
        <f t="shared" si="0"/>
        <v>319</v>
      </c>
      <c r="I21" s="1">
        <f t="shared" ca="1" si="1"/>
        <v>38548.71</v>
      </c>
      <c r="J21" s="22">
        <f t="shared" ca="1" si="3"/>
        <v>38548.71</v>
      </c>
      <c r="K21" s="1" t="str">
        <f t="shared" ca="1" si="4"/>
        <v>Annual report by the National Roads Directorate.</v>
      </c>
      <c r="L21" s="1" t="str">
        <f t="shared" ca="1" si="5"/>
        <v>Dirección Nacional de Vialidad (DNV)</v>
      </c>
      <c r="AB21" s="22"/>
      <c r="AC21" s="22"/>
      <c r="AD21" s="22"/>
      <c r="AE21" s="22"/>
      <c r="AF21" s="22"/>
      <c r="AG21" s="22"/>
      <c r="AH21" s="22"/>
      <c r="AI21" s="22"/>
      <c r="AJ21" s="22"/>
      <c r="AK21" s="22"/>
      <c r="AL21" s="22"/>
      <c r="AP21" s="22"/>
      <c r="AQ21" s="22"/>
      <c r="AR21" s="22"/>
      <c r="AS21" s="22"/>
      <c r="AT21" s="22"/>
      <c r="AU21" s="22"/>
      <c r="AV21" s="22"/>
      <c r="AW21" s="22"/>
      <c r="AX21" s="22"/>
      <c r="AY21" s="22"/>
      <c r="AZ21" s="22"/>
    </row>
    <row r="22" spans="1:52" ht="10.15" x14ac:dyDescent="0.2">
      <c r="A22" s="1" t="str">
        <f>tblIndicators!B18</f>
        <v>ROAD04</v>
      </c>
      <c r="B22" s="1">
        <f>tblIndicators!D18</f>
        <v>1</v>
      </c>
      <c r="C22" s="1">
        <f>tblIndicators!E18</f>
        <v>1</v>
      </c>
      <c r="D22" s="1" t="str">
        <f>IF(C22=0,UPPER(tblIndicators!O18),tblIndicators!O18)</f>
        <v>Secondary network</v>
      </c>
      <c r="E22" s="1" t="str">
        <f>IF($C22=1,tblIndicators!P18,"")</f>
        <v>km</v>
      </c>
      <c r="F22" s="1" t="str">
        <f>IF($C22=1,tblIndicators!Q18,"")</f>
        <v>Road transport</v>
      </c>
      <c r="G22" s="1">
        <f>IF($C22=1,tblIndicators!G18,"")</f>
        <v>0</v>
      </c>
      <c r="H22" s="1">
        <f t="shared" si="0"/>
        <v>341</v>
      </c>
      <c r="I22" s="1">
        <f t="shared" ca="1" si="1"/>
        <v>189073</v>
      </c>
      <c r="J22" s="22">
        <f t="shared" ca="1" si="3"/>
        <v>189073</v>
      </c>
      <c r="K22" s="1" t="str">
        <f t="shared" ca="1" si="4"/>
        <v>Data corresponds to year 2011.</v>
      </c>
      <c r="L22" s="1" t="str">
        <f t="shared" ca="1" si="5"/>
        <v>Dirección Nacional de Vialidad (DNV)</v>
      </c>
      <c r="AB22" s="22"/>
      <c r="AC22" s="22"/>
      <c r="AD22" s="22"/>
      <c r="AE22" s="22"/>
      <c r="AF22" s="22"/>
      <c r="AG22" s="22"/>
      <c r="AH22" s="22"/>
      <c r="AI22" s="22"/>
      <c r="AJ22" s="22"/>
      <c r="AK22" s="22"/>
      <c r="AL22" s="22"/>
      <c r="AP22" s="22"/>
      <c r="AQ22" s="22"/>
      <c r="AR22" s="22"/>
      <c r="AS22" s="22"/>
      <c r="AT22" s="22"/>
      <c r="AU22" s="22"/>
      <c r="AV22" s="22"/>
      <c r="AW22" s="22"/>
      <c r="AX22" s="22"/>
      <c r="AY22" s="22"/>
      <c r="AZ22" s="22"/>
    </row>
    <row r="23" spans="1:52" ht="10.15" x14ac:dyDescent="0.2">
      <c r="A23" s="1" t="str">
        <f>tblIndicators!B19</f>
        <v>ROAD05</v>
      </c>
      <c r="B23" s="1">
        <f>tblIndicators!D19</f>
        <v>1</v>
      </c>
      <c r="C23" s="1">
        <f>tblIndicators!E19</f>
        <v>1</v>
      </c>
      <c r="D23" s="1" t="str">
        <f>IF(C23=0,UPPER(tblIndicators!O19),tblIndicators!O19)</f>
        <v>Other networks</v>
      </c>
      <c r="E23" s="1" t="str">
        <f>IF($C23=1,tblIndicators!P19,"")</f>
        <v>km</v>
      </c>
      <c r="F23" s="1" t="str">
        <f>IF($C23=1,tblIndicators!Q19,"")</f>
        <v>Road transport</v>
      </c>
      <c r="G23" s="1">
        <f>IF($C23=1,tblIndicators!G19,"")</f>
        <v>0</v>
      </c>
      <c r="H23" s="1">
        <f t="shared" si="0"/>
        <v>361</v>
      </c>
      <c r="I23" s="1">
        <f t="shared" ca="1" si="1"/>
        <v>400000</v>
      </c>
      <c r="J23" s="22">
        <f t="shared" ca="1" si="3"/>
        <v>400000</v>
      </c>
      <c r="K23" s="1" t="str">
        <f t="shared" ca="1" si="4"/>
        <v>Data corresponds to year 2011.</v>
      </c>
      <c r="L23" s="1" t="str">
        <f t="shared" ca="1" si="5"/>
        <v>Dirección Nacional de Vialidad (DNV)</v>
      </c>
      <c r="AB23" s="22"/>
      <c r="AC23" s="22"/>
      <c r="AD23" s="22"/>
      <c r="AE23" s="22"/>
      <c r="AF23" s="22"/>
      <c r="AG23" s="22"/>
      <c r="AH23" s="22"/>
      <c r="AI23" s="22"/>
      <c r="AJ23" s="22"/>
      <c r="AK23" s="22"/>
      <c r="AL23" s="22"/>
      <c r="AP23" s="22"/>
      <c r="AQ23" s="22"/>
      <c r="AR23" s="22"/>
      <c r="AS23" s="22"/>
      <c r="AT23" s="22"/>
      <c r="AU23" s="22"/>
      <c r="AV23" s="22"/>
      <c r="AW23" s="22"/>
      <c r="AX23" s="22"/>
      <c r="AY23" s="22"/>
      <c r="AZ23" s="22"/>
    </row>
    <row r="24" spans="1:52" ht="10.15" x14ac:dyDescent="0.2">
      <c r="A24" s="1" t="str">
        <f>tblIndicators!B20</f>
        <v>ROAD06</v>
      </c>
      <c r="B24" s="1">
        <f>tblIndicators!D20</f>
        <v>1</v>
      </c>
      <c r="C24" s="1">
        <f>tblIndicators!E20</f>
        <v>1</v>
      </c>
      <c r="D24" s="1" t="str">
        <f>IF(C24=0,UPPER(tblIndicators!O20),tblIndicators!O20)</f>
        <v>Paved network</v>
      </c>
      <c r="E24" s="1" t="str">
        <f>IF($C24=1,tblIndicators!P20,"")</f>
        <v>% of total</v>
      </c>
      <c r="F24" s="1" t="str">
        <f>IF($C24=1,tblIndicators!Q20,"")</f>
        <v>Road transport</v>
      </c>
      <c r="G24" s="1">
        <f>IF($C24=1,tblIndicators!G20,"")</f>
        <v>1</v>
      </c>
      <c r="H24" s="1">
        <f t="shared" si="0"/>
        <v>383</v>
      </c>
      <c r="I24" s="1">
        <f t="shared" ca="1" si="1"/>
        <v>34.4</v>
      </c>
      <c r="J24" s="22">
        <f t="shared" ca="1" si="3"/>
        <v>34.4</v>
      </c>
      <c r="K24" s="1" t="str">
        <f t="shared" ca="1" si="4"/>
        <v>Data corresponds to year 2011. Data does not take into account "other networks".</v>
      </c>
      <c r="L24" s="1" t="str">
        <f t="shared" ca="1" si="5"/>
        <v>Banco Interamericano de Desarrollo</v>
      </c>
      <c r="AB24" s="22"/>
      <c r="AC24" s="22"/>
      <c r="AD24" s="22"/>
      <c r="AE24" s="22"/>
      <c r="AF24" s="22"/>
      <c r="AG24" s="22"/>
      <c r="AH24" s="22"/>
      <c r="AI24" s="22"/>
      <c r="AJ24" s="22"/>
      <c r="AK24" s="22"/>
      <c r="AL24" s="22"/>
      <c r="AP24" s="22"/>
      <c r="AQ24" s="22"/>
      <c r="AR24" s="22"/>
      <c r="AS24" s="22"/>
      <c r="AT24" s="22"/>
      <c r="AU24" s="22"/>
      <c r="AV24" s="22"/>
      <c r="AW24" s="22"/>
      <c r="AX24" s="22"/>
      <c r="AY24" s="22"/>
      <c r="AZ24" s="22"/>
    </row>
    <row r="25" spans="1:52" ht="10.15" x14ac:dyDescent="0.2">
      <c r="A25" s="1" t="str">
        <f>tblIndicators!B21</f>
        <v>ROAD07</v>
      </c>
      <c r="B25" s="1">
        <f>tblIndicators!D21</f>
        <v>1</v>
      </c>
      <c r="C25" s="1">
        <f>tblIndicators!E21</f>
        <v>1</v>
      </c>
      <c r="D25" s="1" t="str">
        <f>IF(C25=0,UPPER(tblIndicators!O21),tblIndicators!O21)</f>
        <v>Heavy vehicles</v>
      </c>
      <c r="E25" s="1" t="str">
        <f>IF($C25=1,tblIndicators!P21,"")</f>
        <v># vehicles</v>
      </c>
      <c r="F25" s="1" t="str">
        <f>IF($C25=1,tblIndicators!Q21,"")</f>
        <v>Road transport</v>
      </c>
      <c r="G25" s="1">
        <f>IF($C25=1,tblIndicators!G21,"")</f>
        <v>0</v>
      </c>
      <c r="H25" s="1">
        <f t="shared" si="0"/>
        <v>405</v>
      </c>
      <c r="I25" s="1">
        <f t="shared" ca="1" si="1"/>
        <v>593476</v>
      </c>
      <c r="J25" s="22">
        <f t="shared" ca="1" si="3"/>
        <v>593476</v>
      </c>
      <c r="K25" s="1" t="str">
        <f t="shared" ca="1" si="4"/>
        <v>Data collected annually. Trucks do not include semitrailers.</v>
      </c>
      <c r="L25" s="1" t="str">
        <f t="shared" ca="1" si="5"/>
        <v>Asociación de Fábricas de Automotores (ADEFA)</v>
      </c>
      <c r="AB25" s="22"/>
      <c r="AC25" s="22"/>
      <c r="AD25" s="22"/>
      <c r="AE25" s="22"/>
      <c r="AF25" s="22"/>
      <c r="AG25" s="22"/>
      <c r="AH25" s="22"/>
      <c r="AI25" s="22"/>
      <c r="AJ25" s="22"/>
      <c r="AK25" s="22"/>
      <c r="AL25" s="22"/>
      <c r="AP25" s="22"/>
      <c r="AQ25" s="22"/>
      <c r="AR25" s="22"/>
      <c r="AS25" s="22"/>
      <c r="AT25" s="22"/>
      <c r="AU25" s="22"/>
      <c r="AV25" s="22"/>
      <c r="AW25" s="22"/>
      <c r="AX25" s="22"/>
      <c r="AY25" s="22"/>
      <c r="AZ25" s="22"/>
    </row>
    <row r="26" spans="1:52" ht="10.15" x14ac:dyDescent="0.2">
      <c r="A26" s="1" t="str">
        <f>tblIndicators!B22</f>
        <v>ROAD08</v>
      </c>
      <c r="B26" s="1">
        <f>tblIndicators!D22</f>
        <v>1</v>
      </c>
      <c r="C26" s="1">
        <f>tblIndicators!E22</f>
        <v>1</v>
      </c>
      <c r="D26" s="1" t="str">
        <f>IF(C26=0,UPPER(tblIndicators!O22),tblIndicators!O22)</f>
        <v>Light trucks under 3.5 ton</v>
      </c>
      <c r="E26" s="1" t="str">
        <f>IF($C26=1,tblIndicators!P22,"")</f>
        <v># vehicles</v>
      </c>
      <c r="F26" s="1" t="str">
        <f>IF($C26=1,tblIndicators!Q22,"")</f>
        <v>Road transport</v>
      </c>
      <c r="G26" s="1">
        <f>IF($C26=1,tblIndicators!G22,"")</f>
        <v>0</v>
      </c>
      <c r="H26" s="1">
        <f t="shared" si="0"/>
        <v>428</v>
      </c>
      <c r="I26" s="1">
        <f t="shared" ca="1" si="1"/>
        <v>433237.48</v>
      </c>
      <c r="J26" s="22">
        <f t="shared" ca="1" si="3"/>
        <v>433237.48</v>
      </c>
      <c r="K26" s="1">
        <f t="shared" ca="1" si="4"/>
        <v>0</v>
      </c>
      <c r="L26" s="1" t="str">
        <f t="shared" ca="1" si="5"/>
        <v>Banco Interamericano de Desarrollo, estimación propia</v>
      </c>
      <c r="AB26" s="22"/>
      <c r="AC26" s="22"/>
      <c r="AD26" s="22"/>
      <c r="AE26" s="22"/>
      <c r="AF26" s="22"/>
      <c r="AG26" s="22"/>
      <c r="AH26" s="22"/>
      <c r="AI26" s="22"/>
      <c r="AJ26" s="22"/>
      <c r="AK26" s="22"/>
      <c r="AL26" s="22"/>
      <c r="AP26" s="22"/>
      <c r="AQ26" s="22"/>
      <c r="AR26" s="22"/>
      <c r="AS26" s="22"/>
      <c r="AT26" s="22"/>
      <c r="AU26" s="22"/>
      <c r="AV26" s="22"/>
      <c r="AW26" s="22"/>
      <c r="AX26" s="22"/>
      <c r="AY26" s="22"/>
      <c r="AZ26" s="22"/>
    </row>
    <row r="27" spans="1:52" ht="10.15" x14ac:dyDescent="0.2">
      <c r="A27" s="1" t="str">
        <f>tblIndicators!B23</f>
        <v>ROAD09</v>
      </c>
      <c r="B27" s="1">
        <f>tblIndicators!D23</f>
        <v>1</v>
      </c>
      <c r="C27" s="1">
        <f>tblIndicators!E23</f>
        <v>1</v>
      </c>
      <c r="D27" s="1" t="str">
        <f>IF(C27=0,UPPER(tblIndicators!O23),tblIndicators!O23)</f>
        <v>Heavy trucks over 3.5 ton</v>
      </c>
      <c r="E27" s="1" t="str">
        <f>IF($C27=1,tblIndicators!P23,"")</f>
        <v># vehicles</v>
      </c>
      <c r="F27" s="1" t="str">
        <f>IF($C27=1,tblIndicators!Q23,"")</f>
        <v>Road transport</v>
      </c>
      <c r="G27" s="1">
        <f>IF($C27=1,tblIndicators!G23,"")</f>
        <v>0</v>
      </c>
      <c r="H27" s="1">
        <f t="shared" si="0"/>
        <v>445</v>
      </c>
      <c r="I27" s="1">
        <f t="shared" ca="1" si="1"/>
        <v>160238.51999999999</v>
      </c>
      <c r="J27" s="22">
        <f t="shared" ca="1" si="3"/>
        <v>160238.51999999999</v>
      </c>
      <c r="K27" s="1">
        <f t="shared" ca="1" si="4"/>
        <v>0</v>
      </c>
      <c r="L27" s="1" t="str">
        <f t="shared" ca="1" si="5"/>
        <v>Banco Interamericano de Desarrollo, estimación propia</v>
      </c>
      <c r="AB27" s="22"/>
      <c r="AC27" s="22"/>
      <c r="AD27" s="22"/>
      <c r="AE27" s="22"/>
      <c r="AF27" s="22"/>
      <c r="AG27" s="22"/>
      <c r="AH27" s="22"/>
      <c r="AI27" s="22"/>
      <c r="AJ27" s="22"/>
      <c r="AK27" s="22"/>
      <c r="AL27" s="22"/>
      <c r="AP27" s="22"/>
      <c r="AQ27" s="22"/>
      <c r="AR27" s="22"/>
      <c r="AS27" s="22"/>
      <c r="AT27" s="22"/>
      <c r="AU27" s="22"/>
      <c r="AV27" s="22"/>
      <c r="AW27" s="22"/>
      <c r="AX27" s="22"/>
      <c r="AY27" s="22"/>
      <c r="AZ27" s="22"/>
    </row>
    <row r="28" spans="1:52" ht="10.15" x14ac:dyDescent="0.2">
      <c r="A28" s="1" t="str">
        <f>tblIndicators!B24</f>
        <v>ROAD11</v>
      </c>
      <c r="B28" s="1">
        <f>tblIndicators!D24</f>
        <v>1</v>
      </c>
      <c r="C28" s="1">
        <f>tblIndicators!E24</f>
        <v>1</v>
      </c>
      <c r="D28" s="1" t="str">
        <f>IF(C28=0,UPPER(tblIndicators!O24),tblIndicators!O24)</f>
        <v>Fleet average age</v>
      </c>
      <c r="E28" s="1" t="str">
        <f>IF($C28=1,tblIndicators!P24,"")</f>
        <v>years</v>
      </c>
      <c r="F28" s="1" t="str">
        <f>IF($C28=1,tblIndicators!Q24,"")</f>
        <v>Road transport</v>
      </c>
      <c r="G28" s="1">
        <f>IF($C28=1,tblIndicators!G24,"")</f>
        <v>1</v>
      </c>
      <c r="H28" s="1">
        <f t="shared" si="0"/>
        <v>462</v>
      </c>
      <c r="I28" s="1">
        <f t="shared" ca="1" si="1"/>
        <v>13.4</v>
      </c>
      <c r="J28" s="22">
        <f t="shared" ca="1" si="3"/>
        <v>13.4</v>
      </c>
      <c r="K28" s="1" t="str">
        <f t="shared" ca="1" si="4"/>
        <v>Data corresponds to year 2005.</v>
      </c>
      <c r="L28" s="1" t="str">
        <f t="shared" ca="1" si="5"/>
        <v>Univ. Tecnológica Nacional, Unidad C3T. 2005. El transporte automotor de cargas en la Argentina</v>
      </c>
      <c r="AB28" s="22"/>
      <c r="AC28" s="22"/>
      <c r="AD28" s="22"/>
      <c r="AE28" s="22"/>
      <c r="AF28" s="22"/>
      <c r="AG28" s="22"/>
      <c r="AH28" s="22"/>
      <c r="AI28" s="22"/>
      <c r="AJ28" s="22"/>
      <c r="AK28" s="22"/>
      <c r="AL28" s="22"/>
      <c r="AP28" s="22"/>
      <c r="AQ28" s="22"/>
      <c r="AR28" s="22"/>
      <c r="AS28" s="22"/>
      <c r="AT28" s="22"/>
      <c r="AU28" s="22"/>
      <c r="AV28" s="22"/>
      <c r="AW28" s="22"/>
      <c r="AX28" s="22"/>
      <c r="AY28" s="22"/>
      <c r="AZ28" s="22"/>
    </row>
    <row r="29" spans="1:52" ht="10.15" x14ac:dyDescent="0.2">
      <c r="A29" s="1" t="str">
        <f>tblIndicators!B25</f>
        <v>ROAD12</v>
      </c>
      <c r="B29" s="1">
        <f>tblIndicators!D25</f>
        <v>1</v>
      </c>
      <c r="C29" s="1">
        <f>tblIndicators!E25</f>
        <v>1</v>
      </c>
      <c r="D29" s="1" t="str">
        <f>IF(C29=0,UPPER(tblIndicators!O25),tblIndicators!O25)</f>
        <v>Number of trailers</v>
      </c>
      <c r="E29" s="1" t="str">
        <f>IF($C29=1,tblIndicators!P25,"")</f>
        <v>#</v>
      </c>
      <c r="F29" s="1" t="str">
        <f>IF($C29=1,tblIndicators!Q25,"")</f>
        <v>Road transport</v>
      </c>
      <c r="G29" s="1">
        <f>IF($C29=1,tblIndicators!G25,"")</f>
        <v>0</v>
      </c>
      <c r="H29" s="1">
        <f t="shared" si="0"/>
        <v>478</v>
      </c>
      <c r="I29" s="1">
        <f t="shared" ca="1" si="1"/>
        <v>62578</v>
      </c>
      <c r="J29" s="22">
        <f t="shared" ca="1" si="3"/>
        <v>62578</v>
      </c>
      <c r="K29" s="1" t="str">
        <f t="shared" ca="1" si="4"/>
        <v>Data corresponds to year 2005.</v>
      </c>
      <c r="L29" s="1" t="str">
        <f t="shared" ca="1" si="5"/>
        <v>Univ. Tecnológica Nacional, Unidad C3T. 2005. El transporte automotor de cargas en la Argentina</v>
      </c>
      <c r="AB29" s="22"/>
      <c r="AC29" s="22"/>
      <c r="AD29" s="22"/>
      <c r="AE29" s="22"/>
      <c r="AF29" s="22"/>
      <c r="AG29" s="22"/>
      <c r="AH29" s="22"/>
      <c r="AI29" s="22"/>
      <c r="AJ29" s="22"/>
      <c r="AK29" s="22"/>
      <c r="AL29" s="22"/>
      <c r="AP29" s="22"/>
      <c r="AQ29" s="22"/>
      <c r="AR29" s="22"/>
      <c r="AS29" s="22"/>
      <c r="AT29" s="22"/>
      <c r="AU29" s="22"/>
      <c r="AV29" s="22"/>
      <c r="AW29" s="22"/>
      <c r="AX29" s="22"/>
      <c r="AY29" s="22"/>
      <c r="AZ29" s="22"/>
    </row>
    <row r="30" spans="1:52" ht="10.15" x14ac:dyDescent="0.2">
      <c r="A30" s="1" t="str">
        <f>tblIndicators!B26</f>
        <v>ROAD14</v>
      </c>
      <c r="B30" s="1">
        <f>tblIndicators!D26</f>
        <v>1</v>
      </c>
      <c r="C30" s="1">
        <f>tblIndicators!E26</f>
        <v>1</v>
      </c>
      <c r="D30" s="1" t="str">
        <f>IF(C30=0,UPPER(tblIndicators!O26),tblIndicators!O26)</f>
        <v>Total vehicles</v>
      </c>
      <c r="E30" s="1" t="str">
        <f>IF($C30=1,tblIndicators!P26,"")</f>
        <v># vehicles</v>
      </c>
      <c r="F30" s="1" t="str">
        <f>IF($C30=1,tblIndicators!Q26,"")</f>
        <v>Road transport</v>
      </c>
      <c r="G30" s="1">
        <f>IF($C30=1,tblIndicators!G26,"")</f>
        <v>0</v>
      </c>
      <c r="H30" s="1">
        <f t="shared" si="0"/>
        <v>494</v>
      </c>
      <c r="I30" s="1">
        <f t="shared" ca="1" si="1"/>
        <v>11476548</v>
      </c>
      <c r="J30" s="22">
        <f t="shared" ca="1" si="3"/>
        <v>11476548</v>
      </c>
      <c r="K30" s="1">
        <f t="shared" ca="1" si="4"/>
        <v>0</v>
      </c>
      <c r="L30" s="1" t="str">
        <f t="shared" ca="1" si="5"/>
        <v>Asociación de Fábricas de Automotores (ADEFA)</v>
      </c>
      <c r="AB30" s="22"/>
      <c r="AC30" s="22"/>
      <c r="AD30" s="22"/>
      <c r="AE30" s="22"/>
      <c r="AF30" s="22"/>
      <c r="AG30" s="22"/>
      <c r="AH30" s="22"/>
      <c r="AI30" s="22"/>
      <c r="AJ30" s="22"/>
      <c r="AK30" s="22"/>
      <c r="AL30" s="22"/>
      <c r="AP30" s="22"/>
      <c r="AQ30" s="22"/>
      <c r="AR30" s="22"/>
      <c r="AS30" s="22"/>
      <c r="AT30" s="22"/>
      <c r="AU30" s="22"/>
      <c r="AV30" s="22"/>
      <c r="AW30" s="22"/>
      <c r="AX30" s="22"/>
      <c r="AY30" s="22"/>
      <c r="AZ30" s="22"/>
    </row>
    <row r="31" spans="1:52" ht="10.15" x14ac:dyDescent="0.2">
      <c r="A31" s="1" t="str">
        <f>tblIndicators!B27</f>
        <v>ROAD15</v>
      </c>
      <c r="B31" s="1">
        <f>tblIndicators!D27</f>
        <v>1</v>
      </c>
      <c r="C31" s="1">
        <f>tblIndicators!E27</f>
        <v>1</v>
      </c>
      <c r="D31" s="1" t="str">
        <f>IF(C31=0,UPPER(tblIndicators!O27),tblIndicators!O27)</f>
        <v>Number of motor carrier operators</v>
      </c>
      <c r="E31" s="1" t="str">
        <f>IF($C31=1,tblIndicators!P27,"")</f>
        <v># operators</v>
      </c>
      <c r="F31" s="1" t="str">
        <f>IF($C31=1,tblIndicators!Q27,"")</f>
        <v>Road transport</v>
      </c>
      <c r="G31" s="1">
        <f>IF($C31=1,tblIndicators!G27,"")</f>
        <v>0</v>
      </c>
      <c r="H31" s="1">
        <f t="shared" si="0"/>
        <v>518</v>
      </c>
      <c r="I31" s="1">
        <f t="shared" ca="1" si="1"/>
        <v>43963</v>
      </c>
      <c r="J31" s="22">
        <f t="shared" ca="1" si="3"/>
        <v>43963</v>
      </c>
      <c r="K31" s="1" t="str">
        <f t="shared" ca="1" si="4"/>
        <v>Data corresponds to year 2005.</v>
      </c>
      <c r="L31" s="1" t="str">
        <f t="shared" ca="1" si="5"/>
        <v>Asociación de Fábricas de Automotores (ADEFA)</v>
      </c>
      <c r="AB31" s="22"/>
      <c r="AC31" s="22"/>
      <c r="AD31" s="22"/>
      <c r="AE31" s="22"/>
      <c r="AF31" s="22"/>
      <c r="AG31" s="22"/>
      <c r="AH31" s="22"/>
      <c r="AI31" s="22"/>
      <c r="AJ31" s="22"/>
      <c r="AK31" s="22"/>
      <c r="AL31" s="22"/>
      <c r="AP31" s="22"/>
      <c r="AQ31" s="22"/>
      <c r="AR31" s="22"/>
      <c r="AS31" s="22"/>
      <c r="AT31" s="22"/>
      <c r="AU31" s="22"/>
      <c r="AV31" s="22"/>
      <c r="AW31" s="22"/>
      <c r="AX31" s="22"/>
      <c r="AY31" s="22"/>
      <c r="AZ31" s="22"/>
    </row>
    <row r="32" spans="1:52" ht="10.15" x14ac:dyDescent="0.2">
      <c r="A32" s="1" t="str">
        <f>tblIndicators!B28</f>
        <v>ROAD16</v>
      </c>
      <c r="B32" s="1">
        <f>tblIndicators!D28</f>
        <v>1</v>
      </c>
      <c r="C32" s="1">
        <f>tblIndicators!E28</f>
        <v>1</v>
      </c>
      <c r="D32" s="1" t="str">
        <f>IF(C32=0,UPPER(tblIndicators!O28),tblIndicators!O28)</f>
        <v>Motor carrier operators with 1-2 units</v>
      </c>
      <c r="E32" s="1" t="str">
        <f>IF($C32=1,tblIndicators!P28,"")</f>
        <v># operators</v>
      </c>
      <c r="F32" s="1" t="str">
        <f>IF($C32=1,tblIndicators!Q28,"")</f>
        <v>Road transport</v>
      </c>
      <c r="G32" s="1">
        <f>IF($C32=1,tblIndicators!G28,"")</f>
        <v>0</v>
      </c>
      <c r="H32" s="1">
        <f t="shared" si="0"/>
        <v>533</v>
      </c>
      <c r="I32" s="1">
        <f t="shared" ca="1" si="1"/>
        <v>37963</v>
      </c>
      <c r="J32" s="22">
        <f t="shared" ca="1" si="3"/>
        <v>37963</v>
      </c>
      <c r="K32" s="1">
        <f t="shared" ca="1" si="4"/>
        <v>0</v>
      </c>
      <c r="L32" s="1" t="str">
        <f t="shared" ca="1" si="5"/>
        <v>Asociación de Fábricas de Automotores (ADEFA)</v>
      </c>
      <c r="AB32" s="22"/>
      <c r="AC32" s="22"/>
      <c r="AD32" s="22"/>
      <c r="AE32" s="22"/>
      <c r="AF32" s="22"/>
      <c r="AG32" s="22"/>
      <c r="AH32" s="22"/>
      <c r="AI32" s="22"/>
      <c r="AJ32" s="22"/>
      <c r="AK32" s="22"/>
      <c r="AL32" s="22"/>
      <c r="AP32" s="22"/>
      <c r="AQ32" s="22"/>
      <c r="AR32" s="22"/>
      <c r="AS32" s="22"/>
      <c r="AT32" s="22"/>
      <c r="AU32" s="22"/>
      <c r="AV32" s="22"/>
      <c r="AW32" s="22"/>
      <c r="AX32" s="22"/>
      <c r="AY32" s="22"/>
      <c r="AZ32" s="22"/>
    </row>
    <row r="33" spans="1:52" ht="10.15" x14ac:dyDescent="0.2">
      <c r="A33" s="1" t="str">
        <f>tblIndicators!B29</f>
        <v>ROAD17</v>
      </c>
      <c r="B33" s="1">
        <f>tblIndicators!D29</f>
        <v>1</v>
      </c>
      <c r="C33" s="1">
        <f>tblIndicators!E29</f>
        <v>1</v>
      </c>
      <c r="D33" s="1" t="str">
        <f>IF(C33=0,UPPER(tblIndicators!O29),tblIndicators!O29)</f>
        <v>Average number of vehicles per operator</v>
      </c>
      <c r="E33" s="1" t="str">
        <f>IF($C33=1,tblIndicators!P29,"")</f>
        <v># vehicles</v>
      </c>
      <c r="F33" s="1" t="str">
        <f>IF($C33=1,tblIndicators!Q29,"")</f>
        <v>Road transport</v>
      </c>
      <c r="G33" s="1">
        <f>IF($C33=1,tblIndicators!G29,"")</f>
        <v>1</v>
      </c>
      <c r="H33" s="1">
        <f t="shared" si="0"/>
        <v>537</v>
      </c>
      <c r="I33" s="1">
        <f t="shared" ca="1" si="1"/>
        <v>6.2</v>
      </c>
      <c r="J33" s="22">
        <f t="shared" ca="1" si="3"/>
        <v>6.2</v>
      </c>
      <c r="K33" s="1" t="str">
        <f t="shared" ca="1" si="4"/>
        <v>Data corresponds to year 2005.</v>
      </c>
      <c r="L33" s="1" t="str">
        <f t="shared" ca="1" si="5"/>
        <v>Asociación de Fábricas de Automotores (ADEFA)</v>
      </c>
      <c r="AB33" s="22"/>
      <c r="AC33" s="22"/>
      <c r="AD33" s="22"/>
      <c r="AE33" s="22"/>
      <c r="AF33" s="22"/>
      <c r="AG33" s="22"/>
      <c r="AH33" s="22"/>
      <c r="AI33" s="22"/>
      <c r="AJ33" s="22"/>
      <c r="AK33" s="22"/>
      <c r="AL33" s="22"/>
      <c r="AP33" s="22"/>
      <c r="AQ33" s="22"/>
      <c r="AR33" s="22"/>
      <c r="AS33" s="22"/>
      <c r="AT33" s="22"/>
      <c r="AU33" s="22"/>
      <c r="AV33" s="22"/>
      <c r="AW33" s="22"/>
      <c r="AX33" s="22"/>
      <c r="AY33" s="22"/>
      <c r="AZ33" s="22"/>
    </row>
    <row r="34" spans="1:52" ht="10.15" x14ac:dyDescent="0.2">
      <c r="A34" s="1" t="str">
        <f>tblIndicators!B30</f>
        <v>ROAD18</v>
      </c>
      <c r="B34" s="1">
        <f>tblIndicators!D30</f>
        <v>1</v>
      </c>
      <c r="C34" s="1">
        <f>tblIndicators!E30</f>
        <v>1</v>
      </c>
      <c r="D34" s="1" t="str">
        <f>IF(C34=0,UPPER(tblIndicators!O30),tblIndicators!O30)</f>
        <v>Direct employment surface transportation</v>
      </c>
      <c r="E34" s="1" t="str">
        <f>IF($C34=1,tblIndicators!P30,"")</f>
        <v># of employees</v>
      </c>
      <c r="F34" s="1" t="str">
        <f>IF($C34=1,tblIndicators!Q30,"")</f>
        <v>Road transport</v>
      </c>
      <c r="G34" s="1">
        <f>IF($C34=1,tblIndicators!G30,"")</f>
        <v>0</v>
      </c>
      <c r="H34" s="1">
        <f t="shared" si="0"/>
        <v>551</v>
      </c>
      <c r="I34" s="1">
        <f t="shared" ca="1" si="1"/>
        <v>500000</v>
      </c>
      <c r="J34" s="22">
        <f t="shared" ca="1" si="3"/>
        <v>500000</v>
      </c>
      <c r="K34" s="1">
        <f t="shared" ca="1" si="4"/>
        <v>0</v>
      </c>
      <c r="L34" s="1" t="str">
        <f t="shared" ca="1" si="5"/>
        <v>Univ. Tecnológica Nacional, Unidad C3T. 2005. El transporte automotor de cargas en la Argentina</v>
      </c>
      <c r="AB34" s="22"/>
      <c r="AC34" s="22"/>
      <c r="AD34" s="22"/>
      <c r="AE34" s="22"/>
      <c r="AF34" s="22"/>
      <c r="AG34" s="22"/>
      <c r="AH34" s="22"/>
      <c r="AI34" s="22"/>
      <c r="AJ34" s="22"/>
      <c r="AK34" s="22"/>
      <c r="AL34" s="22"/>
      <c r="AP34" s="22"/>
      <c r="AQ34" s="22"/>
      <c r="AR34" s="22"/>
      <c r="AS34" s="22"/>
      <c r="AT34" s="22"/>
      <c r="AU34" s="22"/>
      <c r="AV34" s="22"/>
      <c r="AW34" s="22"/>
      <c r="AX34" s="22"/>
      <c r="AY34" s="22"/>
      <c r="AZ34" s="22"/>
    </row>
    <row r="35" spans="1:52" ht="10.15" x14ac:dyDescent="0.2">
      <c r="A35" s="1" t="str">
        <f>tblIndicators!B31</f>
        <v>ROAD19</v>
      </c>
      <c r="B35" s="1">
        <f>tblIndicators!D31</f>
        <v>1</v>
      </c>
      <c r="C35" s="1">
        <f>tblIndicators!E31</f>
        <v>1</v>
      </c>
      <c r="D35" s="1" t="str">
        <f>IF(C35=0,UPPER(tblIndicators!O31),tblIndicators!O31)</f>
        <v>Annual diesel oil consumption</v>
      </c>
      <c r="E35" s="1" t="str">
        <f>IF($C35=1,tblIndicators!P31,"")</f>
        <v>thousands of barrels</v>
      </c>
      <c r="F35" s="1" t="str">
        <f>IF($C35=1,tblIndicators!Q31,"")</f>
        <v>Road transport</v>
      </c>
      <c r="G35" s="1">
        <f>IF($C35=1,tblIndicators!G31,"")</f>
        <v>0</v>
      </c>
      <c r="H35" s="1">
        <f t="shared" si="0"/>
        <v>561</v>
      </c>
      <c r="I35" s="1">
        <f t="shared" ca="1" si="1"/>
        <v>70979.64</v>
      </c>
      <c r="J35" s="22">
        <f t="shared" ca="1" si="3"/>
        <v>70979.64</v>
      </c>
      <c r="K35" s="1">
        <f t="shared" ca="1" si="4"/>
        <v>0</v>
      </c>
      <c r="L35" s="1" t="str">
        <f t="shared" ca="1" si="5"/>
        <v>Organización Latinoamericana de Energía (OLADE)</v>
      </c>
      <c r="AB35" s="22"/>
      <c r="AC35" s="22"/>
      <c r="AD35" s="22"/>
      <c r="AE35" s="22"/>
      <c r="AF35" s="22"/>
      <c r="AG35" s="22"/>
      <c r="AH35" s="22"/>
      <c r="AI35" s="22"/>
      <c r="AJ35" s="22"/>
      <c r="AK35" s="22"/>
      <c r="AL35" s="22"/>
      <c r="AP35" s="22"/>
      <c r="AQ35" s="22"/>
      <c r="AR35" s="22"/>
      <c r="AS35" s="22"/>
      <c r="AT35" s="22"/>
      <c r="AU35" s="22"/>
      <c r="AV35" s="22"/>
      <c r="AW35" s="22"/>
      <c r="AX35" s="22"/>
      <c r="AY35" s="22"/>
      <c r="AZ35" s="22"/>
    </row>
    <row r="36" spans="1:52" ht="10.15" x14ac:dyDescent="0.2">
      <c r="A36" s="1" t="str">
        <f>tblIndicators!B32</f>
        <v>ROAD20</v>
      </c>
      <c r="B36" s="1">
        <f>tblIndicators!D32</f>
        <v>1</v>
      </c>
      <c r="C36" s="1">
        <f>tblIndicators!E32</f>
        <v>1</v>
      </c>
      <c r="D36" s="1" t="str">
        <f>IF(C36=0,UPPER(tblIndicators!O32),tblIndicators!O32)</f>
        <v>Annual gasoline comsumption</v>
      </c>
      <c r="E36" s="1" t="str">
        <f>IF($C36=1,tblIndicators!P32,"")</f>
        <v>thousands of barrels</v>
      </c>
      <c r="F36" s="1" t="str">
        <f>IF($C36=1,tblIndicators!Q32,"")</f>
        <v>Road transport</v>
      </c>
      <c r="G36" s="1">
        <f>IF($C36=1,tblIndicators!G32,"")</f>
        <v>0</v>
      </c>
      <c r="H36" s="1">
        <f t="shared" si="0"/>
        <v>587</v>
      </c>
      <c r="I36" s="1">
        <f t="shared" ca="1" si="1"/>
        <v>38533.370000000003</v>
      </c>
      <c r="J36" s="22">
        <f t="shared" ca="1" si="3"/>
        <v>38533.370000000003</v>
      </c>
      <c r="K36" s="1">
        <f t="shared" ca="1" si="4"/>
        <v>0</v>
      </c>
      <c r="L36" s="1" t="str">
        <f t="shared" ca="1" si="5"/>
        <v>Organización Latinoamericana de Energía (OLADE)</v>
      </c>
      <c r="AB36" s="22"/>
      <c r="AC36" s="22"/>
      <c r="AD36" s="22"/>
      <c r="AE36" s="22"/>
      <c r="AF36" s="22"/>
      <c r="AG36" s="22"/>
      <c r="AH36" s="22"/>
      <c r="AI36" s="22"/>
      <c r="AJ36" s="22"/>
      <c r="AK36" s="22"/>
      <c r="AL36" s="22"/>
      <c r="AP36" s="22"/>
      <c r="AQ36" s="22"/>
      <c r="AR36" s="22"/>
      <c r="AS36" s="22"/>
      <c r="AT36" s="22"/>
      <c r="AU36" s="22"/>
      <c r="AV36" s="22"/>
      <c r="AW36" s="22"/>
      <c r="AX36" s="22"/>
      <c r="AY36" s="22"/>
      <c r="AZ36" s="22"/>
    </row>
    <row r="37" spans="1:52" ht="10.15" x14ac:dyDescent="0.2">
      <c r="A37" s="1" t="str">
        <f>tblIndicators!B33</f>
        <v>ROAD21</v>
      </c>
      <c r="B37" s="1">
        <f>tblIndicators!D33</f>
        <v>1</v>
      </c>
      <c r="C37" s="1">
        <f>tblIndicators!E33</f>
        <v>1</v>
      </c>
      <c r="D37" s="1" t="str">
        <f>IF(C37=0,UPPER(tblIndicators!O33),tblIndicators!O33)</f>
        <v>Retail price diesel oil</v>
      </c>
      <c r="E37" s="1" t="str">
        <f>IF($C37=1,tblIndicators!P33,"")</f>
        <v>US$/liter</v>
      </c>
      <c r="F37" s="1" t="str">
        <f>IF($C37=1,tblIndicators!Q33,"")</f>
        <v>Road transport</v>
      </c>
      <c r="G37" s="1">
        <f>IF($C37=1,tblIndicators!G33,"")</f>
        <v>2</v>
      </c>
      <c r="H37" s="1">
        <f t="shared" si="0"/>
        <v>613</v>
      </c>
      <c r="I37" s="1">
        <f t="shared" ca="1" si="1"/>
        <v>1.2584342111729701</v>
      </c>
      <c r="J37" s="22">
        <f t="shared" ca="1" si="3"/>
        <v>1.2584342111729701</v>
      </c>
      <c r="K37" s="1" t="str">
        <f t="shared" ca="1" si="4"/>
        <v>Based on data extrapolation from years 2008-2011. Annual frequency.</v>
      </c>
      <c r="L37" s="1" t="str">
        <f t="shared" ca="1" si="5"/>
        <v>Comisión Económica para América Latina y el Caribe (CEPAL)</v>
      </c>
      <c r="AB37" s="22"/>
      <c r="AC37" s="22"/>
      <c r="AD37" s="22"/>
      <c r="AE37" s="22"/>
      <c r="AF37" s="22"/>
      <c r="AG37" s="22"/>
      <c r="AH37" s="22"/>
      <c r="AI37" s="22"/>
      <c r="AJ37" s="22"/>
      <c r="AK37" s="22"/>
      <c r="AL37" s="22"/>
      <c r="AP37" s="22"/>
      <c r="AQ37" s="22"/>
      <c r="AR37" s="22"/>
      <c r="AS37" s="22"/>
      <c r="AT37" s="22"/>
      <c r="AU37" s="22"/>
      <c r="AV37" s="22"/>
      <c r="AW37" s="22"/>
      <c r="AX37" s="22"/>
      <c r="AY37" s="22"/>
      <c r="AZ37" s="22"/>
    </row>
    <row r="38" spans="1:52" x14ac:dyDescent="0.2">
      <c r="A38" s="1" t="str">
        <f>tblIndicators!B34</f>
        <v>ROAD22</v>
      </c>
      <c r="B38" s="1">
        <f>tblIndicators!D34</f>
        <v>1</v>
      </c>
      <c r="C38" s="1">
        <f>tblIndicators!E34</f>
        <v>1</v>
      </c>
      <c r="D38" s="1" t="str">
        <f>IF(C38=0,UPPER(tblIndicators!O34),tblIndicators!O34)</f>
        <v>Retail price gasoline</v>
      </c>
      <c r="E38" s="1" t="str">
        <f>IF($C38=1,tblIndicators!P34,"")</f>
        <v>US$/liter</v>
      </c>
      <c r="F38" s="1" t="str">
        <f>IF($C38=1,tblIndicators!Q34,"")</f>
        <v>Road transport</v>
      </c>
      <c r="G38" s="1">
        <f>IF($C38=1,tblIndicators!G34,"")</f>
        <v>2</v>
      </c>
      <c r="H38" s="1">
        <f t="shared" si="0"/>
        <v>638</v>
      </c>
      <c r="I38" s="1">
        <f t="shared" ca="1" si="1"/>
        <v>1.4601380499469501</v>
      </c>
      <c r="J38" s="22">
        <f t="shared" ca="1" si="3"/>
        <v>1.4601380499469501</v>
      </c>
      <c r="K38" s="1">
        <f t="shared" ca="1" si="4"/>
        <v>0</v>
      </c>
      <c r="L38" s="1" t="str">
        <f t="shared" ca="1" si="5"/>
        <v>Comisión Económica para América Latina y el Caribe (CEPAL)</v>
      </c>
      <c r="AB38" s="22"/>
      <c r="AC38" s="22"/>
      <c r="AD38" s="22"/>
      <c r="AE38" s="22"/>
      <c r="AF38" s="22"/>
      <c r="AG38" s="22"/>
      <c r="AH38" s="22"/>
      <c r="AI38" s="22"/>
      <c r="AJ38" s="22"/>
      <c r="AK38" s="22"/>
      <c r="AL38" s="22"/>
      <c r="AP38" s="22"/>
      <c r="AQ38" s="22"/>
      <c r="AR38" s="22"/>
      <c r="AS38" s="22"/>
      <c r="AT38" s="22"/>
      <c r="AU38" s="22"/>
      <c r="AV38" s="22"/>
      <c r="AW38" s="22"/>
      <c r="AX38" s="22"/>
      <c r="AY38" s="22"/>
      <c r="AZ38" s="22"/>
    </row>
    <row r="39" spans="1:52" x14ac:dyDescent="0.2">
      <c r="A39" s="1" t="str">
        <f>tblIndicators!B35</f>
        <v>ROAD23</v>
      </c>
      <c r="B39" s="1">
        <f>tblIndicators!D35</f>
        <v>1</v>
      </c>
      <c r="C39" s="1">
        <f>tblIndicators!E35</f>
        <v>1</v>
      </c>
      <c r="D39" s="1" t="str">
        <f>IF(C39=0,UPPER(tblIndicators!O35),tblIndicators!O35)</f>
        <v>Estimated CO2 emissions road transport</v>
      </c>
      <c r="E39" s="1" t="str">
        <f>IF($C39=1,tblIndicators!P35,"")</f>
        <v>tons</v>
      </c>
      <c r="F39" s="1" t="str">
        <f>IF($C39=1,tblIndicators!Q35,"")</f>
        <v>Road transport</v>
      </c>
      <c r="G39" s="1">
        <f>IF($C39=1,tblIndicators!G35,"")</f>
        <v>1</v>
      </c>
      <c r="H39" s="1">
        <f t="shared" si="0"/>
        <v>663</v>
      </c>
      <c r="I39" s="1">
        <f t="shared" ca="1" si="1"/>
        <v>51157190</v>
      </c>
      <c r="J39" s="22">
        <f t="shared" ca="1" si="3"/>
        <v>51157190</v>
      </c>
      <c r="K39" s="1" t="str">
        <f t="shared" ref="K39:K70" ca="1" si="6">IF(OR($C39=0,NOT(ISNUMBER(H39))),"",INDEX(OFFSET(lu_DataCode,0,$K$3),$H39))</f>
        <v>Based on data extrapolation from years 2008-2011. Data collected annually.</v>
      </c>
      <c r="L39" s="1" t="str">
        <f t="shared" ref="L39:L70" ca="1" si="7">IF(OR($C39=0,NOT(ISNUMBER(H39))),"",INDEX(OFFSET(lu_DataCode,0,5),$H39))</f>
        <v>Organización Latinoamericana de Energía (OLADE)</v>
      </c>
      <c r="AB39" s="22"/>
      <c r="AC39" s="22"/>
      <c r="AD39" s="22"/>
      <c r="AE39" s="22"/>
      <c r="AF39" s="22"/>
      <c r="AG39" s="22"/>
      <c r="AH39" s="22"/>
      <c r="AI39" s="22"/>
      <c r="AJ39" s="22"/>
      <c r="AK39" s="22"/>
      <c r="AL39" s="22"/>
      <c r="AP39" s="22"/>
      <c r="AQ39" s="22"/>
      <c r="AR39" s="22"/>
      <c r="AS39" s="22"/>
      <c r="AT39" s="22"/>
      <c r="AU39" s="22"/>
      <c r="AV39" s="22"/>
      <c r="AW39" s="22"/>
      <c r="AX39" s="22"/>
      <c r="AY39" s="22"/>
      <c r="AZ39" s="22"/>
    </row>
    <row r="40" spans="1:52" x14ac:dyDescent="0.2">
      <c r="A40" s="1" t="str">
        <f>tblIndicators!B36</f>
        <v>ROAD24</v>
      </c>
      <c r="B40" s="1">
        <f>tblIndicators!D36</f>
        <v>1</v>
      </c>
      <c r="C40" s="1">
        <f>tblIndicators!E36</f>
        <v>1</v>
      </c>
      <c r="D40" s="1" t="str">
        <f>IF(C40=0,UPPER(tblIndicators!O36),tblIndicators!O36)</f>
        <v>Domestic road freight productivity</v>
      </c>
      <c r="E40" s="1" t="str">
        <f>IF($C40=1,tblIndicators!P36,"")</f>
        <v>million t-km</v>
      </c>
      <c r="F40" s="1" t="str">
        <f>IF($C40=1,tblIndicators!Q36,"")</f>
        <v>Road transport</v>
      </c>
      <c r="G40" s="1">
        <f>IF($C40=1,tblIndicators!G36,"")</f>
        <v>0</v>
      </c>
      <c r="H40" s="1">
        <f t="shared" si="0"/>
        <v>689</v>
      </c>
      <c r="I40" s="1">
        <f t="shared" ca="1" si="1"/>
        <v>335105</v>
      </c>
      <c r="J40" s="22">
        <f t="shared" ca="1" si="3"/>
        <v>335105</v>
      </c>
      <c r="K40" s="1">
        <f t="shared" ca="1" si="6"/>
        <v>0</v>
      </c>
      <c r="L40" s="1" t="str">
        <f t="shared" ca="1" si="7"/>
        <v>Banco Interamericano de Desarrollo</v>
      </c>
      <c r="AB40" s="22"/>
      <c r="AC40" s="22"/>
      <c r="AD40" s="22"/>
      <c r="AE40" s="22"/>
      <c r="AF40" s="22"/>
      <c r="AG40" s="22"/>
      <c r="AH40" s="22"/>
      <c r="AI40" s="22"/>
      <c r="AJ40" s="22"/>
      <c r="AK40" s="22"/>
      <c r="AL40" s="22"/>
      <c r="AP40" s="22"/>
      <c r="AQ40" s="22"/>
      <c r="AR40" s="22"/>
      <c r="AS40" s="22"/>
      <c r="AT40" s="22"/>
      <c r="AU40" s="22"/>
      <c r="AV40" s="22"/>
      <c r="AW40" s="22"/>
      <c r="AX40" s="22"/>
      <c r="AY40" s="22"/>
      <c r="AZ40" s="22"/>
    </row>
    <row r="41" spans="1:52" x14ac:dyDescent="0.2">
      <c r="A41" s="1" t="str">
        <f>tblIndicators!B37</f>
        <v>ROAD25</v>
      </c>
      <c r="B41" s="1">
        <f>tblIndicators!D37</f>
        <v>1</v>
      </c>
      <c r="C41" s="1">
        <f>tblIndicators!E37</f>
        <v>1</v>
      </c>
      <c r="D41" s="1" t="str">
        <f>IF(C41=0,UPPER(tblIndicators!O37),tblIndicators!O37)</f>
        <v>Domestic road freight carried</v>
      </c>
      <c r="E41" s="1" t="str">
        <f>IF($C41=1,tblIndicators!P37,"")</f>
        <v>tons</v>
      </c>
      <c r="F41" s="1" t="str">
        <f>IF($C41=1,tblIndicators!Q37,"")</f>
        <v>Road transport</v>
      </c>
      <c r="G41" s="1">
        <f>IF($C41=1,tblIndicators!G37,"")</f>
        <v>0</v>
      </c>
      <c r="H41" s="1">
        <f t="shared" si="0"/>
        <v>702</v>
      </c>
      <c r="I41" s="1">
        <f t="shared" ca="1" si="1"/>
        <v>670211000</v>
      </c>
      <c r="J41" s="22">
        <f t="shared" ca="1" si="3"/>
        <v>670211000</v>
      </c>
      <c r="K41" s="1">
        <f t="shared" ca="1" si="6"/>
        <v>0</v>
      </c>
      <c r="L41" s="1" t="str">
        <f t="shared" ca="1" si="7"/>
        <v>Banco Interamericano de Desarrollo</v>
      </c>
      <c r="AB41" s="22"/>
      <c r="AC41" s="22"/>
      <c r="AD41" s="22"/>
      <c r="AE41" s="22"/>
      <c r="AF41" s="22"/>
      <c r="AG41" s="22"/>
      <c r="AH41" s="22"/>
      <c r="AI41" s="22"/>
      <c r="AJ41" s="22"/>
      <c r="AK41" s="22"/>
      <c r="AL41" s="22"/>
      <c r="AP41" s="22"/>
      <c r="AQ41" s="22"/>
      <c r="AR41" s="22"/>
      <c r="AS41" s="22"/>
      <c r="AT41" s="22"/>
      <c r="AU41" s="22"/>
      <c r="AV41" s="22"/>
      <c r="AW41" s="22"/>
      <c r="AX41" s="22"/>
      <c r="AY41" s="22"/>
      <c r="AZ41" s="22"/>
    </row>
    <row r="42" spans="1:52" x14ac:dyDescent="0.2">
      <c r="A42" s="1" t="str">
        <f>tblIndicators!B38</f>
        <v>ROAD26</v>
      </c>
      <c r="B42" s="1">
        <f>tblIndicators!D38</f>
        <v>1</v>
      </c>
      <c r="C42" s="1">
        <f>tblIndicators!E38</f>
        <v>1</v>
      </c>
      <c r="D42" s="1" t="str">
        <f>IF(C42=0,UPPER(tblIndicators!O38),tblIndicators!O38)</f>
        <v>Median distance</v>
      </c>
      <c r="E42" s="1" t="str">
        <f>IF($C42=1,tblIndicators!P38,"")</f>
        <v>km</v>
      </c>
      <c r="F42" s="1" t="str">
        <f>IF($C42=1,tblIndicators!Q38,"")</f>
        <v>Road transport</v>
      </c>
      <c r="G42" s="1">
        <f>IF($C42=1,tblIndicators!G38,"")</f>
        <v>1</v>
      </c>
      <c r="H42" s="1">
        <f t="shared" si="0"/>
        <v>716</v>
      </c>
      <c r="I42" s="1">
        <f t="shared" ca="1" si="1"/>
        <v>500</v>
      </c>
      <c r="J42" s="22">
        <f t="shared" ca="1" si="3"/>
        <v>500</v>
      </c>
      <c r="K42" s="1">
        <f t="shared" ca="1" si="6"/>
        <v>0</v>
      </c>
      <c r="L42" s="1" t="str">
        <f t="shared" ca="1" si="7"/>
        <v>Banco Interamericano de Desarrollo, encuestas a firmas</v>
      </c>
      <c r="AB42" s="22"/>
      <c r="AC42" s="22"/>
      <c r="AD42" s="22"/>
      <c r="AE42" s="22"/>
      <c r="AF42" s="22"/>
      <c r="AG42" s="22"/>
      <c r="AH42" s="22"/>
      <c r="AI42" s="22"/>
      <c r="AJ42" s="22"/>
      <c r="AK42" s="22"/>
      <c r="AL42" s="22"/>
      <c r="AP42" s="22"/>
      <c r="AQ42" s="22"/>
      <c r="AR42" s="22"/>
      <c r="AS42" s="22"/>
      <c r="AT42" s="22"/>
      <c r="AU42" s="22"/>
      <c r="AV42" s="22"/>
      <c r="AW42" s="22"/>
      <c r="AX42" s="22"/>
      <c r="AY42" s="22"/>
      <c r="AZ42" s="22"/>
    </row>
    <row r="43" spans="1:52" x14ac:dyDescent="0.2">
      <c r="A43" s="1" t="str">
        <f>tblIndicators!B39</f>
        <v>ROAD27</v>
      </c>
      <c r="B43" s="1">
        <f>tblIndicators!D39</f>
        <v>1</v>
      </c>
      <c r="C43" s="1">
        <f>tblIndicators!E39</f>
        <v>1</v>
      </c>
      <c r="D43" s="1" t="str">
        <f>IF(C43=0,UPPER(tblIndicators!O39),tblIndicators!O39)</f>
        <v>Freight vehicle traffic -productivity</v>
      </c>
      <c r="E43" s="1" t="str">
        <f>IF($C43=1,tblIndicators!P39,"")</f>
        <v>vehic·km</v>
      </c>
      <c r="F43" s="1" t="str">
        <f>IF($C43=1,tblIndicators!Q39,"")</f>
        <v>Road transport</v>
      </c>
      <c r="G43" s="1">
        <f>IF($C43=1,tblIndicators!G39,"")</f>
        <v>0</v>
      </c>
      <c r="H43" s="1" t="e">
        <f t="shared" si="0"/>
        <v>#N/A</v>
      </c>
      <c r="I43" s="1" t="e">
        <f t="shared" ca="1" si="1"/>
        <v>#N/A</v>
      </c>
      <c r="J43" s="22" t="str">
        <f t="shared" ca="1" si="3"/>
        <v>-</v>
      </c>
      <c r="K43" s="1" t="str">
        <f t="shared" ca="1" si="6"/>
        <v/>
      </c>
      <c r="L43" s="1" t="str">
        <f t="shared" ca="1" si="7"/>
        <v/>
      </c>
      <c r="AB43" s="22"/>
      <c r="AC43" s="22"/>
      <c r="AD43" s="22"/>
      <c r="AE43" s="22"/>
      <c r="AF43" s="22"/>
      <c r="AG43" s="22"/>
      <c r="AH43" s="22"/>
      <c r="AI43" s="22"/>
      <c r="AJ43" s="22"/>
      <c r="AK43" s="22"/>
      <c r="AL43" s="22"/>
      <c r="AP43" s="22"/>
      <c r="AQ43" s="22"/>
      <c r="AR43" s="22"/>
      <c r="AS43" s="22"/>
      <c r="AT43" s="22"/>
      <c r="AU43" s="22"/>
      <c r="AV43" s="22"/>
      <c r="AW43" s="22"/>
      <c r="AX43" s="22"/>
      <c r="AY43" s="22"/>
      <c r="AZ43" s="22"/>
    </row>
    <row r="44" spans="1:52" x14ac:dyDescent="0.2">
      <c r="A44" s="1" t="str">
        <f>tblIndicators!B40</f>
        <v>ROAD29</v>
      </c>
      <c r="B44" s="1">
        <f>tblIndicators!D40</f>
        <v>1</v>
      </c>
      <c r="C44" s="1">
        <f>tblIndicators!E40</f>
        <v>1</v>
      </c>
      <c r="D44" s="1" t="str">
        <f>IF(C44=0,UPPER(tblIndicators!O40),tblIndicators!O40)</f>
        <v>Annual average distance per vehicle</v>
      </c>
      <c r="E44" s="1" t="str">
        <f>IF($C44=1,tblIndicators!P40,"")</f>
        <v>km/year</v>
      </c>
      <c r="F44" s="1" t="str">
        <f>IF($C44=1,tblIndicators!Q40,"")</f>
        <v>Road transport</v>
      </c>
      <c r="G44" s="1">
        <f>IF($C44=1,tblIndicators!G40,"")</f>
        <v>0</v>
      </c>
      <c r="H44" s="1">
        <f t="shared" si="0"/>
        <v>742</v>
      </c>
      <c r="I44" s="1">
        <f t="shared" ca="1" si="1"/>
        <v>116000</v>
      </c>
      <c r="J44" s="22">
        <f t="shared" ca="1" si="3"/>
        <v>116000</v>
      </c>
      <c r="K44" s="1" t="str">
        <f t="shared" ca="1" si="6"/>
        <v>Data corresponds to year 2011.</v>
      </c>
      <c r="L44" s="1" t="str">
        <f t="shared" ca="1" si="7"/>
        <v>Banco Interamericano de Desarrollo. 2014. Transporte automotor de carga en Argentina (próxima publicación)</v>
      </c>
      <c r="AB44" s="22"/>
      <c r="AC44" s="22"/>
      <c r="AD44" s="22"/>
      <c r="AE44" s="22"/>
      <c r="AF44" s="22"/>
      <c r="AG44" s="22"/>
      <c r="AH44" s="22"/>
      <c r="AI44" s="22"/>
      <c r="AJ44" s="22"/>
      <c r="AK44" s="22"/>
      <c r="AL44" s="22"/>
      <c r="AP44" s="22"/>
      <c r="AQ44" s="22"/>
      <c r="AR44" s="22"/>
      <c r="AS44" s="22"/>
      <c r="AT44" s="22"/>
      <c r="AU44" s="22"/>
      <c r="AV44" s="22"/>
      <c r="AW44" s="22"/>
      <c r="AX44" s="22"/>
      <c r="AY44" s="22"/>
      <c r="AZ44" s="22"/>
    </row>
    <row r="45" spans="1:52" x14ac:dyDescent="0.2">
      <c r="A45" s="1" t="str">
        <f>tblIndicators!B41</f>
        <v>ROAD30</v>
      </c>
      <c r="B45" s="1">
        <f>tblIndicators!D41</f>
        <v>1</v>
      </c>
      <c r="C45" s="1">
        <f>tblIndicators!E41</f>
        <v>1</v>
      </c>
      <c r="D45" s="1" t="str">
        <f>IF(C45=0,UPPER(tblIndicators!O41),tblIndicators!O41)</f>
        <v>Empty hauls</v>
      </c>
      <c r="E45" s="1" t="str">
        <f>IF($C45=1,tblIndicators!P41,"")</f>
        <v>%</v>
      </c>
      <c r="F45" s="1" t="str">
        <f>IF($C45=1,tblIndicators!Q41,"")</f>
        <v>Road transport</v>
      </c>
      <c r="G45" s="1">
        <f>IF($C45=1,tblIndicators!G41,"")</f>
        <v>1</v>
      </c>
      <c r="H45" s="1">
        <f t="shared" si="0"/>
        <v>759</v>
      </c>
      <c r="I45" s="1">
        <f t="shared" ca="1" si="1"/>
        <v>54</v>
      </c>
      <c r="J45" s="22">
        <f t="shared" ca="1" si="3"/>
        <v>54</v>
      </c>
      <c r="K45" s="1">
        <f t="shared" ca="1" si="6"/>
        <v>0</v>
      </c>
      <c r="L45" s="1" t="str">
        <f t="shared" ca="1" si="7"/>
        <v>Banco Interamericano de Desarrollo</v>
      </c>
      <c r="AB45" s="22"/>
      <c r="AC45" s="22"/>
      <c r="AD45" s="22"/>
      <c r="AE45" s="22"/>
      <c r="AF45" s="22"/>
      <c r="AG45" s="22"/>
      <c r="AH45" s="22"/>
      <c r="AI45" s="22"/>
      <c r="AJ45" s="22"/>
      <c r="AK45" s="22"/>
      <c r="AL45" s="22"/>
      <c r="AP45" s="22"/>
      <c r="AQ45" s="22"/>
      <c r="AR45" s="22"/>
      <c r="AS45" s="22"/>
      <c r="AT45" s="22"/>
      <c r="AU45" s="22"/>
      <c r="AV45" s="22"/>
      <c r="AW45" s="22"/>
      <c r="AX45" s="22"/>
      <c r="AY45" s="22"/>
      <c r="AZ45" s="22"/>
    </row>
    <row r="46" spans="1:52" x14ac:dyDescent="0.2">
      <c r="A46" s="1" t="str">
        <f>tblIndicators!B42</f>
        <v>ROAD32</v>
      </c>
      <c r="B46" s="1">
        <f>tblIndicators!D42</f>
        <v>1</v>
      </c>
      <c r="C46" s="1">
        <f>tblIndicators!E42</f>
        <v>1</v>
      </c>
      <c r="D46" s="1" t="str">
        <f>IF(C46=0,UPPER(tblIndicators!O42),tblIndicators!O42)</f>
        <v>Average road freight tariff</v>
      </c>
      <c r="E46" s="1" t="str">
        <f>IF($C46=1,tblIndicators!P42,"")</f>
        <v>US$/t-km (40 ft cont)</v>
      </c>
      <c r="F46" s="1" t="str">
        <f>IF($C46=1,tblIndicators!Q42,"")</f>
        <v>Road transport</v>
      </c>
      <c r="G46" s="1">
        <f>IF($C46=1,tblIndicators!G42,"")</f>
        <v>2</v>
      </c>
      <c r="H46" s="1">
        <f t="shared" si="0"/>
        <v>769</v>
      </c>
      <c r="I46" s="1">
        <f t="shared" ca="1" si="1"/>
        <v>0.10107135637760301</v>
      </c>
      <c r="J46" s="22">
        <f t="shared" ca="1" si="3"/>
        <v>0.10107135637760301</v>
      </c>
      <c r="K46" s="1" t="str">
        <f t="shared" ca="1" si="6"/>
        <v>Transport rate from the port of Buenos Aires to the city of Zarate (150km)</v>
      </c>
      <c r="L46" s="1" t="str">
        <f t="shared" ca="1" si="7"/>
        <v>Estimación, Banco Interamericano de Desarrollo</v>
      </c>
      <c r="AB46" s="22"/>
      <c r="AC46" s="22"/>
      <c r="AD46" s="22"/>
      <c r="AE46" s="22"/>
      <c r="AF46" s="22"/>
      <c r="AG46" s="22"/>
      <c r="AH46" s="22"/>
      <c r="AI46" s="22"/>
      <c r="AJ46" s="22"/>
      <c r="AK46" s="22"/>
      <c r="AL46" s="22"/>
      <c r="AP46" s="22"/>
      <c r="AQ46" s="22"/>
      <c r="AR46" s="22"/>
      <c r="AS46" s="22"/>
      <c r="AT46" s="22"/>
      <c r="AU46" s="22"/>
      <c r="AV46" s="22"/>
      <c r="AW46" s="22"/>
      <c r="AX46" s="22"/>
      <c r="AY46" s="22"/>
      <c r="AZ46" s="22"/>
    </row>
    <row r="47" spans="1:52" x14ac:dyDescent="0.2">
      <c r="A47" s="1" t="str">
        <f>tblIndicators!B43</f>
        <v>RAIL</v>
      </c>
      <c r="B47" s="1">
        <f>tblIndicators!D43</f>
        <v>0</v>
      </c>
      <c r="C47" s="1">
        <f>tblIndicators!E43</f>
        <v>0</v>
      </c>
      <c r="D47" s="1" t="str">
        <f>IF(C47=0,UPPER(tblIndicators!O43),tblIndicators!O43)</f>
        <v>RAILWAY TRANSPORTATION</v>
      </c>
      <c r="E47" s="1" t="str">
        <f>IF($C47=1,tblIndicators!P43,"")</f>
        <v/>
      </c>
      <c r="F47" s="1" t="str">
        <f>IF($C47=1,tblIndicators!Q43,"")</f>
        <v/>
      </c>
      <c r="G47" s="1" t="str">
        <f>IF($C47=1,tblIndicators!G43,"")</f>
        <v/>
      </c>
      <c r="H47" s="1" t="str">
        <f t="shared" si="0"/>
        <v/>
      </c>
      <c r="I47" s="1" t="str">
        <f t="shared" ca="1" si="1"/>
        <v/>
      </c>
      <c r="J47" s="22" t="str">
        <f t="shared" si="3"/>
        <v/>
      </c>
      <c r="K47" s="1" t="str">
        <f t="shared" ca="1" si="6"/>
        <v/>
      </c>
      <c r="L47" s="1" t="str">
        <f t="shared" ca="1" si="7"/>
        <v/>
      </c>
      <c r="AB47" s="22"/>
      <c r="AC47" s="22"/>
      <c r="AD47" s="22"/>
      <c r="AE47" s="22"/>
      <c r="AF47" s="22"/>
      <c r="AG47" s="22"/>
      <c r="AH47" s="22"/>
      <c r="AI47" s="22"/>
      <c r="AJ47" s="22"/>
      <c r="AK47" s="22"/>
      <c r="AL47" s="22"/>
      <c r="AP47" s="22"/>
      <c r="AQ47" s="22"/>
      <c r="AR47" s="22"/>
      <c r="AS47" s="22"/>
      <c r="AT47" s="22"/>
      <c r="AU47" s="22"/>
      <c r="AV47" s="22"/>
      <c r="AW47" s="22"/>
      <c r="AX47" s="22"/>
      <c r="AY47" s="22"/>
      <c r="AZ47" s="22"/>
    </row>
    <row r="48" spans="1:52" x14ac:dyDescent="0.2">
      <c r="A48" s="1" t="str">
        <f>tblIndicators!B44</f>
        <v>RAIL01</v>
      </c>
      <c r="B48" s="1">
        <f>tblIndicators!D44</f>
        <v>1</v>
      </c>
      <c r="C48" s="1">
        <f>tblIndicators!E44</f>
        <v>1</v>
      </c>
      <c r="D48" s="1" t="str">
        <f>IF(C48=0,UPPER(tblIndicators!O44),tblIndicators!O44)</f>
        <v>Railway network</v>
      </c>
      <c r="E48" s="1" t="str">
        <f>IF($C48=1,tblIndicators!P44,"")</f>
        <v>km</v>
      </c>
      <c r="F48" s="1" t="str">
        <f>IF($C48=1,tblIndicators!Q44,"")</f>
        <v>Railway transport</v>
      </c>
      <c r="G48" s="1">
        <f>IF($C48=1,tblIndicators!G44,"")</f>
        <v>0</v>
      </c>
      <c r="H48" s="1">
        <f t="shared" si="0"/>
        <v>794</v>
      </c>
      <c r="I48" s="1">
        <f t="shared" ca="1" si="1"/>
        <v>18181</v>
      </c>
      <c r="J48" s="22">
        <f t="shared" ca="1" si="3"/>
        <v>18181</v>
      </c>
      <c r="K48" s="1" t="str">
        <f t="shared" ca="1" si="6"/>
        <v>Data corresponds to year 2011.</v>
      </c>
      <c r="L48" s="1" t="str">
        <f t="shared" ca="1" si="7"/>
        <v>Comisión Nacional de Regulación del Transporte (CNRT)</v>
      </c>
      <c r="AB48" s="22"/>
      <c r="AC48" s="22"/>
      <c r="AD48" s="22"/>
      <c r="AE48" s="22"/>
      <c r="AF48" s="22"/>
      <c r="AG48" s="22"/>
      <c r="AH48" s="22"/>
      <c r="AI48" s="22"/>
      <c r="AJ48" s="22"/>
      <c r="AK48" s="22"/>
      <c r="AL48" s="22"/>
      <c r="AP48" s="22"/>
      <c r="AQ48" s="22"/>
      <c r="AR48" s="22"/>
      <c r="AS48" s="22"/>
      <c r="AT48" s="22"/>
      <c r="AU48" s="22"/>
      <c r="AV48" s="22"/>
      <c r="AW48" s="22"/>
      <c r="AX48" s="22"/>
      <c r="AY48" s="22"/>
      <c r="AZ48" s="22"/>
    </row>
    <row r="49" spans="1:52" s="2" customFormat="1" x14ac:dyDescent="0.2">
      <c r="A49" s="1" t="str">
        <f>tblIndicators!B45</f>
        <v>RAIL02</v>
      </c>
      <c r="B49" s="1">
        <f>tblIndicators!D45</f>
        <v>1</v>
      </c>
      <c r="C49" s="1">
        <f>tblIndicators!E45</f>
        <v>1</v>
      </c>
      <c r="D49" s="1" t="str">
        <f>IF(C49=0,UPPER(tblIndicators!O45),tblIndicators!O45)</f>
        <v>Railway network with two or more tracks</v>
      </c>
      <c r="E49" s="1" t="str">
        <f>IF($C49=1,tblIndicators!P45,"")</f>
        <v>km</v>
      </c>
      <c r="F49" s="1" t="str">
        <f>IF($C49=1,tblIndicators!Q45,"")</f>
        <v>Railway transport</v>
      </c>
      <c r="G49" s="1">
        <f>IF($C49=1,tblIndicators!G45,"")</f>
        <v>0</v>
      </c>
      <c r="H49" s="1" t="e">
        <f t="shared" si="0"/>
        <v>#N/A</v>
      </c>
      <c r="I49" s="1" t="e">
        <f t="shared" ca="1" si="1"/>
        <v>#N/A</v>
      </c>
      <c r="J49" s="22" t="str">
        <f t="shared" ca="1" si="3"/>
        <v>-</v>
      </c>
      <c r="K49" s="1" t="str">
        <f t="shared" ca="1" si="6"/>
        <v/>
      </c>
      <c r="L49" s="1" t="str">
        <f t="shared" ca="1" si="7"/>
        <v/>
      </c>
      <c r="M49" s="1"/>
      <c r="N49" s="1"/>
      <c r="O49" s="1"/>
      <c r="P49" s="1"/>
      <c r="Q49" s="1"/>
      <c r="R49" s="1"/>
      <c r="S49" s="1"/>
      <c r="T49" s="1"/>
      <c r="U49" s="1"/>
      <c r="V49" s="1"/>
      <c r="W49" s="1"/>
      <c r="X49" s="1"/>
      <c r="Y49" s="1"/>
      <c r="Z49" s="1"/>
      <c r="AA49" s="1"/>
      <c r="AB49" s="22"/>
      <c r="AC49" s="22"/>
      <c r="AD49" s="22"/>
      <c r="AE49" s="22"/>
      <c r="AF49" s="22"/>
      <c r="AG49" s="22"/>
      <c r="AH49" s="22"/>
      <c r="AI49" s="22"/>
      <c r="AJ49" s="22"/>
      <c r="AK49" s="22"/>
      <c r="AL49" s="22"/>
      <c r="AM49" s="1"/>
      <c r="AN49" s="1"/>
      <c r="AO49" s="1"/>
      <c r="AP49" s="22"/>
      <c r="AQ49" s="22"/>
      <c r="AR49" s="22"/>
      <c r="AS49" s="22"/>
      <c r="AT49" s="22"/>
      <c r="AU49" s="22"/>
      <c r="AV49" s="22"/>
      <c r="AW49" s="22"/>
      <c r="AX49" s="22"/>
      <c r="AY49" s="22"/>
      <c r="AZ49" s="22"/>
    </row>
    <row r="50" spans="1:52" x14ac:dyDescent="0.2">
      <c r="A50" s="1" t="str">
        <f>tblIndicators!B46</f>
        <v>RAIL03</v>
      </c>
      <c r="B50" s="1">
        <f>tblIndicators!D46</f>
        <v>1</v>
      </c>
      <c r="C50" s="1">
        <f>tblIndicators!E46</f>
        <v>1</v>
      </c>
      <c r="D50" s="1" t="str">
        <f>IF(C50=0,UPPER(tblIndicators!O46),tblIndicators!O46)</f>
        <v>Electrified railway network</v>
      </c>
      <c r="E50" s="1" t="str">
        <f>IF($C50=1,tblIndicators!P46,"")</f>
        <v>km</v>
      </c>
      <c r="F50" s="1" t="str">
        <f>IF($C50=1,tblIndicators!Q46,"")</f>
        <v>Railway transport</v>
      </c>
      <c r="G50" s="1">
        <f>IF($C50=1,tblIndicators!G46,"")</f>
        <v>0</v>
      </c>
      <c r="H50" s="1" t="e">
        <f t="shared" si="0"/>
        <v>#N/A</v>
      </c>
      <c r="I50" s="1" t="e">
        <f t="shared" ca="1" si="1"/>
        <v>#N/A</v>
      </c>
      <c r="J50" s="22" t="str">
        <f t="shared" ca="1" si="3"/>
        <v>-</v>
      </c>
      <c r="K50" s="1" t="str">
        <f t="shared" ca="1" si="6"/>
        <v/>
      </c>
      <c r="L50" s="1" t="str">
        <f t="shared" ca="1" si="7"/>
        <v/>
      </c>
      <c r="AB50" s="22"/>
      <c r="AC50" s="22"/>
      <c r="AD50" s="22"/>
      <c r="AE50" s="22"/>
      <c r="AF50" s="22"/>
      <c r="AG50" s="22"/>
      <c r="AH50" s="22"/>
      <c r="AI50" s="22"/>
      <c r="AJ50" s="22"/>
      <c r="AK50" s="22"/>
      <c r="AL50" s="22"/>
      <c r="AP50" s="22"/>
      <c r="AQ50" s="22"/>
      <c r="AR50" s="22"/>
      <c r="AS50" s="22"/>
      <c r="AT50" s="22"/>
      <c r="AU50" s="22"/>
      <c r="AV50" s="22"/>
      <c r="AW50" s="22"/>
      <c r="AX50" s="22"/>
      <c r="AY50" s="22"/>
      <c r="AZ50" s="22"/>
    </row>
    <row r="51" spans="1:52" x14ac:dyDescent="0.2">
      <c r="A51" s="1" t="str">
        <f>tblIndicators!B47</f>
        <v>RAIL04</v>
      </c>
      <c r="B51" s="1">
        <f>tblIndicators!D47</f>
        <v>1</v>
      </c>
      <c r="C51" s="1">
        <f>tblIndicators!E47</f>
        <v>1</v>
      </c>
      <c r="D51" s="1" t="str">
        <f>IF(C51=0,UPPER(tblIndicators!O47),tblIndicators!O47)</f>
        <v>Total locomotives</v>
      </c>
      <c r="E51" s="1" t="str">
        <f>IF($C51=1,tblIndicators!P47,"")</f>
        <v># locomotives</v>
      </c>
      <c r="F51" s="1" t="str">
        <f>IF($C51=1,tblIndicators!Q47,"")</f>
        <v>Railway transport</v>
      </c>
      <c r="G51" s="1">
        <f>IF($C51=1,tblIndicators!G47,"")</f>
        <v>0</v>
      </c>
      <c r="H51" s="1">
        <f t="shared" si="0"/>
        <v>810</v>
      </c>
      <c r="I51" s="1">
        <f t="shared" ca="1" si="1"/>
        <v>294</v>
      </c>
      <c r="J51" s="22">
        <f t="shared" ca="1" si="3"/>
        <v>294</v>
      </c>
      <c r="K51" s="1">
        <f t="shared" ca="1" si="6"/>
        <v>0</v>
      </c>
      <c r="L51" s="1" t="str">
        <f t="shared" ca="1" si="7"/>
        <v>Comisión Nacional de Regulación del Transporte (CNRT)</v>
      </c>
      <c r="AB51" s="22"/>
      <c r="AC51" s="22"/>
      <c r="AD51" s="22"/>
      <c r="AE51" s="22"/>
      <c r="AF51" s="22"/>
      <c r="AG51" s="22"/>
      <c r="AH51" s="22"/>
      <c r="AI51" s="22"/>
      <c r="AJ51" s="22"/>
      <c r="AK51" s="22"/>
      <c r="AL51" s="22"/>
      <c r="AP51" s="22"/>
      <c r="AQ51" s="22"/>
      <c r="AR51" s="22"/>
      <c r="AS51" s="22"/>
      <c r="AT51" s="22"/>
      <c r="AU51" s="22"/>
      <c r="AV51" s="22"/>
      <c r="AW51" s="22"/>
      <c r="AX51" s="22"/>
      <c r="AY51" s="22"/>
      <c r="AZ51" s="22"/>
    </row>
    <row r="52" spans="1:52" x14ac:dyDescent="0.2">
      <c r="A52" s="1" t="str">
        <f>tblIndicators!B48</f>
        <v>RAIL05</v>
      </c>
      <c r="B52" s="1">
        <f>tblIndicators!D48</f>
        <v>1</v>
      </c>
      <c r="C52" s="1">
        <f>tblIndicators!E48</f>
        <v>1</v>
      </c>
      <c r="D52" s="1" t="str">
        <f>IF(C52=0,UPPER(tblIndicators!O48),tblIndicators!O48)</f>
        <v>Locomotives -freight train engine</v>
      </c>
      <c r="E52" s="1" t="str">
        <f>IF($C52=1,tblIndicators!P48,"")</f>
        <v># locomotives</v>
      </c>
      <c r="F52" s="1" t="str">
        <f>IF($C52=1,tblIndicators!Q48,"")</f>
        <v>Railway transport</v>
      </c>
      <c r="G52" s="1">
        <f>IF($C52=1,tblIndicators!G48,"")</f>
        <v>0</v>
      </c>
      <c r="H52" s="1" t="e">
        <f t="shared" si="0"/>
        <v>#N/A</v>
      </c>
      <c r="I52" s="1" t="e">
        <f t="shared" ca="1" si="1"/>
        <v>#N/A</v>
      </c>
      <c r="J52" s="22" t="str">
        <f t="shared" ca="1" si="3"/>
        <v>-</v>
      </c>
      <c r="K52" s="1" t="str">
        <f t="shared" ca="1" si="6"/>
        <v/>
      </c>
      <c r="L52" s="1" t="str">
        <f t="shared" ca="1" si="7"/>
        <v/>
      </c>
      <c r="AB52" s="22"/>
      <c r="AC52" s="22"/>
      <c r="AD52" s="22"/>
      <c r="AE52" s="22"/>
      <c r="AF52" s="22"/>
      <c r="AG52" s="22"/>
      <c r="AH52" s="22"/>
      <c r="AI52" s="22"/>
      <c r="AJ52" s="22"/>
      <c r="AK52" s="22"/>
      <c r="AL52" s="22"/>
      <c r="AP52" s="22"/>
      <c r="AQ52" s="22"/>
      <c r="AR52" s="22"/>
      <c r="AS52" s="22"/>
      <c r="AT52" s="22"/>
      <c r="AU52" s="22"/>
      <c r="AV52" s="22"/>
      <c r="AW52" s="22"/>
      <c r="AX52" s="22"/>
      <c r="AY52" s="22"/>
      <c r="AZ52" s="22"/>
    </row>
    <row r="53" spans="1:52" x14ac:dyDescent="0.2">
      <c r="A53" s="1" t="str">
        <f>tblIndicators!B49</f>
        <v>RAIL06</v>
      </c>
      <c r="B53" s="1">
        <f>tblIndicators!D49</f>
        <v>1</v>
      </c>
      <c r="C53" s="1">
        <f>tblIndicators!E49</f>
        <v>1</v>
      </c>
      <c r="D53" s="1" t="str">
        <f>IF(C53=0,UPPER(tblIndicators!O49),tblIndicators!O49)</f>
        <v>Average power of freight locomotives</v>
      </c>
      <c r="E53" s="1" t="str">
        <f>IF($C53=1,tblIndicators!P49,"")</f>
        <v>HP</v>
      </c>
      <c r="F53" s="1" t="str">
        <f>IF($C53=1,tblIndicators!Q49,"")</f>
        <v>Railway transport</v>
      </c>
      <c r="G53" s="1">
        <f>IF($C53=1,tblIndicators!G49,"")</f>
        <v>0</v>
      </c>
      <c r="H53" s="1" t="e">
        <f t="shared" si="0"/>
        <v>#N/A</v>
      </c>
      <c r="I53" s="1" t="e">
        <f t="shared" ca="1" si="1"/>
        <v>#N/A</v>
      </c>
      <c r="J53" s="22" t="str">
        <f t="shared" ca="1" si="3"/>
        <v>-</v>
      </c>
      <c r="K53" s="1" t="str">
        <f t="shared" ca="1" si="6"/>
        <v/>
      </c>
      <c r="L53" s="1" t="str">
        <f t="shared" ca="1" si="7"/>
        <v/>
      </c>
      <c r="AB53" s="22"/>
      <c r="AC53" s="22"/>
      <c r="AD53" s="22"/>
      <c r="AE53" s="22"/>
      <c r="AF53" s="22"/>
      <c r="AG53" s="22"/>
      <c r="AH53" s="22"/>
      <c r="AI53" s="22"/>
      <c r="AJ53" s="22"/>
      <c r="AK53" s="22"/>
      <c r="AL53" s="22"/>
      <c r="AP53" s="22"/>
      <c r="AQ53" s="22"/>
      <c r="AR53" s="22"/>
      <c r="AS53" s="22"/>
      <c r="AT53" s="22"/>
      <c r="AU53" s="22"/>
      <c r="AV53" s="22"/>
      <c r="AW53" s="22"/>
      <c r="AX53" s="22"/>
      <c r="AY53" s="22"/>
      <c r="AZ53" s="22"/>
    </row>
    <row r="54" spans="1:52" x14ac:dyDescent="0.2">
      <c r="A54" s="1" t="str">
        <f>tblIndicators!B50</f>
        <v>RAIL07</v>
      </c>
      <c r="B54" s="1">
        <f>tblIndicators!D50</f>
        <v>1</v>
      </c>
      <c r="C54" s="1">
        <f>tblIndicators!E50</f>
        <v>1</v>
      </c>
      <c r="D54" s="1" t="str">
        <f>IF(C54=0,UPPER(tblIndicators!O50),tblIndicators!O50)</f>
        <v>Freight cars</v>
      </c>
      <c r="E54" s="1" t="str">
        <f>IF($C54=1,tblIndicators!P50,"")</f>
        <v># cars</v>
      </c>
      <c r="F54" s="1" t="str">
        <f>IF($C54=1,tblIndicators!Q50,"")</f>
        <v>Railway transport</v>
      </c>
      <c r="G54" s="1">
        <f>IF($C54=1,tblIndicators!G50,"")</f>
        <v>0</v>
      </c>
      <c r="H54" s="1">
        <f t="shared" si="0"/>
        <v>829</v>
      </c>
      <c r="I54" s="1">
        <f t="shared" ca="1" si="1"/>
        <v>15654.8</v>
      </c>
      <c r="J54" s="22">
        <f t="shared" ca="1" si="3"/>
        <v>15654.8</v>
      </c>
      <c r="K54" s="1">
        <f t="shared" ca="1" si="6"/>
        <v>0</v>
      </c>
      <c r="L54" s="1" t="str">
        <f t="shared" ca="1" si="7"/>
        <v>Comisión Nacional de Regulación del Transporte (CNRT)</v>
      </c>
      <c r="AB54" s="22"/>
      <c r="AC54" s="22"/>
      <c r="AD54" s="22"/>
      <c r="AE54" s="22"/>
      <c r="AF54" s="22"/>
      <c r="AG54" s="22"/>
      <c r="AH54" s="22"/>
      <c r="AI54" s="22"/>
      <c r="AJ54" s="22"/>
      <c r="AK54" s="22"/>
      <c r="AL54" s="22"/>
      <c r="AP54" s="22"/>
      <c r="AQ54" s="22"/>
      <c r="AR54" s="22"/>
      <c r="AS54" s="22"/>
      <c r="AT54" s="22"/>
      <c r="AU54" s="22"/>
      <c r="AV54" s="22"/>
      <c r="AW54" s="22"/>
      <c r="AX54" s="22"/>
      <c r="AY54" s="22"/>
      <c r="AZ54" s="22"/>
    </row>
    <row r="55" spans="1:52" x14ac:dyDescent="0.2">
      <c r="A55" s="1" t="str">
        <f>tblIndicators!B51</f>
        <v>RAIL08</v>
      </c>
      <c r="B55" s="1">
        <f>tblIndicators!D51</f>
        <v>1</v>
      </c>
      <c r="C55" s="1">
        <f>tblIndicators!E51</f>
        <v>1</v>
      </c>
      <c r="D55" s="1" t="str">
        <f>IF(C55=0,UPPER(tblIndicators!O51),tblIndicators!O51)</f>
        <v>Freight car fleet static capacity</v>
      </c>
      <c r="E55" s="1" t="str">
        <f>IF($C55=1,tblIndicators!P51,"")</f>
        <v>ton</v>
      </c>
      <c r="F55" s="1" t="str">
        <f>IF($C55=1,tblIndicators!Q51,"")</f>
        <v>Railway transport</v>
      </c>
      <c r="G55" s="1">
        <f>IF($C55=1,tblIndicators!G51,"")</f>
        <v>0</v>
      </c>
      <c r="H55" s="1" t="e">
        <f t="shared" si="0"/>
        <v>#N/A</v>
      </c>
      <c r="I55" s="1" t="e">
        <f t="shared" ca="1" si="1"/>
        <v>#N/A</v>
      </c>
      <c r="J55" s="22" t="str">
        <f t="shared" ca="1" si="3"/>
        <v>-</v>
      </c>
      <c r="K55" s="1" t="str">
        <f t="shared" ca="1" si="6"/>
        <v/>
      </c>
      <c r="L55" s="1" t="str">
        <f t="shared" ca="1" si="7"/>
        <v/>
      </c>
      <c r="AB55" s="22"/>
      <c r="AC55" s="22"/>
      <c r="AD55" s="22"/>
      <c r="AE55" s="22"/>
      <c r="AF55" s="22"/>
      <c r="AG55" s="22"/>
      <c r="AH55" s="22"/>
      <c r="AI55" s="22"/>
      <c r="AJ55" s="22"/>
      <c r="AK55" s="22"/>
      <c r="AL55" s="22"/>
      <c r="AP55" s="22"/>
      <c r="AQ55" s="22"/>
      <c r="AR55" s="22"/>
      <c r="AS55" s="22"/>
      <c r="AT55" s="22"/>
      <c r="AU55" s="22"/>
      <c r="AV55" s="22"/>
      <c r="AW55" s="22"/>
      <c r="AX55" s="22"/>
      <c r="AY55" s="22"/>
      <c r="AZ55" s="22"/>
    </row>
    <row r="56" spans="1:52" x14ac:dyDescent="0.2">
      <c r="A56" s="1" t="str">
        <f>tblIndicators!B52</f>
        <v>RAIL10</v>
      </c>
      <c r="B56" s="1">
        <f>tblIndicators!D52</f>
        <v>1</v>
      </c>
      <c r="C56" s="1">
        <f>tblIndicators!E52</f>
        <v>1</v>
      </c>
      <c r="D56" s="1" t="str">
        <f>IF(C56=0,UPPER(tblIndicators!O52),tblIndicators!O52)</f>
        <v>Railway freight companies</v>
      </c>
      <c r="E56" s="1" t="str">
        <f>IF($C56=1,tblIndicators!P52,"")</f>
        <v># companies</v>
      </c>
      <c r="F56" s="1" t="str">
        <f>IF($C56=1,tblIndicators!Q52,"")</f>
        <v>Railway transport</v>
      </c>
      <c r="G56" s="1">
        <f>IF($C56=1,tblIndicators!G52,"")</f>
        <v>0</v>
      </c>
      <c r="H56" s="1">
        <f t="shared" si="0"/>
        <v>839</v>
      </c>
      <c r="I56" s="1">
        <f t="shared" ca="1" si="1"/>
        <v>6</v>
      </c>
      <c r="J56" s="22">
        <f t="shared" ca="1" si="3"/>
        <v>6</v>
      </c>
      <c r="K56" s="1" t="str">
        <f t="shared" ca="1" si="6"/>
        <v>Annual frequency.</v>
      </c>
      <c r="L56" s="1" t="str">
        <f t="shared" ca="1" si="7"/>
        <v>Comisión Nacional de Regulación del Transporte (CNRT)</v>
      </c>
      <c r="AB56" s="22"/>
      <c r="AC56" s="22"/>
      <c r="AD56" s="22"/>
      <c r="AE56" s="22"/>
      <c r="AF56" s="22"/>
      <c r="AG56" s="22"/>
      <c r="AH56" s="22"/>
      <c r="AI56" s="22"/>
      <c r="AJ56" s="22"/>
      <c r="AK56" s="22"/>
      <c r="AL56" s="22"/>
      <c r="AP56" s="22"/>
      <c r="AQ56" s="22"/>
      <c r="AR56" s="22"/>
      <c r="AS56" s="22"/>
      <c r="AT56" s="22"/>
      <c r="AU56" s="22"/>
      <c r="AV56" s="22"/>
      <c r="AW56" s="22"/>
      <c r="AX56" s="22"/>
      <c r="AY56" s="22"/>
      <c r="AZ56" s="22"/>
    </row>
    <row r="57" spans="1:52" x14ac:dyDescent="0.2">
      <c r="A57" s="1" t="str">
        <f>tblIndicators!B53</f>
        <v>RAIL11</v>
      </c>
      <c r="B57" s="1">
        <f>tblIndicators!D53</f>
        <v>1</v>
      </c>
      <c r="C57" s="1">
        <f>tblIndicators!E53</f>
        <v>1</v>
      </c>
      <c r="D57" s="1" t="str">
        <f>IF(C57=0,UPPER(tblIndicators!O53),tblIndicators!O53)</f>
        <v>Direct employment in railway transportation rail freight</v>
      </c>
      <c r="E57" s="1" t="str">
        <f>IF($C57=1,tblIndicators!P53,"")</f>
        <v># employees</v>
      </c>
      <c r="F57" s="1" t="str">
        <f>IF($C57=1,tblIndicators!Q53,"")</f>
        <v>Railway transport</v>
      </c>
      <c r="G57" s="1">
        <f>IF($C57=1,tblIndicators!G53,"")</f>
        <v>0</v>
      </c>
      <c r="H57" s="1">
        <f t="shared" si="0"/>
        <v>851</v>
      </c>
      <c r="I57" s="1">
        <f t="shared" ca="1" si="1"/>
        <v>7277</v>
      </c>
      <c r="J57" s="22">
        <f t="shared" ca="1" si="3"/>
        <v>7277</v>
      </c>
      <c r="K57" s="1">
        <f t="shared" ca="1" si="6"/>
        <v>0</v>
      </c>
      <c r="L57" s="1" t="str">
        <f t="shared" ca="1" si="7"/>
        <v>Cuentas Nacionales</v>
      </c>
      <c r="AB57" s="22"/>
      <c r="AC57" s="22"/>
      <c r="AD57" s="22"/>
      <c r="AE57" s="22"/>
      <c r="AF57" s="22"/>
      <c r="AG57" s="22"/>
      <c r="AH57" s="22"/>
      <c r="AI57" s="22"/>
      <c r="AJ57" s="22"/>
      <c r="AK57" s="22"/>
      <c r="AL57" s="22"/>
      <c r="AP57" s="22"/>
      <c r="AQ57" s="22"/>
      <c r="AR57" s="22"/>
      <c r="AS57" s="22"/>
      <c r="AT57" s="22"/>
      <c r="AU57" s="22"/>
      <c r="AV57" s="22"/>
      <c r="AW57" s="22"/>
      <c r="AX57" s="22"/>
      <c r="AY57" s="22"/>
      <c r="AZ57" s="22"/>
    </row>
    <row r="58" spans="1:52" x14ac:dyDescent="0.2">
      <c r="A58" s="1" t="str">
        <f>tblIndicators!B54</f>
        <v>RAIL12</v>
      </c>
      <c r="B58" s="1">
        <f>tblIndicators!D54</f>
        <v>1</v>
      </c>
      <c r="C58" s="1">
        <f>tblIndicators!E54</f>
        <v>1</v>
      </c>
      <c r="D58" s="1" t="str">
        <f>IF(C58=0,UPPER(tblIndicators!O54),tblIndicators!O54)</f>
        <v>Fuel consumption rail freight</v>
      </c>
      <c r="E58" s="1" t="str">
        <f>IF($C58=1,tblIndicators!P54,"")</f>
        <v>lt</v>
      </c>
      <c r="F58" s="1" t="str">
        <f>IF($C58=1,tblIndicators!Q54,"")</f>
        <v>Railway transport</v>
      </c>
      <c r="G58" s="1">
        <f>IF($C58=1,tblIndicators!G54,"")</f>
        <v>0</v>
      </c>
      <c r="H58" s="1">
        <f t="shared" si="0"/>
        <v>858</v>
      </c>
      <c r="I58" s="1">
        <f t="shared" ca="1" si="1"/>
        <v>63738336000</v>
      </c>
      <c r="J58" s="22">
        <f t="shared" ca="1" si="3"/>
        <v>63738336000</v>
      </c>
      <c r="K58" s="1">
        <f t="shared" ca="1" si="6"/>
        <v>0</v>
      </c>
      <c r="L58" s="1" t="str">
        <f t="shared" ca="1" si="7"/>
        <v>Comisión Nacional de Regulación del Transporte (CNRT)</v>
      </c>
      <c r="AB58" s="22"/>
      <c r="AC58" s="22"/>
      <c r="AD58" s="22"/>
      <c r="AE58" s="22"/>
      <c r="AF58" s="22"/>
      <c r="AG58" s="22"/>
      <c r="AH58" s="22"/>
      <c r="AI58" s="22"/>
      <c r="AJ58" s="22"/>
      <c r="AK58" s="22"/>
      <c r="AL58" s="22"/>
      <c r="AP58" s="22"/>
      <c r="AQ58" s="22"/>
      <c r="AR58" s="22"/>
      <c r="AS58" s="22"/>
      <c r="AT58" s="22"/>
      <c r="AU58" s="22"/>
      <c r="AV58" s="22"/>
      <c r="AW58" s="22"/>
      <c r="AX58" s="22"/>
      <c r="AY58" s="22"/>
      <c r="AZ58" s="22"/>
    </row>
    <row r="59" spans="1:52" x14ac:dyDescent="0.2">
      <c r="A59" s="1" t="str">
        <f>tblIndicators!B55</f>
        <v>RAIL13</v>
      </c>
      <c r="B59" s="1">
        <f>tblIndicators!D55</f>
        <v>1</v>
      </c>
      <c r="C59" s="1">
        <f>tblIndicators!E55</f>
        <v>1</v>
      </c>
      <c r="D59" s="1" t="str">
        <f>IF(C59=0,UPPER(tblIndicators!O55),tblIndicators!O55)</f>
        <v>Electric power consumption rail freight</v>
      </c>
      <c r="E59" s="1" t="str">
        <f>IF($C59=1,tblIndicators!P55,"")</f>
        <v>kWh</v>
      </c>
      <c r="F59" s="1" t="str">
        <f>IF($C59=1,tblIndicators!Q55,"")</f>
        <v>Railway transport</v>
      </c>
      <c r="G59" s="1">
        <f>IF($C59=1,tblIndicators!G55,"")</f>
        <v>0</v>
      </c>
      <c r="H59" s="1" t="e">
        <f t="shared" si="0"/>
        <v>#N/A</v>
      </c>
      <c r="I59" s="1" t="e">
        <f t="shared" ca="1" si="1"/>
        <v>#N/A</v>
      </c>
      <c r="J59" s="22" t="str">
        <f t="shared" ca="1" si="3"/>
        <v>-</v>
      </c>
      <c r="K59" s="1" t="str">
        <f t="shared" ca="1" si="6"/>
        <v/>
      </c>
      <c r="L59" s="1" t="str">
        <f t="shared" ca="1" si="7"/>
        <v/>
      </c>
      <c r="AB59" s="22"/>
      <c r="AC59" s="22"/>
      <c r="AD59" s="22"/>
      <c r="AE59" s="22"/>
      <c r="AF59" s="22"/>
      <c r="AG59" s="22"/>
      <c r="AH59" s="22"/>
      <c r="AI59" s="22"/>
      <c r="AJ59" s="22"/>
      <c r="AK59" s="22"/>
      <c r="AL59" s="22"/>
      <c r="AP59" s="22"/>
      <c r="AQ59" s="22"/>
      <c r="AR59" s="22"/>
      <c r="AS59" s="22"/>
      <c r="AT59" s="22"/>
      <c r="AU59" s="22"/>
      <c r="AV59" s="22"/>
      <c r="AW59" s="22"/>
      <c r="AX59" s="22"/>
      <c r="AY59" s="22"/>
      <c r="AZ59" s="22"/>
    </row>
    <row r="60" spans="1:52" x14ac:dyDescent="0.2">
      <c r="A60" s="1" t="str">
        <f>tblIndicators!B56</f>
        <v>RAIL14</v>
      </c>
      <c r="B60" s="1">
        <f>tblIndicators!D56</f>
        <v>1</v>
      </c>
      <c r="C60" s="1">
        <f>tblIndicators!E56</f>
        <v>1</v>
      </c>
      <c r="D60" s="1" t="str">
        <f>IF(C60=0,UPPER(tblIndicators!O56),tblIndicators!O56)</f>
        <v>Estimated CO2 emissions rail freight</v>
      </c>
      <c r="E60" s="1" t="str">
        <f>IF($C60=1,tblIndicators!P56,"")</f>
        <v>tons</v>
      </c>
      <c r="F60" s="1" t="str">
        <f>IF($C60=1,tblIndicators!Q56,"")</f>
        <v>Railway transport</v>
      </c>
      <c r="G60" s="1">
        <f>IF($C60=1,tblIndicators!G56,"")</f>
        <v>1</v>
      </c>
      <c r="H60" s="1" t="e">
        <f t="shared" si="0"/>
        <v>#N/A</v>
      </c>
      <c r="I60" s="1" t="e">
        <f t="shared" ca="1" si="1"/>
        <v>#N/A</v>
      </c>
      <c r="J60" s="22" t="str">
        <f t="shared" ca="1" si="3"/>
        <v>-</v>
      </c>
      <c r="K60" s="1" t="str">
        <f t="shared" ca="1" si="6"/>
        <v/>
      </c>
      <c r="L60" s="1" t="str">
        <f t="shared" ca="1" si="7"/>
        <v/>
      </c>
      <c r="AB60" s="22"/>
      <c r="AC60" s="22"/>
      <c r="AD60" s="22"/>
      <c r="AE60" s="22"/>
      <c r="AF60" s="22"/>
      <c r="AG60" s="22"/>
      <c r="AH60" s="22"/>
      <c r="AI60" s="22"/>
      <c r="AJ60" s="22"/>
      <c r="AK60" s="22"/>
      <c r="AL60" s="22"/>
      <c r="AP60" s="22"/>
      <c r="AQ60" s="22"/>
      <c r="AR60" s="22"/>
      <c r="AS60" s="22"/>
      <c r="AT60" s="22"/>
      <c r="AU60" s="22"/>
      <c r="AV60" s="22"/>
      <c r="AW60" s="22"/>
      <c r="AX60" s="22"/>
      <c r="AY60" s="22"/>
      <c r="AZ60" s="22"/>
    </row>
    <row r="61" spans="1:52" x14ac:dyDescent="0.2">
      <c r="A61" s="1" t="str">
        <f>tblIndicators!B57</f>
        <v>RAIL15</v>
      </c>
      <c r="B61" s="1">
        <f>tblIndicators!D57</f>
        <v>1</v>
      </c>
      <c r="C61" s="1">
        <f>tblIndicators!E57</f>
        <v>1</v>
      </c>
      <c r="D61" s="1" t="str">
        <f>IF(C61=0,UPPER(tblIndicators!O57),tblIndicators!O57)</f>
        <v>Rail freight -productivity</v>
      </c>
      <c r="E61" s="1" t="str">
        <f>IF($C61=1,tblIndicators!P57,"")</f>
        <v>million t-km</v>
      </c>
      <c r="F61" s="1" t="str">
        <f>IF($C61=1,tblIndicators!Q57,"")</f>
        <v>Railway transport</v>
      </c>
      <c r="G61" s="1">
        <f>IF($C61=1,tblIndicators!G57,"")</f>
        <v>0</v>
      </c>
      <c r="H61" s="1">
        <f t="shared" si="0"/>
        <v>863</v>
      </c>
      <c r="I61" s="1">
        <f t="shared" ca="1" si="1"/>
        <v>10582.95994386</v>
      </c>
      <c r="J61" s="22">
        <f t="shared" ca="1" si="3"/>
        <v>10582.95994386</v>
      </c>
      <c r="K61" s="1" t="str">
        <f t="shared" ca="1" si="6"/>
        <v>CNRT collects data from the companies annually.</v>
      </c>
      <c r="L61" s="1" t="str">
        <f t="shared" ca="1" si="7"/>
        <v>Comisión Nacional de Regulación del Transporte (CNRT)</v>
      </c>
      <c r="AB61" s="22"/>
      <c r="AC61" s="22"/>
      <c r="AD61" s="22"/>
      <c r="AE61" s="22"/>
      <c r="AF61" s="22"/>
      <c r="AG61" s="22"/>
      <c r="AH61" s="22"/>
      <c r="AI61" s="22"/>
      <c r="AJ61" s="22"/>
      <c r="AK61" s="22"/>
      <c r="AL61" s="22"/>
      <c r="AP61" s="22"/>
      <c r="AQ61" s="22"/>
      <c r="AR61" s="22"/>
      <c r="AS61" s="22"/>
      <c r="AT61" s="22"/>
      <c r="AU61" s="22"/>
      <c r="AV61" s="22"/>
      <c r="AW61" s="22"/>
      <c r="AX61" s="22"/>
      <c r="AY61" s="22"/>
      <c r="AZ61" s="22"/>
    </row>
    <row r="62" spans="1:52" x14ac:dyDescent="0.2">
      <c r="A62" s="1" t="str">
        <f>tblIndicators!B58</f>
        <v>RAIL16</v>
      </c>
      <c r="B62" s="1">
        <f>tblIndicators!D58</f>
        <v>1</v>
      </c>
      <c r="C62" s="1">
        <f>tblIndicators!E58</f>
        <v>1</v>
      </c>
      <c r="D62" s="1" t="str">
        <f>IF(C62=0,UPPER(tblIndicators!O58),tblIndicators!O58)</f>
        <v>Total rail freight</v>
      </c>
      <c r="E62" s="1" t="str">
        <f>IF($C62=1,tblIndicators!P58,"")</f>
        <v>tons</v>
      </c>
      <c r="F62" s="1" t="str">
        <f>IF($C62=1,tblIndicators!Q58,"")</f>
        <v>Railway transport</v>
      </c>
      <c r="G62" s="1">
        <f>IF($C62=1,tblIndicators!G58,"")</f>
        <v>0</v>
      </c>
      <c r="H62" s="1">
        <f t="shared" si="0"/>
        <v>872</v>
      </c>
      <c r="I62" s="1">
        <f t="shared" ca="1" si="1"/>
        <v>22032832.989999998</v>
      </c>
      <c r="J62" s="22">
        <f t="shared" ca="1" si="3"/>
        <v>22032832.989999998</v>
      </c>
      <c r="K62" s="1" t="str">
        <f t="shared" ca="1" si="6"/>
        <v>CNRT collects data from the companies annually.</v>
      </c>
      <c r="L62" s="1" t="str">
        <f t="shared" ca="1" si="7"/>
        <v>Comisión Nacional de Regulación del Transporte (CNRT)</v>
      </c>
      <c r="AB62" s="22"/>
      <c r="AC62" s="22"/>
      <c r="AD62" s="22"/>
      <c r="AE62" s="22"/>
      <c r="AF62" s="22"/>
      <c r="AG62" s="22"/>
      <c r="AH62" s="22"/>
      <c r="AI62" s="22"/>
      <c r="AJ62" s="22"/>
      <c r="AK62" s="22"/>
      <c r="AL62" s="22"/>
      <c r="AP62" s="22"/>
      <c r="AQ62" s="22"/>
      <c r="AR62" s="22"/>
      <c r="AS62" s="22"/>
      <c r="AT62" s="22"/>
      <c r="AU62" s="22"/>
      <c r="AV62" s="22"/>
      <c r="AW62" s="22"/>
      <c r="AX62" s="22"/>
      <c r="AY62" s="22"/>
      <c r="AZ62" s="22"/>
    </row>
    <row r="63" spans="1:52" x14ac:dyDescent="0.2">
      <c r="A63" s="1" t="str">
        <f>tblIndicators!B59</f>
        <v>RAIL17</v>
      </c>
      <c r="B63" s="1">
        <f>tblIndicators!D59</f>
        <v>1</v>
      </c>
      <c r="C63" s="1">
        <f>tblIndicators!E59</f>
        <v>1</v>
      </c>
      <c r="D63" s="1" t="str">
        <f>IF(C63=0,UPPER(tblIndicators!O59),tblIndicators!O59)</f>
        <v>Annual train engine producvity</v>
      </c>
      <c r="E63" s="1" t="str">
        <f>IF($C63=1,tblIndicators!P59,"")</f>
        <v>t·km/year</v>
      </c>
      <c r="F63" s="1" t="str">
        <f>IF($C63=1,tblIndicators!Q59,"")</f>
        <v>Railway transport</v>
      </c>
      <c r="G63" s="1">
        <f>IF($C63=1,tblIndicators!G59,"")</f>
        <v>0</v>
      </c>
      <c r="H63" s="1">
        <f t="shared" si="0"/>
        <v>881</v>
      </c>
      <c r="I63" s="1">
        <f t="shared" ca="1" si="1"/>
        <v>35996462.3940816</v>
      </c>
      <c r="J63" s="22">
        <f t="shared" ca="1" si="3"/>
        <v>35996462.3940816</v>
      </c>
      <c r="K63" s="1" t="str">
        <f t="shared" ca="1" si="6"/>
        <v>CNRT collects data from the companies annually.</v>
      </c>
      <c r="L63" s="1" t="str">
        <f t="shared" ca="1" si="7"/>
        <v>Comisión Nacional de Regulación del Transporte (CNRT)</v>
      </c>
      <c r="AB63" s="22"/>
      <c r="AC63" s="22"/>
      <c r="AD63" s="22"/>
      <c r="AE63" s="22"/>
      <c r="AF63" s="22"/>
      <c r="AG63" s="22"/>
      <c r="AH63" s="22"/>
      <c r="AI63" s="22"/>
      <c r="AJ63" s="22"/>
      <c r="AK63" s="22"/>
      <c r="AL63" s="22"/>
      <c r="AP63" s="22"/>
      <c r="AQ63" s="22"/>
      <c r="AR63" s="22"/>
      <c r="AS63" s="22"/>
      <c r="AT63" s="22"/>
      <c r="AU63" s="22"/>
      <c r="AV63" s="22"/>
      <c r="AW63" s="22"/>
      <c r="AX63" s="22"/>
      <c r="AY63" s="22"/>
      <c r="AZ63" s="22"/>
    </row>
    <row r="64" spans="1:52" x14ac:dyDescent="0.2">
      <c r="A64" s="1" t="str">
        <f>tblIndicators!B60</f>
        <v>RAIL18</v>
      </c>
      <c r="B64" s="1">
        <f>tblIndicators!D60</f>
        <v>1</v>
      </c>
      <c r="C64" s="1">
        <f>tblIndicators!E60</f>
        <v>1</v>
      </c>
      <c r="D64" s="1" t="str">
        <f>IF(C64=0,UPPER(tblIndicators!O60),tblIndicators!O60)</f>
        <v>Freight car productivity</v>
      </c>
      <c r="E64" s="1" t="str">
        <f>IF($C64=1,tblIndicators!P60,"")</f>
        <v>t·km/year</v>
      </c>
      <c r="F64" s="1" t="str">
        <f>IF($C64=1,tblIndicators!Q60,"")</f>
        <v>Railway transport</v>
      </c>
      <c r="G64" s="1">
        <f>IF($C64=1,tblIndicators!G60,"")</f>
        <v>0</v>
      </c>
      <c r="H64" s="1">
        <f t="shared" si="0"/>
        <v>889</v>
      </c>
      <c r="I64" s="1">
        <f t="shared" ca="1" si="1"/>
        <v>676020.130813553</v>
      </c>
      <c r="J64" s="22">
        <f t="shared" ca="1" si="3"/>
        <v>676020.130813553</v>
      </c>
      <c r="K64" s="1">
        <f t="shared" ca="1" si="6"/>
        <v>0</v>
      </c>
      <c r="L64" s="1" t="str">
        <f t="shared" ca="1" si="7"/>
        <v>Comisión Nacional de Regulación del Transporte (CNRT)</v>
      </c>
      <c r="AB64" s="22"/>
      <c r="AC64" s="22"/>
      <c r="AD64" s="22"/>
      <c r="AE64" s="22"/>
      <c r="AF64" s="22"/>
      <c r="AG64" s="22"/>
      <c r="AH64" s="22"/>
      <c r="AI64" s="22"/>
      <c r="AJ64" s="22"/>
      <c r="AK64" s="22"/>
      <c r="AL64" s="22"/>
      <c r="AP64" s="22"/>
      <c r="AQ64" s="22"/>
      <c r="AR64" s="22"/>
      <c r="AS64" s="22"/>
      <c r="AT64" s="22"/>
      <c r="AU64" s="22"/>
      <c r="AV64" s="22"/>
      <c r="AW64" s="22"/>
      <c r="AX64" s="22"/>
      <c r="AY64" s="22"/>
      <c r="AZ64" s="22"/>
    </row>
    <row r="65" spans="1:52" x14ac:dyDescent="0.2">
      <c r="A65" s="1" t="str">
        <f>tblIndicators!B61</f>
        <v>RAIL19</v>
      </c>
      <c r="B65" s="1">
        <f>tblIndicators!D61</f>
        <v>1</v>
      </c>
      <c r="C65" s="1">
        <f>tblIndicators!E61</f>
        <v>1</v>
      </c>
      <c r="D65" s="1" t="str">
        <f>IF(C65=0,UPPER(tblIndicators!O61),tblIndicators!O61)</f>
        <v>Average rail freight tariff</v>
      </c>
      <c r="E65" s="1" t="str">
        <f>IF($C65=1,tblIndicators!P61,"")</f>
        <v>US$/t-km</v>
      </c>
      <c r="F65" s="1" t="str">
        <f>IF($C65=1,tblIndicators!Q61,"")</f>
        <v>Railway transport</v>
      </c>
      <c r="G65" s="1">
        <f>IF($C65=1,tblIndicators!G61,"")</f>
        <v>2</v>
      </c>
      <c r="H65" s="1">
        <f t="shared" si="0"/>
        <v>897</v>
      </c>
      <c r="I65" s="1">
        <f t="shared" ca="1" si="1"/>
        <v>4.0663030697026703E-2</v>
      </c>
      <c r="J65" s="22">
        <f t="shared" ca="1" si="3"/>
        <v>4.0663030697026703E-2</v>
      </c>
      <c r="K65" s="1">
        <f t="shared" ca="1" si="6"/>
        <v>0</v>
      </c>
      <c r="L65" s="1" t="str">
        <f t="shared" ca="1" si="7"/>
        <v>Comisión Nacional de Regulación del Transporte (CNRT)</v>
      </c>
      <c r="AB65" s="22"/>
      <c r="AC65" s="22"/>
      <c r="AD65" s="22"/>
      <c r="AE65" s="22"/>
      <c r="AF65" s="22"/>
      <c r="AG65" s="22"/>
      <c r="AH65" s="22"/>
      <c r="AI65" s="22"/>
      <c r="AJ65" s="22"/>
      <c r="AK65" s="22"/>
      <c r="AL65" s="22"/>
      <c r="AP65" s="22"/>
      <c r="AQ65" s="22"/>
      <c r="AR65" s="22"/>
      <c r="AS65" s="22"/>
      <c r="AT65" s="22"/>
      <c r="AU65" s="22"/>
      <c r="AV65" s="22"/>
      <c r="AW65" s="22"/>
      <c r="AX65" s="22"/>
      <c r="AY65" s="22"/>
      <c r="AZ65" s="22"/>
    </row>
    <row r="66" spans="1:52" x14ac:dyDescent="0.2">
      <c r="A66" s="1" t="str">
        <f>tblIndicators!B62</f>
        <v>AIR</v>
      </c>
      <c r="B66" s="1">
        <f>tblIndicators!D62</f>
        <v>0</v>
      </c>
      <c r="C66" s="1">
        <f>tblIndicators!E62</f>
        <v>0</v>
      </c>
      <c r="D66" s="1" t="str">
        <f>IF(C66=0,UPPER(tblIndicators!O62),tblIndicators!O62)</f>
        <v xml:space="preserve">AIR TRANSPORTATION </v>
      </c>
      <c r="E66" s="1" t="str">
        <f>IF($C66=1,tblIndicators!P62,"")</f>
        <v/>
      </c>
      <c r="F66" s="1" t="str">
        <f>IF($C66=1,tblIndicators!Q62,"")</f>
        <v/>
      </c>
      <c r="G66" s="1" t="str">
        <f>IF($C66=1,tblIndicators!G62,"")</f>
        <v/>
      </c>
      <c r="H66" s="1" t="str">
        <f t="shared" si="0"/>
        <v/>
      </c>
      <c r="I66" s="1" t="str">
        <f t="shared" ca="1" si="1"/>
        <v/>
      </c>
      <c r="J66" s="22" t="str">
        <f t="shared" si="3"/>
        <v/>
      </c>
      <c r="K66" s="1" t="str">
        <f t="shared" ca="1" si="6"/>
        <v/>
      </c>
      <c r="L66" s="1" t="str">
        <f t="shared" ca="1" si="7"/>
        <v/>
      </c>
      <c r="AB66" s="22"/>
      <c r="AC66" s="22"/>
      <c r="AD66" s="22"/>
      <c r="AE66" s="22"/>
      <c r="AF66" s="22"/>
      <c r="AG66" s="22"/>
      <c r="AH66" s="22"/>
      <c r="AI66" s="22"/>
      <c r="AJ66" s="22"/>
      <c r="AK66" s="22"/>
      <c r="AL66" s="22"/>
      <c r="AP66" s="22"/>
      <c r="AQ66" s="22"/>
      <c r="AR66" s="22"/>
      <c r="AS66" s="22"/>
      <c r="AT66" s="22"/>
      <c r="AU66" s="22"/>
      <c r="AV66" s="22"/>
      <c r="AW66" s="22"/>
      <c r="AX66" s="22"/>
      <c r="AY66" s="22"/>
      <c r="AZ66" s="22"/>
    </row>
    <row r="67" spans="1:52" x14ac:dyDescent="0.2">
      <c r="A67" s="1" t="str">
        <f>tblIndicators!B63</f>
        <v>AIR01</v>
      </c>
      <c r="B67" s="1">
        <f>tblIndicators!D63</f>
        <v>1</v>
      </c>
      <c r="C67" s="1">
        <f>tblIndicators!E63</f>
        <v>1</v>
      </c>
      <c r="D67" s="1" t="str">
        <f>IF(C67=0,UPPER(tblIndicators!O63),tblIndicators!O63)</f>
        <v>International airports with cargo terminal facilities</v>
      </c>
      <c r="E67" s="1" t="str">
        <f>IF($C67=1,tblIndicators!P63,"")</f>
        <v># airports</v>
      </c>
      <c r="F67" s="1" t="str">
        <f>IF($C67=1,tblIndicators!Q63,"")</f>
        <v>Air transport</v>
      </c>
      <c r="G67" s="1">
        <f>IF($C67=1,tblIndicators!G63,"")</f>
        <v>0</v>
      </c>
      <c r="H67" s="1">
        <f t="shared" si="0"/>
        <v>905</v>
      </c>
      <c r="I67" s="1">
        <f t="shared" ca="1" si="1"/>
        <v>18</v>
      </c>
      <c r="J67" s="22">
        <f t="shared" ca="1" si="3"/>
        <v>18</v>
      </c>
      <c r="K67" s="1" t="str">
        <f t="shared" ca="1" si="6"/>
        <v>M Pistarini, Comodoro R Salomon, El Calafate, Formosa, E Mosconi, T. Noel, F. Gabrielli, Guzman, N. Fernandez, Gral S Martin, Pte Peron, Taravella, Resistencia, Islas Malvinas, M. de Guemes, Matienzo, Ushuaia, J Newbery</v>
      </c>
      <c r="L67" s="1" t="str">
        <f t="shared" ca="1" si="7"/>
        <v>Órgano Regulador del Sistema Nacional de Aeropuertos</v>
      </c>
      <c r="AB67" s="22"/>
      <c r="AC67" s="22"/>
      <c r="AD67" s="22"/>
      <c r="AE67" s="22"/>
      <c r="AF67" s="22"/>
      <c r="AG67" s="22"/>
      <c r="AH67" s="22"/>
      <c r="AI67" s="22"/>
      <c r="AJ67" s="22"/>
      <c r="AK67" s="22"/>
      <c r="AL67" s="22"/>
      <c r="AP67" s="22"/>
      <c r="AQ67" s="22"/>
      <c r="AR67" s="22"/>
      <c r="AS67" s="22"/>
      <c r="AT67" s="22"/>
      <c r="AU67" s="22"/>
      <c r="AV67" s="22"/>
      <c r="AW67" s="22"/>
      <c r="AX67" s="22"/>
      <c r="AY67" s="22"/>
      <c r="AZ67" s="22"/>
    </row>
    <row r="68" spans="1:52" x14ac:dyDescent="0.2">
      <c r="A68" s="1" t="str">
        <f>tblIndicators!B64</f>
        <v>AIR02</v>
      </c>
      <c r="B68" s="1">
        <f>tblIndicators!D64</f>
        <v>1</v>
      </c>
      <c r="C68" s="1">
        <f>tblIndicators!E64</f>
        <v>1</v>
      </c>
      <c r="D68" s="1" t="str">
        <f>IF(C68=0,UPPER(tblIndicators!O64),tblIndicators!O64)</f>
        <v>Maximum aircraft approach category</v>
      </c>
      <c r="E68" s="1" t="str">
        <f>IF($C68=1,tblIndicators!P64,"")</f>
        <v>FAA/OACI category</v>
      </c>
      <c r="F68" s="1" t="str">
        <f>IF($C68=1,tblIndicators!Q64,"")</f>
        <v>Air transport</v>
      </c>
      <c r="G68" s="1">
        <f>IF($C68=1,tblIndicators!G64,"")</f>
        <v>0</v>
      </c>
      <c r="H68" s="1">
        <f t="shared" si="0"/>
        <v>931</v>
      </c>
      <c r="I68" s="1">
        <f t="shared" ca="1" si="1"/>
        <v>5</v>
      </c>
      <c r="J68" s="22">
        <f t="shared" ca="1" si="3"/>
        <v>5</v>
      </c>
      <c r="K68" s="1" t="str">
        <f t="shared" ca="1" si="6"/>
        <v>M Pistarini, Comodoro R Salomon, El Calafate, Formosa, E Mosconi, T. Noel, F. Gabrielli, Guzman, N. Fernandez, Gral S Martin, Pte Peron, Taravella, Resistencia, Islas Malvinas, M. de Guemes, Matienzo, Ushuaia, J Newbery</v>
      </c>
      <c r="L68" s="1" t="str">
        <f t="shared" ca="1" si="7"/>
        <v>Órgano Regulador del Sistema Nacional de Aeropuertos</v>
      </c>
      <c r="AB68" s="22"/>
      <c r="AC68" s="22"/>
      <c r="AD68" s="22"/>
      <c r="AE68" s="22"/>
      <c r="AF68" s="22"/>
      <c r="AG68" s="22"/>
      <c r="AH68" s="22"/>
      <c r="AI68" s="22"/>
      <c r="AJ68" s="22"/>
      <c r="AK68" s="22"/>
      <c r="AL68" s="22"/>
      <c r="AP68" s="22"/>
      <c r="AQ68" s="22"/>
      <c r="AR68" s="22"/>
      <c r="AS68" s="22"/>
      <c r="AT68" s="22"/>
      <c r="AU68" s="22"/>
      <c r="AV68" s="22"/>
      <c r="AW68" s="22"/>
      <c r="AX68" s="22"/>
      <c r="AY68" s="22"/>
      <c r="AZ68" s="22"/>
    </row>
    <row r="69" spans="1:52" x14ac:dyDescent="0.2">
      <c r="A69" s="1" t="str">
        <f>tblIndicators!B65</f>
        <v>AIR03</v>
      </c>
      <c r="B69" s="1">
        <f>tblIndicators!D65</f>
        <v>1</v>
      </c>
      <c r="C69" s="1">
        <f>tblIndicators!E65</f>
        <v>1</v>
      </c>
      <c r="D69" s="1" t="str">
        <f>IF(C69=0,UPPER(tblIndicators!O65),tblIndicators!O65)</f>
        <v>Instrument approach available in international airports</v>
      </c>
      <c r="E69" s="1" t="str">
        <f>IF($C69=1,tblIndicators!P65,"")</f>
        <v>yes=1/no=0</v>
      </c>
      <c r="F69" s="1" t="str">
        <f>IF($C69=1,tblIndicators!Q65,"")</f>
        <v>Air transport</v>
      </c>
      <c r="G69" s="1">
        <f>IF($C69=1,tblIndicators!G65,"")</f>
        <v>0</v>
      </c>
      <c r="H69" s="1">
        <f t="shared" si="0"/>
        <v>947</v>
      </c>
      <c r="I69" s="1">
        <f t="shared" ca="1" si="1"/>
        <v>1</v>
      </c>
      <c r="J69" s="22">
        <f t="shared" ca="1" si="3"/>
        <v>1</v>
      </c>
      <c r="K69" s="1">
        <f t="shared" ca="1" si="6"/>
        <v>0</v>
      </c>
      <c r="L69" s="1" t="str">
        <f t="shared" ca="1" si="7"/>
        <v>Órgano Regulador del Sistema Nacional de Aeropuertos</v>
      </c>
      <c r="AB69" s="22"/>
      <c r="AC69" s="22"/>
      <c r="AD69" s="22"/>
      <c r="AE69" s="22"/>
      <c r="AF69" s="22"/>
      <c r="AG69" s="22"/>
      <c r="AH69" s="22"/>
      <c r="AI69" s="22"/>
      <c r="AJ69" s="22"/>
      <c r="AK69" s="22"/>
      <c r="AL69" s="22"/>
      <c r="AP69" s="22"/>
      <c r="AQ69" s="22"/>
      <c r="AR69" s="22"/>
      <c r="AS69" s="22"/>
      <c r="AT69" s="22"/>
      <c r="AU69" s="22"/>
      <c r="AV69" s="22"/>
      <c r="AW69" s="22"/>
      <c r="AX69" s="22"/>
      <c r="AY69" s="22"/>
      <c r="AZ69" s="22"/>
    </row>
    <row r="70" spans="1:52" x14ac:dyDescent="0.2">
      <c r="A70" s="1" t="str">
        <f>tblIndicators!B66</f>
        <v>AIR04</v>
      </c>
      <c r="B70" s="1">
        <f>tblIndicators!D66</f>
        <v>1</v>
      </c>
      <c r="C70" s="1">
        <f>tblIndicators!E66</f>
        <v>1</v>
      </c>
      <c r="D70" s="1" t="str">
        <f>IF(C70=0,UPPER(tblIndicators!O66),tblIndicators!O66)</f>
        <v>Cargo facilities area in international airports</v>
      </c>
      <c r="E70" s="1" t="str">
        <f>IF($C70=1,tblIndicators!P66,"")</f>
        <v>sq m</v>
      </c>
      <c r="F70" s="1" t="str">
        <f>IF($C70=1,tblIndicators!Q66,"")</f>
        <v>Air transport</v>
      </c>
      <c r="G70" s="1">
        <f>IF($C70=1,tblIndicators!G66,"")</f>
        <v>0</v>
      </c>
      <c r="H70" s="1">
        <f t="shared" ref="H70:H110" si="8">IF($C70=0,"",MATCH(CONCATENATE($F$2,"_",$A70),lu_DataCode,0))</f>
        <v>964</v>
      </c>
      <c r="I70" s="1">
        <f t="shared" ref="I70:I110" ca="1" si="9">IF($C70=0,"",INDEX(OFFSET(lu_DataCode,0,4),$H70))</f>
        <v>60000</v>
      </c>
      <c r="J70" s="22">
        <f t="shared" ca="1" si="3"/>
        <v>60000</v>
      </c>
      <c r="K70" s="1" t="str">
        <f t="shared" ca="1" si="6"/>
        <v>M Pistarini, Comodoro R Salomon, El Calafate, Formosa, E Mosconi, T. Noel, F. Gabrielli, Guzman, N. Fernandez, Gral S Martin, Pte Peron, Taravella, Resistencia, Islas Malvinas, M. de Guemes, Matienzo, Ushuaia, J Newbery</v>
      </c>
      <c r="L70" s="1" t="str">
        <f t="shared" ca="1" si="7"/>
        <v>Órgano Regulador del Sistema Nacional de Aeropuertos</v>
      </c>
      <c r="AB70" s="22"/>
      <c r="AC70" s="22"/>
      <c r="AD70" s="22"/>
      <c r="AE70" s="22"/>
      <c r="AF70" s="22"/>
      <c r="AG70" s="22"/>
      <c r="AH70" s="22"/>
      <c r="AI70" s="22"/>
      <c r="AJ70" s="22"/>
      <c r="AK70" s="22"/>
      <c r="AL70" s="22"/>
      <c r="AP70" s="22"/>
      <c r="AQ70" s="22"/>
      <c r="AR70" s="22"/>
      <c r="AS70" s="22"/>
      <c r="AT70" s="22"/>
      <c r="AU70" s="22"/>
      <c r="AV70" s="22"/>
      <c r="AW70" s="22"/>
      <c r="AX70" s="22"/>
      <c r="AY70" s="22"/>
      <c r="AZ70" s="22"/>
    </row>
    <row r="71" spans="1:52" x14ac:dyDescent="0.2">
      <c r="A71" s="1" t="str">
        <f>tblIndicators!B67</f>
        <v>AIR05</v>
      </c>
      <c r="B71" s="1">
        <f>tblIndicators!D67</f>
        <v>1</v>
      </c>
      <c r="C71" s="1">
        <f>tblIndicators!E67</f>
        <v>1</v>
      </c>
      <c r="D71" s="1" t="str">
        <f>IF(C71=0,UPPER(tblIndicators!O67),tblIndicators!O67)</f>
        <v>Domestic air freight</v>
      </c>
      <c r="E71" s="1" t="str">
        <f>IF($C71=1,tblIndicators!P67,"")</f>
        <v>tons</v>
      </c>
      <c r="F71" s="1" t="str">
        <f>IF($C71=1,tblIndicators!Q67,"")</f>
        <v>Air transport</v>
      </c>
      <c r="G71" s="1">
        <f>IF($C71=1,tblIndicators!G67,"")</f>
        <v>0</v>
      </c>
      <c r="H71" s="1">
        <f t="shared" si="8"/>
        <v>980</v>
      </c>
      <c r="I71" s="1">
        <f t="shared" ca="1" si="9"/>
        <v>9901.2800000000007</v>
      </c>
      <c r="J71" s="22">
        <f t="shared" ref="J71:J105" ca="1" si="10">IF($C71=0,"",IF(ISNUMBER(I71),I71,"-"))</f>
        <v>9901.2800000000007</v>
      </c>
      <c r="K71" s="1" t="str">
        <f t="shared" ref="K71:K102" ca="1" si="11">IF(OR($C71=0,NOT(ISNUMBER(H71))),"",INDEX(OFFSET(lu_DataCode,0,$K$3),$H71))</f>
        <v>INDEC collects the data annually.</v>
      </c>
      <c r="L71" s="1" t="str">
        <f t="shared" ref="L71:L102" ca="1" si="12">IF(OR($C71=0,NOT(ISNUMBER(H71))),"",INDEX(OFFSET(lu_DataCode,0,5),$H71))</f>
        <v>Instituto Nacional de Estadística y Censos (INDEC)</v>
      </c>
      <c r="AB71" s="22"/>
      <c r="AC71" s="22"/>
      <c r="AD71" s="22"/>
      <c r="AE71" s="22"/>
      <c r="AF71" s="22"/>
      <c r="AG71" s="22"/>
      <c r="AH71" s="22"/>
      <c r="AI71" s="22"/>
      <c r="AJ71" s="22"/>
      <c r="AK71" s="22"/>
      <c r="AL71" s="22"/>
      <c r="AP71" s="22"/>
      <c r="AQ71" s="22"/>
      <c r="AR71" s="22"/>
      <c r="AS71" s="22"/>
      <c r="AT71" s="22"/>
      <c r="AU71" s="22"/>
      <c r="AV71" s="22"/>
      <c r="AW71" s="22"/>
      <c r="AX71" s="22"/>
      <c r="AY71" s="22"/>
      <c r="AZ71" s="22"/>
    </row>
    <row r="72" spans="1:52" x14ac:dyDescent="0.2">
      <c r="A72" s="1" t="str">
        <f>tblIndicators!B68</f>
        <v>AIR06</v>
      </c>
      <c r="B72" s="1">
        <f>tblIndicators!D68</f>
        <v>1</v>
      </c>
      <c r="C72" s="1">
        <f>tblIndicators!E68</f>
        <v>1</v>
      </c>
      <c r="D72" s="1" t="str">
        <f>IF(C72=0,UPPER(tblIndicators!O68),tblIndicators!O68)</f>
        <v>International air freight</v>
      </c>
      <c r="E72" s="1" t="str">
        <f>IF($C72=1,tblIndicators!P68,"")</f>
        <v>tons</v>
      </c>
      <c r="F72" s="1" t="str">
        <f>IF($C72=1,tblIndicators!Q68,"")</f>
        <v>Air transport</v>
      </c>
      <c r="G72" s="1">
        <f>IF($C72=1,tblIndicators!G68,"")</f>
        <v>0</v>
      </c>
      <c r="H72" s="1">
        <f t="shared" si="8"/>
        <v>991</v>
      </c>
      <c r="I72" s="1">
        <f t="shared" ca="1" si="9"/>
        <v>245748.56</v>
      </c>
      <c r="J72" s="22">
        <f t="shared" ca="1" si="10"/>
        <v>245748.56</v>
      </c>
      <c r="K72" s="1" t="str">
        <f t="shared" ca="1" si="11"/>
        <v>INDEC collects the data annually.</v>
      </c>
      <c r="L72" s="1" t="str">
        <f t="shared" ca="1" si="12"/>
        <v>Instituto Nacional de Estadística y Censos (INDEC)</v>
      </c>
      <c r="AB72" s="22"/>
      <c r="AC72" s="22"/>
      <c r="AD72" s="22"/>
      <c r="AE72" s="22"/>
      <c r="AF72" s="22"/>
      <c r="AG72" s="22"/>
      <c r="AH72" s="22"/>
      <c r="AI72" s="22"/>
      <c r="AJ72" s="22"/>
      <c r="AK72" s="22"/>
      <c r="AL72" s="22"/>
      <c r="AP72" s="22"/>
      <c r="AQ72" s="22"/>
      <c r="AR72" s="22"/>
      <c r="AS72" s="22"/>
      <c r="AT72" s="22"/>
      <c r="AU72" s="22"/>
      <c r="AV72" s="22"/>
      <c r="AW72" s="22"/>
      <c r="AX72" s="22"/>
      <c r="AY72" s="22"/>
      <c r="AZ72" s="22"/>
    </row>
    <row r="73" spans="1:52" x14ac:dyDescent="0.2">
      <c r="A73" s="1" t="str">
        <f>tblIndicators!B69</f>
        <v>AIR07</v>
      </c>
      <c r="B73" s="1">
        <f>tblIndicators!D69</f>
        <v>1</v>
      </c>
      <c r="C73" s="1">
        <f>tblIndicators!E69</f>
        <v>1</v>
      </c>
      <c r="D73" s="1" t="str">
        <f>IF(C73=0,UPPER(tblIndicators!O69),tblIndicators!O69)</f>
        <v>Domestic air freight productivity</v>
      </c>
      <c r="E73" s="1" t="str">
        <f>IF($C73=1,tblIndicators!P69,"")</f>
        <v>million t-km</v>
      </c>
      <c r="F73" s="1" t="str">
        <f>IF($C73=1,tblIndicators!Q69,"")</f>
        <v>Air transport</v>
      </c>
      <c r="G73" s="1">
        <f>IF($C73=1,tblIndicators!G69,"")</f>
        <v>1</v>
      </c>
      <c r="H73" s="1" t="e">
        <f t="shared" si="8"/>
        <v>#N/A</v>
      </c>
      <c r="I73" s="1" t="e">
        <f t="shared" ca="1" si="9"/>
        <v>#N/A</v>
      </c>
      <c r="J73" s="22" t="str">
        <f t="shared" ca="1" si="10"/>
        <v>-</v>
      </c>
      <c r="K73" s="1" t="str">
        <f t="shared" ca="1" si="11"/>
        <v/>
      </c>
      <c r="L73" s="1" t="str">
        <f t="shared" ca="1" si="12"/>
        <v/>
      </c>
      <c r="AB73" s="22"/>
      <c r="AC73" s="22"/>
      <c r="AD73" s="22"/>
      <c r="AE73" s="22"/>
      <c r="AF73" s="22"/>
      <c r="AG73" s="22"/>
      <c r="AH73" s="22"/>
      <c r="AI73" s="22"/>
      <c r="AJ73" s="22"/>
      <c r="AK73" s="22"/>
      <c r="AL73" s="22"/>
      <c r="AP73" s="22"/>
      <c r="AQ73" s="22"/>
      <c r="AR73" s="22"/>
      <c r="AS73" s="22"/>
      <c r="AT73" s="22"/>
      <c r="AU73" s="22"/>
      <c r="AV73" s="22"/>
      <c r="AW73" s="22"/>
      <c r="AX73" s="22"/>
      <c r="AY73" s="22"/>
      <c r="AZ73" s="22"/>
    </row>
    <row r="74" spans="1:52" x14ac:dyDescent="0.2">
      <c r="A74" s="1" t="str">
        <f>tblIndicators!B70</f>
        <v>WATER</v>
      </c>
      <c r="B74" s="1">
        <f>tblIndicators!D70</f>
        <v>0</v>
      </c>
      <c r="C74" s="1">
        <f>tblIndicators!E70</f>
        <v>0</v>
      </c>
      <c r="D74" s="1" t="str">
        <f>IF(C74=0,UPPER(tblIndicators!O70),tblIndicators!O70)</f>
        <v xml:space="preserve">WATER TRANSPORTATION </v>
      </c>
      <c r="E74" s="1" t="str">
        <f>IF($C74=1,tblIndicators!P70,"")</f>
        <v/>
      </c>
      <c r="F74" s="1" t="str">
        <f>IF($C74=1,tblIndicators!Q70,"")</f>
        <v/>
      </c>
      <c r="G74" s="1" t="str">
        <f>IF($C74=1,tblIndicators!G70,"")</f>
        <v/>
      </c>
      <c r="H74" s="1" t="str">
        <f t="shared" si="8"/>
        <v/>
      </c>
      <c r="I74" s="1" t="str">
        <f t="shared" ca="1" si="9"/>
        <v/>
      </c>
      <c r="J74" s="22" t="str">
        <f t="shared" si="10"/>
        <v/>
      </c>
      <c r="K74" s="1" t="str">
        <f t="shared" ca="1" si="11"/>
        <v/>
      </c>
      <c r="L74" s="1" t="str">
        <f t="shared" ca="1" si="12"/>
        <v/>
      </c>
      <c r="AB74" s="22"/>
      <c r="AC74" s="22"/>
      <c r="AD74" s="22"/>
      <c r="AE74" s="22"/>
      <c r="AF74" s="22"/>
      <c r="AG74" s="22"/>
      <c r="AH74" s="22"/>
      <c r="AI74" s="22"/>
      <c r="AJ74" s="22"/>
      <c r="AK74" s="22"/>
      <c r="AL74" s="22"/>
      <c r="AP74" s="22"/>
      <c r="AQ74" s="22"/>
      <c r="AR74" s="22"/>
      <c r="AS74" s="22"/>
      <c r="AT74" s="22"/>
      <c r="AU74" s="22"/>
      <c r="AV74" s="22"/>
      <c r="AW74" s="22"/>
      <c r="AX74" s="22"/>
      <c r="AY74" s="22"/>
      <c r="AZ74" s="22"/>
    </row>
    <row r="75" spans="1:52" x14ac:dyDescent="0.2">
      <c r="A75" s="1" t="str">
        <f>tblIndicators!B71</f>
        <v>WATER01</v>
      </c>
      <c r="B75" s="1">
        <f>tblIndicators!D71</f>
        <v>1</v>
      </c>
      <c r="C75" s="1">
        <f>tblIndicators!E71</f>
        <v>1</v>
      </c>
      <c r="D75" s="1" t="str">
        <f>IF(C75=0,UPPER(tblIndicators!O71),tblIndicators!O71)</f>
        <v>Maximum draft in container terminal</v>
      </c>
      <c r="E75" s="1" t="str">
        <f>IF($C75=1,tblIndicators!P71,"")</f>
        <v>feet</v>
      </c>
      <c r="F75" s="1" t="str">
        <f>IF($C75=1,tblIndicators!Q71,"")</f>
        <v>Water transport</v>
      </c>
      <c r="G75" s="1">
        <f>IF($C75=1,tblIndicators!G71,"")</f>
        <v>0</v>
      </c>
      <c r="H75" s="1">
        <f t="shared" si="8"/>
        <v>1018</v>
      </c>
      <c r="I75" s="1">
        <f t="shared" ca="1" si="9"/>
        <v>32.808398950131199</v>
      </c>
      <c r="J75" s="22">
        <f t="shared" ca="1" si="10"/>
        <v>32.808398950131199</v>
      </c>
      <c r="K75" s="1" t="str">
        <f t="shared" ca="1" si="11"/>
        <v>Port of Buenos Aires.</v>
      </c>
      <c r="L75" s="1" t="str">
        <f t="shared" ca="1" si="12"/>
        <v>Consejo  Portuario Argentino</v>
      </c>
      <c r="AB75" s="22"/>
      <c r="AC75" s="22"/>
      <c r="AD75" s="22"/>
      <c r="AE75" s="22"/>
      <c r="AF75" s="22"/>
      <c r="AG75" s="22"/>
      <c r="AH75" s="22"/>
      <c r="AI75" s="22"/>
      <c r="AJ75" s="22"/>
      <c r="AK75" s="22"/>
      <c r="AL75" s="22"/>
      <c r="AP75" s="22"/>
      <c r="AQ75" s="22"/>
      <c r="AR75" s="22"/>
      <c r="AS75" s="22"/>
      <c r="AT75" s="22"/>
      <c r="AU75" s="22"/>
      <c r="AV75" s="22"/>
      <c r="AW75" s="22"/>
      <c r="AX75" s="22"/>
      <c r="AY75" s="22"/>
      <c r="AZ75" s="22"/>
    </row>
    <row r="76" spans="1:52" x14ac:dyDescent="0.2">
      <c r="A76" s="1" t="str">
        <f>tblIndicators!B72</f>
        <v>WATER02</v>
      </c>
      <c r="B76" s="1">
        <f>tblIndicators!D72</f>
        <v>1</v>
      </c>
      <c r="C76" s="1">
        <f>tblIndicators!E72</f>
        <v>1</v>
      </c>
      <c r="D76" s="1" t="str">
        <f>IF(C76=0,UPPER(tblIndicators!O72),tblIndicators!O72)</f>
        <v>Bridge cranes</v>
      </c>
      <c r="E76" s="1" t="str">
        <f>IF($C76=1,tblIndicators!P72,"")</f>
        <v>#</v>
      </c>
      <c r="F76" s="1" t="str">
        <f>IF($C76=1,tblIndicators!Q72,"")</f>
        <v>Water transport</v>
      </c>
      <c r="G76" s="1">
        <f>IF($C76=1,tblIndicators!G72,"")</f>
        <v>0</v>
      </c>
      <c r="H76" s="1">
        <f t="shared" si="8"/>
        <v>1042</v>
      </c>
      <c r="I76" s="1">
        <f t="shared" ca="1" si="9"/>
        <v>18</v>
      </c>
      <c r="J76" s="22">
        <f t="shared" ca="1" si="10"/>
        <v>18</v>
      </c>
      <c r="K76" s="1" t="str">
        <f t="shared" ca="1" si="11"/>
        <v>Port of Buenos Aires terminals.</v>
      </c>
      <c r="L76" s="1" t="str">
        <f t="shared" ca="1" si="12"/>
        <v>Consejo  Portuario Argentino</v>
      </c>
      <c r="AB76" s="22"/>
      <c r="AC76" s="22"/>
      <c r="AD76" s="22"/>
      <c r="AE76" s="22"/>
      <c r="AF76" s="22"/>
      <c r="AG76" s="22"/>
      <c r="AH76" s="22"/>
      <c r="AI76" s="22"/>
      <c r="AJ76" s="22"/>
      <c r="AK76" s="22"/>
      <c r="AL76" s="22"/>
      <c r="AP76" s="22"/>
      <c r="AQ76" s="22"/>
      <c r="AR76" s="22"/>
      <c r="AS76" s="22"/>
      <c r="AT76" s="22"/>
      <c r="AU76" s="22"/>
      <c r="AV76" s="22"/>
      <c r="AW76" s="22"/>
      <c r="AX76" s="22"/>
      <c r="AY76" s="22"/>
      <c r="AZ76" s="22"/>
    </row>
    <row r="77" spans="1:52" x14ac:dyDescent="0.2">
      <c r="A77" s="1" t="str">
        <f>tblIndicators!B73</f>
        <v>WATER03</v>
      </c>
      <c r="B77" s="1">
        <f>tblIndicators!D73</f>
        <v>1</v>
      </c>
      <c r="C77" s="1">
        <f>tblIndicators!E73</f>
        <v>1</v>
      </c>
      <c r="D77" s="1" t="str">
        <f>IF(C77=0,UPPER(tblIndicators!O73),tblIndicators!O73)</f>
        <v>Container and multipurpose berth length</v>
      </c>
      <c r="E77" s="1" t="str">
        <f>IF($C77=1,tblIndicators!P73,"")</f>
        <v>meters</v>
      </c>
      <c r="F77" s="1" t="str">
        <f>IF($C77=1,tblIndicators!Q73,"")</f>
        <v>Water transport</v>
      </c>
      <c r="G77" s="1">
        <f>IF($C77=1,tblIndicators!G73,"")</f>
        <v>0</v>
      </c>
      <c r="H77" s="1">
        <f t="shared" si="8"/>
        <v>1067</v>
      </c>
      <c r="I77" s="1">
        <f t="shared" ca="1" si="9"/>
        <v>26446.51</v>
      </c>
      <c r="J77" s="22">
        <f t="shared" ca="1" si="10"/>
        <v>26446.51</v>
      </c>
      <c r="K77" s="1" t="str">
        <f t="shared" ca="1" si="11"/>
        <v>Buenos Aires, Bahia Blanca, Mar del Plata, Barranqueras, Villa Constitucion, Comodoro Rivadavia, Madryn, Formosa, Caleta Paula, Deseado, Punta Quilla, Rio Gallegos, San Julian, Ushuaia</v>
      </c>
      <c r="L77" s="1" t="str">
        <f t="shared" ca="1" si="12"/>
        <v>Consejo  Portuario Argentino</v>
      </c>
      <c r="AB77" s="22"/>
      <c r="AC77" s="22"/>
      <c r="AD77" s="22"/>
      <c r="AE77" s="22"/>
      <c r="AF77" s="22"/>
      <c r="AG77" s="22"/>
      <c r="AH77" s="22"/>
      <c r="AI77" s="22"/>
      <c r="AJ77" s="22"/>
      <c r="AK77" s="22"/>
      <c r="AL77" s="22"/>
      <c r="AP77" s="22"/>
      <c r="AQ77" s="22"/>
      <c r="AR77" s="22"/>
      <c r="AS77" s="22"/>
      <c r="AT77" s="22"/>
      <c r="AU77" s="22"/>
      <c r="AV77" s="22"/>
      <c r="AW77" s="22"/>
      <c r="AX77" s="22"/>
      <c r="AY77" s="22"/>
      <c r="AZ77" s="22"/>
    </row>
    <row r="78" spans="1:52" x14ac:dyDescent="0.2">
      <c r="A78" s="1" t="str">
        <f>tblIndicators!B74</f>
        <v>WATER04</v>
      </c>
      <c r="B78" s="1">
        <f>tblIndicators!D74</f>
        <v>1</v>
      </c>
      <c r="C78" s="1">
        <f>tblIndicators!E74</f>
        <v>1</v>
      </c>
      <c r="D78" s="1" t="str">
        <f>IF(C78=0,UPPER(tblIndicators!O74),tblIndicators!O74)</f>
        <v>Container storage facilities area</v>
      </c>
      <c r="E78" s="1" t="str">
        <f>IF($C78=1,tblIndicators!P74,"")</f>
        <v>sq m</v>
      </c>
      <c r="F78" s="1" t="str">
        <f>IF($C78=1,tblIndicators!Q74,"")</f>
        <v>Water transport</v>
      </c>
      <c r="G78" s="1">
        <f>IF($C78=1,tblIndicators!G74,"")</f>
        <v>0</v>
      </c>
      <c r="H78" s="1">
        <f t="shared" si="8"/>
        <v>1091</v>
      </c>
      <c r="I78" s="1">
        <f t="shared" ca="1" si="9"/>
        <v>354920</v>
      </c>
      <c r="J78" s="22">
        <f t="shared" ca="1" si="10"/>
        <v>354920</v>
      </c>
      <c r="K78" s="1" t="str">
        <f t="shared" ca="1" si="11"/>
        <v>Buenos Aires, Bahia Blanca, Mar del Plata, Barranqueras, Villa Constitucion, Comodoro Rivadavia, Madryn, Formosa, Caleta Paula, Deseado, Punta Quilla, Rio Gallegos, San Julian, Ushuaia</v>
      </c>
      <c r="L78" s="1" t="str">
        <f t="shared" ca="1" si="12"/>
        <v>Consejo  Portuario Argentino</v>
      </c>
      <c r="AB78" s="22"/>
      <c r="AC78" s="22"/>
      <c r="AD78" s="22"/>
      <c r="AE78" s="22"/>
      <c r="AF78" s="22"/>
      <c r="AG78" s="22"/>
      <c r="AH78" s="22"/>
      <c r="AI78" s="22"/>
      <c r="AJ78" s="22"/>
      <c r="AK78" s="22"/>
      <c r="AL78" s="22"/>
      <c r="AP78" s="22"/>
      <c r="AQ78" s="22"/>
      <c r="AR78" s="22"/>
      <c r="AS78" s="22"/>
      <c r="AT78" s="22"/>
      <c r="AU78" s="22"/>
      <c r="AV78" s="22"/>
      <c r="AW78" s="22"/>
      <c r="AX78" s="22"/>
      <c r="AY78" s="22"/>
      <c r="AZ78" s="22"/>
    </row>
    <row r="79" spans="1:52" x14ac:dyDescent="0.2">
      <c r="A79" s="1" t="str">
        <f>tblIndicators!B75</f>
        <v>WATER05</v>
      </c>
      <c r="B79" s="1">
        <f>tblIndicators!D75</f>
        <v>1</v>
      </c>
      <c r="C79" s="1">
        <f>tblIndicators!E75</f>
        <v>1</v>
      </c>
      <c r="D79" s="1" t="str">
        <f>IF(C79=0,UPPER(tblIndicators!O75),tblIndicators!O75)</f>
        <v>Flag state commercial vessels</v>
      </c>
      <c r="E79" s="1" t="str">
        <f>IF($C79=1,tblIndicators!P75,"")</f>
        <v>DWT (thousands)</v>
      </c>
      <c r="F79" s="1" t="str">
        <f>IF($C79=1,tblIndicators!Q75,"")</f>
        <v>Water transport</v>
      </c>
      <c r="G79" s="1">
        <f>IF($C79=1,tblIndicators!G75,"")</f>
        <v>1</v>
      </c>
      <c r="H79" s="1">
        <f t="shared" si="8"/>
        <v>1115</v>
      </c>
      <c r="I79" s="1">
        <f t="shared" ca="1" si="9"/>
        <v>829.16</v>
      </c>
      <c r="J79" s="22">
        <f t="shared" ca="1" si="10"/>
        <v>829.16</v>
      </c>
      <c r="K79" s="1">
        <f t="shared" ca="1" si="11"/>
        <v>0</v>
      </c>
      <c r="L79" s="1" t="str">
        <f t="shared" ca="1" si="12"/>
        <v>Comisión Económica para América Latina y el Caribe (CEPAL)</v>
      </c>
      <c r="AB79" s="22"/>
      <c r="AC79" s="22"/>
      <c r="AD79" s="22"/>
      <c r="AE79" s="22"/>
      <c r="AF79" s="22"/>
      <c r="AG79" s="22"/>
      <c r="AH79" s="22"/>
      <c r="AI79" s="22"/>
      <c r="AJ79" s="22"/>
      <c r="AK79" s="22"/>
      <c r="AL79" s="22"/>
      <c r="AP79" s="22"/>
      <c r="AQ79" s="22"/>
      <c r="AR79" s="22"/>
      <c r="AS79" s="22"/>
      <c r="AT79" s="22"/>
      <c r="AU79" s="22"/>
      <c r="AV79" s="22"/>
      <c r="AW79" s="22"/>
      <c r="AX79" s="22"/>
      <c r="AY79" s="22"/>
      <c r="AZ79" s="22"/>
    </row>
    <row r="80" spans="1:52" x14ac:dyDescent="0.2">
      <c r="A80" s="1" t="str">
        <f>tblIndicators!B76</f>
        <v>WATER06</v>
      </c>
      <c r="B80" s="1">
        <f>tblIndicators!D76</f>
        <v>1</v>
      </c>
      <c r="C80" s="1">
        <f>tblIndicators!E76</f>
        <v>1</v>
      </c>
      <c r="D80" s="1" t="str">
        <f>IF(C80=0,UPPER(tblIndicators!O76),tblIndicators!O76)</f>
        <v>Total port traffic</v>
      </c>
      <c r="E80" s="1" t="str">
        <f>IF($C80=1,tblIndicators!P76,"")</f>
        <v>tons</v>
      </c>
      <c r="F80" s="1" t="str">
        <f>IF($C80=1,tblIndicators!Q76,"")</f>
        <v>Water transport</v>
      </c>
      <c r="G80" s="1">
        <f>IF($C80=1,tblIndicators!G76,"")</f>
        <v>0</v>
      </c>
      <c r="H80" s="1" t="e">
        <f t="shared" si="8"/>
        <v>#N/A</v>
      </c>
      <c r="I80" s="1" t="e">
        <f t="shared" ca="1" si="9"/>
        <v>#N/A</v>
      </c>
      <c r="J80" s="22" t="str">
        <f t="shared" ca="1" si="10"/>
        <v>-</v>
      </c>
      <c r="K80" s="1" t="str">
        <f t="shared" ca="1" si="11"/>
        <v/>
      </c>
      <c r="L80" s="1" t="str">
        <f t="shared" ca="1" si="12"/>
        <v/>
      </c>
      <c r="AB80" s="22"/>
      <c r="AC80" s="22"/>
      <c r="AD80" s="22"/>
      <c r="AE80" s="22"/>
      <c r="AF80" s="22"/>
      <c r="AG80" s="22"/>
      <c r="AH80" s="22"/>
      <c r="AI80" s="22"/>
      <c r="AJ80" s="22"/>
      <c r="AK80" s="22"/>
      <c r="AL80" s="22"/>
      <c r="AP80" s="22"/>
      <c r="AQ80" s="22"/>
      <c r="AR80" s="22"/>
      <c r="AS80" s="22"/>
      <c r="AT80" s="22"/>
      <c r="AU80" s="22"/>
      <c r="AV80" s="22"/>
      <c r="AW80" s="22"/>
      <c r="AX80" s="22"/>
      <c r="AY80" s="22"/>
      <c r="AZ80" s="22"/>
    </row>
    <row r="81" spans="1:52" x14ac:dyDescent="0.2">
      <c r="A81" s="1" t="str">
        <f>tblIndicators!B77</f>
        <v>WATER07</v>
      </c>
      <c r="B81" s="1">
        <f>tblIndicators!D77</f>
        <v>1</v>
      </c>
      <c r="C81" s="1">
        <f>tblIndicators!E77</f>
        <v>1</v>
      </c>
      <c r="D81" s="1" t="str">
        <f>IF(C81=0,UPPER(tblIndicators!O77),tblIndicators!O77)</f>
        <v>Exports port traffic</v>
      </c>
      <c r="E81" s="1" t="str">
        <f>IF($C81=1,tblIndicators!P77,"")</f>
        <v>tons</v>
      </c>
      <c r="F81" s="1" t="str">
        <f>IF($C81=1,tblIndicators!Q77,"")</f>
        <v>Water transport</v>
      </c>
      <c r="G81" s="1">
        <f>IF($C81=1,tblIndicators!G77,"")</f>
        <v>0</v>
      </c>
      <c r="H81" s="1">
        <f t="shared" si="8"/>
        <v>1161</v>
      </c>
      <c r="I81" s="1">
        <f t="shared" ca="1" si="9"/>
        <v>94187195.261287004</v>
      </c>
      <c r="J81" s="22">
        <f t="shared" ca="1" si="10"/>
        <v>94187195.261287004</v>
      </c>
      <c r="K81" s="1">
        <f t="shared" ca="1" si="11"/>
        <v>0</v>
      </c>
      <c r="L81" s="1" t="str">
        <f t="shared" ca="1" si="12"/>
        <v>Instituto Nacional de Estadística y Censos (INDEC)</v>
      </c>
      <c r="AB81" s="22"/>
      <c r="AC81" s="22"/>
      <c r="AD81" s="22"/>
      <c r="AE81" s="22"/>
      <c r="AF81" s="22"/>
      <c r="AG81" s="22"/>
      <c r="AH81" s="22"/>
      <c r="AI81" s="22"/>
      <c r="AJ81" s="22"/>
      <c r="AK81" s="22"/>
      <c r="AL81" s="22"/>
      <c r="AP81" s="22"/>
      <c r="AQ81" s="22"/>
      <c r="AR81" s="22"/>
      <c r="AS81" s="22"/>
      <c r="AT81" s="22"/>
      <c r="AU81" s="22"/>
      <c r="AV81" s="22"/>
      <c r="AW81" s="22"/>
      <c r="AX81" s="22"/>
      <c r="AY81" s="22"/>
      <c r="AZ81" s="22"/>
    </row>
    <row r="82" spans="1:52" x14ac:dyDescent="0.2">
      <c r="A82" s="1" t="str">
        <f>tblIndicators!B78</f>
        <v>WATER08</v>
      </c>
      <c r="B82" s="1">
        <f>tblIndicators!D78</f>
        <v>1</v>
      </c>
      <c r="C82" s="1">
        <f>tblIndicators!E78</f>
        <v>1</v>
      </c>
      <c r="D82" s="1" t="str">
        <f>IF(C82=0,UPPER(tblIndicators!O78),tblIndicators!O78)</f>
        <v>Imports port traffic</v>
      </c>
      <c r="E82" s="1" t="str">
        <f>IF($C82=1,tblIndicators!P78,"")</f>
        <v>tons</v>
      </c>
      <c r="F82" s="1" t="str">
        <f>IF($C82=1,tblIndicators!Q78,"")</f>
        <v>Water transport</v>
      </c>
      <c r="G82" s="1">
        <f>IF($C82=1,tblIndicators!G78,"")</f>
        <v>0</v>
      </c>
      <c r="H82" s="1">
        <f t="shared" si="8"/>
        <v>1183</v>
      </c>
      <c r="I82" s="1">
        <f t="shared" ca="1" si="9"/>
        <v>36662289.182351999</v>
      </c>
      <c r="J82" s="22">
        <f t="shared" ca="1" si="10"/>
        <v>36662289.182351999</v>
      </c>
      <c r="K82" s="1">
        <f t="shared" ca="1" si="11"/>
        <v>0</v>
      </c>
      <c r="L82" s="1" t="str">
        <f t="shared" ca="1" si="12"/>
        <v>Instituto Nacional de Estadística y Censos (INDEC)</v>
      </c>
      <c r="AB82" s="22"/>
      <c r="AC82" s="22"/>
      <c r="AD82" s="22"/>
      <c r="AE82" s="22"/>
      <c r="AF82" s="22"/>
      <c r="AG82" s="22"/>
      <c r="AH82" s="22"/>
      <c r="AI82" s="22"/>
      <c r="AJ82" s="22"/>
      <c r="AK82" s="22"/>
      <c r="AL82" s="22"/>
      <c r="AP82" s="22"/>
      <c r="AQ82" s="22"/>
      <c r="AR82" s="22"/>
      <c r="AS82" s="22"/>
      <c r="AT82" s="22"/>
      <c r="AU82" s="22"/>
      <c r="AV82" s="22"/>
      <c r="AW82" s="22"/>
      <c r="AX82" s="22"/>
      <c r="AY82" s="22"/>
      <c r="AZ82" s="22"/>
    </row>
    <row r="83" spans="1:52" x14ac:dyDescent="0.2">
      <c r="A83" s="1" t="str">
        <f>tblIndicators!B79</f>
        <v>WATER09</v>
      </c>
      <c r="B83" s="1">
        <f>tblIndicators!D79</f>
        <v>1</v>
      </c>
      <c r="C83" s="1">
        <f>tblIndicators!E79</f>
        <v>1</v>
      </c>
      <c r="D83" s="1" t="str">
        <f>IF(C83=0,UPPER(tblIndicators!O79),tblIndicators!O79)</f>
        <v>Total port traffic domestic movements (inbound &amp; outbound)</v>
      </c>
      <c r="E83" s="1" t="str">
        <f>IF($C83=1,tblIndicators!P79,"")</f>
        <v>tons</v>
      </c>
      <c r="F83" s="1" t="str">
        <f>IF($C83=1,tblIndicators!Q79,"")</f>
        <v>Water transport</v>
      </c>
      <c r="G83" s="1">
        <f>IF($C83=1,tblIndicators!G79,"")</f>
        <v>0</v>
      </c>
      <c r="H83" s="1" t="e">
        <f t="shared" si="8"/>
        <v>#N/A</v>
      </c>
      <c r="I83" s="1" t="e">
        <f t="shared" ca="1" si="9"/>
        <v>#N/A</v>
      </c>
      <c r="J83" s="22" t="str">
        <f t="shared" ca="1" si="10"/>
        <v>-</v>
      </c>
      <c r="K83" s="1" t="str">
        <f t="shared" ca="1" si="11"/>
        <v/>
      </c>
      <c r="L83" s="1" t="str">
        <f t="shared" ca="1" si="12"/>
        <v/>
      </c>
      <c r="AB83" s="22"/>
      <c r="AC83" s="22"/>
      <c r="AD83" s="22"/>
      <c r="AE83" s="22"/>
      <c r="AF83" s="22"/>
      <c r="AG83" s="22"/>
      <c r="AH83" s="22"/>
      <c r="AI83" s="22"/>
      <c r="AJ83" s="22"/>
      <c r="AK83" s="22"/>
      <c r="AL83" s="22"/>
      <c r="AP83" s="22"/>
      <c r="AQ83" s="22"/>
      <c r="AR83" s="22"/>
      <c r="AS83" s="22"/>
      <c r="AT83" s="22"/>
      <c r="AU83" s="22"/>
      <c r="AV83" s="22"/>
      <c r="AW83" s="22"/>
      <c r="AX83" s="22"/>
      <c r="AY83" s="22"/>
      <c r="AZ83" s="22"/>
    </row>
    <row r="84" spans="1:52" x14ac:dyDescent="0.2">
      <c r="A84" s="1" t="str">
        <f>tblIndicators!B80</f>
        <v>WATER10</v>
      </c>
      <c r="B84" s="1">
        <f>tblIndicators!D80</f>
        <v>1</v>
      </c>
      <c r="C84" s="1">
        <f>tblIndicators!E80</f>
        <v>1</v>
      </c>
      <c r="D84" s="1" t="str">
        <f>IF(C84=0,UPPER(tblIndicators!O80),tblIndicators!O80)</f>
        <v>Port container traffic</v>
      </c>
      <c r="E84" s="1" t="str">
        <f>IF($C84=1,tblIndicators!P80,"")</f>
        <v>TEU</v>
      </c>
      <c r="F84" s="1" t="str">
        <f>IF($C84=1,tblIndicators!Q80,"")</f>
        <v>Water transport</v>
      </c>
      <c r="G84" s="1">
        <f>IF($C84=1,tblIndicators!G80,"")</f>
        <v>0</v>
      </c>
      <c r="H84" s="1">
        <f t="shared" si="8"/>
        <v>1215</v>
      </c>
      <c r="I84" s="1">
        <f t="shared" ca="1" si="9"/>
        <v>1852160</v>
      </c>
      <c r="J84" s="22">
        <f t="shared" ca="1" si="10"/>
        <v>1852160</v>
      </c>
      <c r="K84" s="1">
        <f t="shared" ca="1" si="11"/>
        <v>0</v>
      </c>
      <c r="L84" s="1" t="str">
        <f t="shared" ca="1" si="12"/>
        <v>Comisión Económica para América Latina y el Caribe (CEPAL)</v>
      </c>
      <c r="AB84" s="22"/>
      <c r="AC84" s="22"/>
      <c r="AD84" s="22"/>
      <c r="AE84" s="22"/>
      <c r="AF84" s="22"/>
      <c r="AG84" s="22"/>
      <c r="AH84" s="22"/>
      <c r="AI84" s="22"/>
      <c r="AJ84" s="22"/>
      <c r="AK84" s="22"/>
      <c r="AL84" s="22"/>
      <c r="AP84" s="22"/>
      <c r="AQ84" s="22"/>
      <c r="AR84" s="22"/>
      <c r="AS84" s="22"/>
      <c r="AT84" s="22"/>
      <c r="AU84" s="22"/>
      <c r="AV84" s="22"/>
      <c r="AW84" s="22"/>
      <c r="AX84" s="22"/>
      <c r="AY84" s="22"/>
      <c r="AZ84" s="22"/>
    </row>
    <row r="85" spans="1:52" x14ac:dyDescent="0.2">
      <c r="A85" s="1" t="str">
        <f>tblIndicators!B81</f>
        <v>WATER11</v>
      </c>
      <c r="B85" s="1">
        <f>tblIndicators!D81</f>
        <v>1</v>
      </c>
      <c r="C85" s="1">
        <f>tblIndicators!E81</f>
        <v>1</v>
      </c>
      <c r="D85" s="1" t="str">
        <f>IF(C85=0,UPPER(tblIndicators!O81),tblIndicators!O81)</f>
        <v>Inland waterway traffic</v>
      </c>
      <c r="E85" s="1" t="str">
        <f>IF($C85=1,tblIndicators!P81,"")</f>
        <v>tons</v>
      </c>
      <c r="F85" s="1" t="str">
        <f>IF($C85=1,tblIndicators!Q81,"")</f>
        <v>Water transport</v>
      </c>
      <c r="G85" s="1">
        <f>IF($C85=1,tblIndicators!G81,"")</f>
        <v>0</v>
      </c>
      <c r="H85" s="1">
        <f t="shared" si="8"/>
        <v>1240</v>
      </c>
      <c r="I85" s="1">
        <f t="shared" ca="1" si="9"/>
        <v>225288304.88299999</v>
      </c>
      <c r="J85" s="22">
        <f t="shared" ca="1" si="10"/>
        <v>225288304.88299999</v>
      </c>
      <c r="K85" s="1" t="str">
        <f t="shared" ca="1" si="11"/>
        <v>Based on data extrapolation from years 2008-2011. Annual frequency.</v>
      </c>
      <c r="L85" s="1" t="str">
        <f t="shared" ca="1" si="12"/>
        <v>Instituto Nacional de Estadística y Censos (INDEC)</v>
      </c>
      <c r="AB85" s="22"/>
      <c r="AC85" s="22"/>
      <c r="AD85" s="22"/>
      <c r="AE85" s="22"/>
      <c r="AF85" s="22"/>
      <c r="AG85" s="22"/>
      <c r="AH85" s="22"/>
      <c r="AI85" s="22"/>
      <c r="AJ85" s="22"/>
      <c r="AK85" s="22"/>
      <c r="AL85" s="22"/>
      <c r="AP85" s="22"/>
      <c r="AQ85" s="22"/>
      <c r="AR85" s="22"/>
      <c r="AS85" s="22"/>
      <c r="AT85" s="22"/>
      <c r="AU85" s="22"/>
      <c r="AV85" s="22"/>
      <c r="AW85" s="22"/>
      <c r="AX85" s="22"/>
      <c r="AY85" s="22"/>
      <c r="AZ85" s="22"/>
    </row>
    <row r="86" spans="1:52" x14ac:dyDescent="0.2">
      <c r="A86" s="1" t="str">
        <f>tblIndicators!B82</f>
        <v>WATER12</v>
      </c>
      <c r="B86" s="1">
        <f>tblIndicators!D82</f>
        <v>1</v>
      </c>
      <c r="C86" s="1">
        <f>tblIndicators!E82</f>
        <v>1</v>
      </c>
      <c r="D86" s="1" t="str">
        <f>IF(C86=0,UPPER(tblIndicators!O82),tblIndicators!O82)</f>
        <v>Maritime cabotage traffic</v>
      </c>
      <c r="E86" s="1" t="str">
        <f>IF($C86=1,tblIndicators!P82,"")</f>
        <v>tons</v>
      </c>
      <c r="F86" s="1" t="str">
        <f>IF($C86=1,tblIndicators!Q82,"")</f>
        <v>Water transport</v>
      </c>
      <c r="G86" s="1">
        <f>IF($C86=1,tblIndicators!G82,"")</f>
        <v>0</v>
      </c>
      <c r="H86" s="1" t="e">
        <f t="shared" si="8"/>
        <v>#N/A</v>
      </c>
      <c r="I86" s="1" t="e">
        <f t="shared" ca="1" si="9"/>
        <v>#N/A</v>
      </c>
      <c r="J86" s="22" t="str">
        <f t="shared" ca="1" si="10"/>
        <v>-</v>
      </c>
      <c r="K86" s="1" t="str">
        <f t="shared" ca="1" si="11"/>
        <v/>
      </c>
      <c r="L86" s="1" t="str">
        <f t="shared" ca="1" si="12"/>
        <v/>
      </c>
      <c r="AB86" s="22"/>
      <c r="AC86" s="22"/>
      <c r="AD86" s="22"/>
      <c r="AE86" s="22"/>
      <c r="AF86" s="22"/>
      <c r="AG86" s="22"/>
      <c r="AH86" s="22"/>
      <c r="AI86" s="22"/>
      <c r="AJ86" s="22"/>
      <c r="AK86" s="22"/>
      <c r="AL86" s="22"/>
      <c r="AP86" s="22"/>
      <c r="AQ86" s="22"/>
      <c r="AR86" s="22"/>
      <c r="AS86" s="22"/>
      <c r="AT86" s="22"/>
      <c r="AU86" s="22"/>
      <c r="AV86" s="22"/>
      <c r="AW86" s="22"/>
      <c r="AX86" s="22"/>
      <c r="AY86" s="22"/>
      <c r="AZ86" s="22"/>
    </row>
    <row r="87" spans="1:52" x14ac:dyDescent="0.2">
      <c r="A87" s="1" t="str">
        <f>tblIndicators!B83</f>
        <v>WATER14</v>
      </c>
      <c r="B87" s="1">
        <f>tblIndicators!D83</f>
        <v>1</v>
      </c>
      <c r="C87" s="1">
        <f>tblIndicators!E83</f>
        <v>1</v>
      </c>
      <c r="D87" s="1" t="str">
        <f>IF(C87=0,UPPER(tblIndicators!O83),tblIndicators!O83)</f>
        <v>Average tariff  maritime cabotage</v>
      </c>
      <c r="E87" s="1" t="str">
        <f>IF($C87=1,tblIndicators!P83,"")</f>
        <v>US$/t-km</v>
      </c>
      <c r="F87" s="1" t="str">
        <f>IF($C87=1,tblIndicators!Q83,"")</f>
        <v>Water transport</v>
      </c>
      <c r="G87" s="1">
        <f>IF($C87=1,tblIndicators!G83,"")</f>
        <v>2</v>
      </c>
      <c r="H87" s="1" t="e">
        <f t="shared" si="8"/>
        <v>#N/A</v>
      </c>
      <c r="I87" s="1" t="e">
        <f t="shared" ca="1" si="9"/>
        <v>#N/A</v>
      </c>
      <c r="J87" s="22" t="str">
        <f t="shared" ca="1" si="10"/>
        <v>-</v>
      </c>
      <c r="K87" s="1" t="str">
        <f t="shared" ca="1" si="11"/>
        <v/>
      </c>
      <c r="L87" s="1" t="str">
        <f t="shared" ca="1" si="12"/>
        <v/>
      </c>
      <c r="AB87" s="22"/>
      <c r="AC87" s="22"/>
      <c r="AD87" s="22"/>
      <c r="AE87" s="22"/>
      <c r="AF87" s="22"/>
      <c r="AG87" s="22"/>
      <c r="AH87" s="22"/>
      <c r="AI87" s="22"/>
      <c r="AJ87" s="22"/>
      <c r="AK87" s="22"/>
      <c r="AL87" s="22"/>
      <c r="AP87" s="22"/>
      <c r="AQ87" s="22"/>
      <c r="AR87" s="22"/>
      <c r="AS87" s="22"/>
      <c r="AT87" s="22"/>
      <c r="AU87" s="22"/>
      <c r="AV87" s="22"/>
      <c r="AW87" s="22"/>
      <c r="AX87" s="22"/>
      <c r="AY87" s="22"/>
      <c r="AZ87" s="22"/>
    </row>
    <row r="88" spans="1:52" x14ac:dyDescent="0.2">
      <c r="A88" s="1" t="str">
        <f>tblIndicators!B84</f>
        <v>WATER17</v>
      </c>
      <c r="B88" s="1">
        <f>tblIndicators!D84</f>
        <v>1</v>
      </c>
      <c r="C88" s="1">
        <f>tblIndicators!E84</f>
        <v>1</v>
      </c>
      <c r="D88" s="1" t="str">
        <f>IF(C88=0,UPPER(tblIndicators!O84),tblIndicators!O84)</f>
        <v>Liner shipping connectivity index</v>
      </c>
      <c r="E88" s="1" t="str">
        <f>IF($C88=1,tblIndicators!P84,"")</f>
        <v>2004=100</v>
      </c>
      <c r="F88" s="1" t="str">
        <f>IF($C88=1,tblIndicators!Q84,"")</f>
        <v>Water transport</v>
      </c>
      <c r="G88" s="1">
        <f>IF($C88=1,tblIndicators!G84,"")</f>
        <v>1</v>
      </c>
      <c r="H88" s="1">
        <f t="shared" si="8"/>
        <v>1255</v>
      </c>
      <c r="I88" s="1">
        <f t="shared" ca="1" si="9"/>
        <v>34.208993786699999</v>
      </c>
      <c r="J88" s="22">
        <f t="shared" ca="1" si="10"/>
        <v>34.208993786699999</v>
      </c>
      <c r="K88" s="1" t="str">
        <f t="shared" ca="1" si="11"/>
        <v>UNCTAD calculates the index annually.</v>
      </c>
      <c r="L88" s="1" t="str">
        <f t="shared" ca="1" si="12"/>
        <v>Conferencia de las Naciones Unidas sobre Comercio y Desarrollo (CNUCYD/UNCTAD)</v>
      </c>
      <c r="AB88" s="22"/>
      <c r="AC88" s="22"/>
      <c r="AD88" s="22"/>
      <c r="AE88" s="22"/>
      <c r="AF88" s="22"/>
      <c r="AG88" s="22"/>
      <c r="AH88" s="22"/>
      <c r="AI88" s="22"/>
      <c r="AJ88" s="22"/>
      <c r="AK88" s="22"/>
      <c r="AL88" s="22"/>
      <c r="AP88" s="22"/>
      <c r="AQ88" s="22"/>
      <c r="AR88" s="22"/>
      <c r="AS88" s="22"/>
      <c r="AT88" s="22"/>
      <c r="AU88" s="22"/>
      <c r="AV88" s="22"/>
      <c r="AW88" s="22"/>
      <c r="AX88" s="22"/>
      <c r="AY88" s="22"/>
      <c r="AZ88" s="22"/>
    </row>
    <row r="89" spans="1:52" x14ac:dyDescent="0.2">
      <c r="A89" s="1" t="str">
        <f>tblIndicators!B85</f>
        <v>WATER20</v>
      </c>
      <c r="B89" s="1">
        <f>tblIndicators!D85</f>
        <v>1</v>
      </c>
      <c r="C89" s="1">
        <f>tblIndicators!E85</f>
        <v>1</v>
      </c>
      <c r="D89" s="1" t="str">
        <f>IF(C89=0,UPPER(tblIndicators!O85),tblIndicators!O85)</f>
        <v>Container terminal utilization</v>
      </c>
      <c r="E89" s="1" t="str">
        <f>IF($C89=1,tblIndicators!P85,"")</f>
        <v>%</v>
      </c>
      <c r="F89" s="1" t="str">
        <f>IF($C89=1,tblIndicators!Q85,"")</f>
        <v>Logistics indicators</v>
      </c>
      <c r="G89" s="1">
        <f>IF($C89=1,tblIndicators!G85,"")</f>
        <v>1</v>
      </c>
      <c r="H89" s="1">
        <f t="shared" si="8"/>
        <v>1325</v>
      </c>
      <c r="I89" s="1">
        <f t="shared" ca="1" si="9"/>
        <v>0.48696737314501598</v>
      </c>
      <c r="J89" s="22">
        <f t="shared" ca="1" si="10"/>
        <v>0.48696737314501598</v>
      </c>
      <c r="K89" s="1" t="str">
        <f t="shared" ca="1" si="11"/>
        <v>Includes terminals from the Port of Buenos Aires.</v>
      </c>
      <c r="L89" s="1" t="str">
        <f t="shared" ca="1" si="12"/>
        <v>CEPAL (2010), Drewry (2012) y Anuario internacional de contenerizacion (2012)</v>
      </c>
      <c r="AB89" s="22"/>
      <c r="AC89" s="22"/>
      <c r="AD89" s="22"/>
      <c r="AE89" s="22"/>
      <c r="AF89" s="22"/>
      <c r="AG89" s="22"/>
      <c r="AH89" s="22"/>
      <c r="AI89" s="22"/>
      <c r="AJ89" s="22"/>
      <c r="AK89" s="22"/>
      <c r="AL89" s="22"/>
      <c r="AP89" s="22"/>
      <c r="AQ89" s="22"/>
      <c r="AR89" s="22"/>
      <c r="AS89" s="22"/>
      <c r="AT89" s="22"/>
      <c r="AU89" s="22"/>
      <c r="AV89" s="22"/>
      <c r="AW89" s="22"/>
      <c r="AX89" s="22"/>
      <c r="AY89" s="22"/>
      <c r="AZ89" s="22"/>
    </row>
    <row r="90" spans="1:52" x14ac:dyDescent="0.2">
      <c r="A90" s="1" t="str">
        <f>tblIndicators!B86</f>
        <v>WATER21</v>
      </c>
      <c r="B90" s="1">
        <f>tblIndicators!D86</f>
        <v>1</v>
      </c>
      <c r="C90" s="1">
        <f>tblIndicators!E86</f>
        <v>1</v>
      </c>
      <c r="D90" s="1" t="str">
        <f>IF(C90=0,UPPER(tblIndicators!O86),tblIndicators!O86)</f>
        <v>Container terminal extent of competition</v>
      </c>
      <c r="E90" s="1" t="str">
        <f>IF($C90=1,tblIndicators!P86,"")</f>
        <v># terminals</v>
      </c>
      <c r="F90" s="1" t="str">
        <f>IF($C90=1,tblIndicators!Q86,"")</f>
        <v>Logistics indicators</v>
      </c>
      <c r="G90" s="1">
        <f>IF($C90=1,tblIndicators!G86,"")</f>
        <v>0</v>
      </c>
      <c r="H90" s="1">
        <f t="shared" si="8"/>
        <v>1342</v>
      </c>
      <c r="I90" s="1">
        <f t="shared" ca="1" si="9"/>
        <v>4</v>
      </c>
      <c r="J90" s="22">
        <f t="shared" ca="1" si="10"/>
        <v>4</v>
      </c>
      <c r="K90" s="1" t="str">
        <f t="shared" ca="1" si="11"/>
        <v>Includes terminals from the Port of Buenos Aires.</v>
      </c>
      <c r="L90" s="1" t="str">
        <f t="shared" ca="1" si="12"/>
        <v>Drewry, Informe Anual de Operadores Globales de Terminales de Contenedores (2012)</v>
      </c>
      <c r="AB90" s="22"/>
      <c r="AC90" s="22"/>
      <c r="AD90" s="22"/>
      <c r="AE90" s="22"/>
      <c r="AF90" s="22"/>
      <c r="AG90" s="22"/>
      <c r="AH90" s="22"/>
      <c r="AI90" s="22"/>
      <c r="AJ90" s="22"/>
      <c r="AK90" s="22"/>
      <c r="AL90" s="22"/>
      <c r="AP90" s="22"/>
      <c r="AQ90" s="22"/>
      <c r="AR90" s="22"/>
      <c r="AS90" s="22"/>
      <c r="AT90" s="22"/>
      <c r="AU90" s="22"/>
      <c r="AV90" s="22"/>
      <c r="AW90" s="22"/>
      <c r="AX90" s="22"/>
      <c r="AY90" s="22"/>
      <c r="AZ90" s="22"/>
    </row>
    <row r="91" spans="1:52" x14ac:dyDescent="0.2">
      <c r="A91" s="1" t="str">
        <f>tblIndicators!B87</f>
        <v>WATER22</v>
      </c>
      <c r="B91" s="1">
        <f>tblIndicators!D87</f>
        <v>1</v>
      </c>
      <c r="C91" s="1">
        <f>tblIndicators!E87</f>
        <v>1</v>
      </c>
      <c r="D91" s="1" t="str">
        <f>IF(C91=0,UPPER(tblIndicators!O87),tblIndicators!O87)</f>
        <v>Gateway proximity to population center.</v>
      </c>
      <c r="E91" s="1" t="str">
        <f>IF($C91=1,tblIndicators!P87,"")</f>
        <v>proximity scale</v>
      </c>
      <c r="F91" s="1" t="str">
        <f>IF($C91=1,tblIndicators!Q87,"")</f>
        <v>Logistics indicators</v>
      </c>
      <c r="G91" s="1">
        <f>IF($C91=1,tblIndicators!G87,"")</f>
        <v>0</v>
      </c>
      <c r="H91" s="1">
        <f t="shared" si="8"/>
        <v>1366</v>
      </c>
      <c r="I91" s="1">
        <f t="shared" ca="1" si="9"/>
        <v>2</v>
      </c>
      <c r="J91" s="22">
        <f t="shared" ca="1" si="10"/>
        <v>2</v>
      </c>
      <c r="K91" s="1" t="str">
        <f t="shared" ca="1" si="11"/>
        <v>Distance between the Port of Buenos Aires and the outter limits of the city.</v>
      </c>
      <c r="L91" s="1" t="str">
        <f t="shared" ca="1" si="12"/>
        <v>Anuario Internacional de Conteinerización (2012)</v>
      </c>
      <c r="AB91" s="22"/>
      <c r="AC91" s="22"/>
      <c r="AD91" s="22"/>
      <c r="AE91" s="22"/>
      <c r="AF91" s="22"/>
      <c r="AG91" s="22"/>
      <c r="AH91" s="22"/>
      <c r="AI91" s="22"/>
      <c r="AJ91" s="22"/>
      <c r="AK91" s="22"/>
      <c r="AL91" s="22"/>
      <c r="AP91" s="22"/>
      <c r="AQ91" s="22"/>
      <c r="AR91" s="22"/>
      <c r="AS91" s="22"/>
      <c r="AT91" s="22"/>
      <c r="AU91" s="22"/>
      <c r="AV91" s="22"/>
      <c r="AW91" s="22"/>
      <c r="AX91" s="22"/>
      <c r="AY91" s="22"/>
      <c r="AZ91" s="22"/>
    </row>
    <row r="92" spans="1:52" x14ac:dyDescent="0.2">
      <c r="A92" s="1" t="str">
        <f>tblIndicators!B88</f>
        <v>WATER23</v>
      </c>
      <c r="B92" s="1">
        <f>tblIndicators!D88</f>
        <v>1</v>
      </c>
      <c r="C92" s="1">
        <f>tblIndicators!E88</f>
        <v>1</v>
      </c>
      <c r="D92" s="1" t="str">
        <f>IF(C92=0,UPPER(tblIndicators!O88),tblIndicators!O88)</f>
        <v>Truck supply relative to port volume</v>
      </c>
      <c r="E92" s="1" t="str">
        <f>IF($C92=1,tblIndicators!P88,"")</f>
        <v>teu/truck</v>
      </c>
      <c r="F92" s="1" t="str">
        <f>IF($C92=1,tblIndicators!Q88,"")</f>
        <v>Logistics indicators</v>
      </c>
      <c r="G92" s="1">
        <f>IF($C92=1,tblIndicators!G88,"")</f>
        <v>1</v>
      </c>
      <c r="H92" s="1">
        <f t="shared" si="8"/>
        <v>1390</v>
      </c>
      <c r="I92" s="1">
        <f t="shared" ca="1" si="9"/>
        <v>3.1208675666749799</v>
      </c>
      <c r="J92" s="22">
        <f t="shared" ca="1" si="10"/>
        <v>3.1208675666749799</v>
      </c>
      <c r="K92" s="1">
        <f t="shared" ca="1" si="11"/>
        <v>0</v>
      </c>
      <c r="L92" s="1" t="str">
        <f t="shared" ca="1" si="12"/>
        <v>INDEC y Asociación de Fábricas de Automotores (ADEFA)</v>
      </c>
      <c r="AB92" s="22"/>
      <c r="AC92" s="22"/>
      <c r="AD92" s="22"/>
      <c r="AE92" s="22"/>
      <c r="AF92" s="22"/>
      <c r="AG92" s="22"/>
      <c r="AH92" s="22"/>
      <c r="AI92" s="22"/>
      <c r="AJ92" s="22"/>
      <c r="AK92" s="22"/>
      <c r="AL92" s="22"/>
      <c r="AP92" s="22"/>
      <c r="AQ92" s="22"/>
      <c r="AR92" s="22"/>
      <c r="AS92" s="22"/>
      <c r="AT92" s="22"/>
      <c r="AU92" s="22"/>
      <c r="AV92" s="22"/>
      <c r="AW92" s="22"/>
      <c r="AX92" s="22"/>
      <c r="AY92" s="22"/>
      <c r="AZ92" s="22"/>
    </row>
    <row r="93" spans="1:52" x14ac:dyDescent="0.2">
      <c r="A93" s="1" t="str">
        <f>tblIndicators!B89</f>
        <v>LOGISTICS</v>
      </c>
      <c r="B93" s="1">
        <f>tblIndicators!D89</f>
        <v>0</v>
      </c>
      <c r="C93" s="1">
        <f>tblIndicators!E89</f>
        <v>0</v>
      </c>
      <c r="D93" s="1" t="str">
        <f>IF(C93=0,UPPER(tblIndicators!O89),tblIndicators!O89)</f>
        <v>LOGISTICS ACTIVITIES</v>
      </c>
      <c r="E93" s="1" t="str">
        <f>IF($C93=1,tblIndicators!P89,"")</f>
        <v/>
      </c>
      <c r="F93" s="1" t="str">
        <f>IF($C93=1,tblIndicators!Q89,"")</f>
        <v/>
      </c>
      <c r="G93" s="1" t="str">
        <f>IF($C93=1,tblIndicators!G89,"")</f>
        <v/>
      </c>
      <c r="H93" s="1" t="str">
        <f t="shared" si="8"/>
        <v/>
      </c>
      <c r="I93" s="1" t="str">
        <f t="shared" ca="1" si="9"/>
        <v/>
      </c>
      <c r="J93" s="22" t="str">
        <f t="shared" si="10"/>
        <v/>
      </c>
      <c r="K93" s="1" t="str">
        <f t="shared" ca="1" si="11"/>
        <v/>
      </c>
      <c r="L93" s="1" t="str">
        <f t="shared" ca="1" si="12"/>
        <v/>
      </c>
      <c r="AB93" s="22"/>
      <c r="AC93" s="22"/>
      <c r="AD93" s="22"/>
      <c r="AE93" s="22"/>
      <c r="AF93" s="22"/>
      <c r="AG93" s="22"/>
      <c r="AH93" s="22"/>
      <c r="AI93" s="22"/>
      <c r="AJ93" s="22"/>
      <c r="AK93" s="22"/>
      <c r="AL93" s="22"/>
      <c r="AP93" s="22"/>
      <c r="AQ93" s="22"/>
      <c r="AR93" s="22"/>
      <c r="AS93" s="22"/>
      <c r="AT93" s="22"/>
      <c r="AU93" s="22"/>
      <c r="AV93" s="22"/>
      <c r="AW93" s="22"/>
      <c r="AX93" s="22"/>
      <c r="AY93" s="22"/>
      <c r="AZ93" s="22"/>
    </row>
    <row r="94" spans="1:52" x14ac:dyDescent="0.2">
      <c r="A94" s="1" t="str">
        <f>tblIndicators!B90</f>
        <v>LOGISTICS01</v>
      </c>
      <c r="B94" s="1">
        <f>tblIndicators!D90</f>
        <v>1</v>
      </c>
      <c r="C94" s="1">
        <f>tblIndicators!E90</f>
        <v>1</v>
      </c>
      <c r="D94" s="1" t="str">
        <f>IF(C94=0,UPPER(tblIndicators!O90),tblIndicators!O90)</f>
        <v>Logistics centers' surface</v>
      </c>
      <c r="E94" s="1" t="str">
        <f>IF($C94=1,tblIndicators!P90,"")</f>
        <v>sq m</v>
      </c>
      <c r="F94" s="1" t="str">
        <f>IF($C94=1,tblIndicators!Q90,"")</f>
        <v>Logistics indicators</v>
      </c>
      <c r="G94" s="1">
        <f>IF($C94=1,tblIndicators!G90,"")</f>
        <v>0</v>
      </c>
      <c r="H94" s="1" t="e">
        <f t="shared" si="8"/>
        <v>#N/A</v>
      </c>
      <c r="I94" s="1" t="e">
        <f t="shared" ca="1" si="9"/>
        <v>#N/A</v>
      </c>
      <c r="J94" s="22" t="str">
        <f t="shared" ca="1" si="10"/>
        <v>-</v>
      </c>
      <c r="K94" s="1" t="str">
        <f t="shared" ca="1" si="11"/>
        <v/>
      </c>
      <c r="L94" s="1" t="str">
        <f t="shared" ca="1" si="12"/>
        <v/>
      </c>
      <c r="AB94" s="22"/>
      <c r="AC94" s="22"/>
      <c r="AD94" s="22"/>
      <c r="AE94" s="22"/>
      <c r="AF94" s="22"/>
      <c r="AG94" s="22"/>
      <c r="AH94" s="22"/>
      <c r="AI94" s="22"/>
      <c r="AJ94" s="22"/>
      <c r="AK94" s="22"/>
      <c r="AL94" s="22"/>
      <c r="AP94" s="22"/>
      <c r="AQ94" s="22"/>
      <c r="AR94" s="22"/>
      <c r="AS94" s="22"/>
      <c r="AT94" s="22"/>
      <c r="AU94" s="22"/>
      <c r="AV94" s="22"/>
      <c r="AW94" s="22"/>
      <c r="AX94" s="22"/>
      <c r="AY94" s="22"/>
      <c r="AZ94" s="22"/>
    </row>
    <row r="95" spans="1:52" x14ac:dyDescent="0.2">
      <c r="A95" s="1" t="str">
        <f>tblIndicators!B91</f>
        <v>LOGISTICS02</v>
      </c>
      <c r="B95" s="1">
        <f>tblIndicators!D91</f>
        <v>1</v>
      </c>
      <c r="C95" s="1">
        <f>tblIndicators!E91</f>
        <v>1</v>
      </c>
      <c r="D95" s="1" t="str">
        <f>IF(C95=0,UPPER(tblIndicators!O91),tblIndicators!O91)</f>
        <v>Cold facilities total surface</v>
      </c>
      <c r="E95" s="1" t="str">
        <f>IF($C95=1,tblIndicators!P91,"")</f>
        <v>sq m</v>
      </c>
      <c r="F95" s="1" t="str">
        <f>IF($C95=1,tblIndicators!Q91,"")</f>
        <v>Logistics indicators</v>
      </c>
      <c r="G95" s="1">
        <f>IF($C95=1,tblIndicators!G91,"")</f>
        <v>0</v>
      </c>
      <c r="H95" s="1" t="e">
        <f t="shared" si="8"/>
        <v>#N/A</v>
      </c>
      <c r="I95" s="1" t="e">
        <f t="shared" ca="1" si="9"/>
        <v>#N/A</v>
      </c>
      <c r="J95" s="22" t="str">
        <f t="shared" ca="1" si="10"/>
        <v>-</v>
      </c>
      <c r="K95" s="1" t="str">
        <f t="shared" ca="1" si="11"/>
        <v/>
      </c>
      <c r="L95" s="1" t="str">
        <f t="shared" ca="1" si="12"/>
        <v/>
      </c>
      <c r="AB95" s="22"/>
      <c r="AC95" s="22"/>
      <c r="AD95" s="22"/>
      <c r="AE95" s="22"/>
      <c r="AF95" s="22"/>
      <c r="AG95" s="22"/>
      <c r="AH95" s="22"/>
      <c r="AI95" s="22"/>
      <c r="AJ95" s="22"/>
      <c r="AK95" s="22"/>
      <c r="AL95" s="22"/>
      <c r="AP95" s="22"/>
      <c r="AQ95" s="22"/>
      <c r="AR95" s="22"/>
      <c r="AS95" s="22"/>
      <c r="AT95" s="22"/>
      <c r="AU95" s="22"/>
      <c r="AV95" s="22"/>
      <c r="AW95" s="22"/>
      <c r="AX95" s="22"/>
      <c r="AY95" s="22"/>
      <c r="AZ95" s="22"/>
    </row>
    <row r="96" spans="1:52" x14ac:dyDescent="0.2">
      <c r="A96" s="1" t="str">
        <f>tblIndicators!B92</f>
        <v>LOGISTICS06</v>
      </c>
      <c r="B96" s="1">
        <f>tblIndicators!D92</f>
        <v>1</v>
      </c>
      <c r="C96" s="1">
        <f>tblIndicators!E92</f>
        <v>1</v>
      </c>
      <c r="D96" s="1" t="str">
        <f>IF(C96=0,UPPER(tblIndicators!O92),tblIndicators!O92)</f>
        <v>Position in LPI ranking</v>
      </c>
      <c r="E96" s="1" t="str">
        <f>IF($C96=1,tblIndicators!P92,"")</f>
        <v>#</v>
      </c>
      <c r="F96" s="1" t="str">
        <f>IF($C96=1,tblIndicators!Q92,"")</f>
        <v>Logistics indicators</v>
      </c>
      <c r="G96" s="1">
        <f>IF($C96=1,tblIndicators!G92,"")</f>
        <v>0</v>
      </c>
      <c r="H96" s="1">
        <f t="shared" si="8"/>
        <v>1283</v>
      </c>
      <c r="I96" s="1">
        <f t="shared" ca="1" si="9"/>
        <v>49</v>
      </c>
      <c r="J96" s="22">
        <f t="shared" ca="1" si="10"/>
        <v>49</v>
      </c>
      <c r="K96" s="1">
        <f t="shared" ca="1" si="11"/>
        <v>0</v>
      </c>
      <c r="L96" s="1" t="str">
        <f t="shared" ca="1" si="12"/>
        <v>Banco Mundial</v>
      </c>
      <c r="AB96" s="22"/>
      <c r="AC96" s="22"/>
      <c r="AD96" s="22"/>
      <c r="AE96" s="22"/>
      <c r="AF96" s="22"/>
      <c r="AG96" s="22"/>
      <c r="AH96" s="22"/>
      <c r="AI96" s="22"/>
      <c r="AJ96" s="22"/>
      <c r="AK96" s="22"/>
      <c r="AL96" s="22"/>
      <c r="AP96" s="22"/>
      <c r="AQ96" s="22"/>
      <c r="AR96" s="22"/>
      <c r="AS96" s="22"/>
      <c r="AT96" s="22"/>
      <c r="AU96" s="22"/>
      <c r="AV96" s="22"/>
      <c r="AW96" s="22"/>
      <c r="AX96" s="22"/>
      <c r="AY96" s="22"/>
      <c r="AZ96" s="22"/>
    </row>
    <row r="97" spans="1:52" x14ac:dyDescent="0.2">
      <c r="A97" s="1" t="str">
        <f>tblIndicators!B93</f>
        <v>LOGISTICS07</v>
      </c>
      <c r="B97" s="1">
        <f>tblIndicators!D93</f>
        <v>1</v>
      </c>
      <c r="C97" s="1">
        <f>tblIndicators!E93</f>
        <v>1</v>
      </c>
      <c r="D97" s="1" t="str">
        <f>IF(C97=0,UPPER(tblIndicators!O93),tblIndicators!O93)</f>
        <v>Logistics performance index (LPI) overall score</v>
      </c>
      <c r="E97" s="1" t="str">
        <f>IF($C97=1,tblIndicators!P93,"")</f>
        <v>#</v>
      </c>
      <c r="F97" s="1" t="str">
        <f>IF($C97=1,tblIndicators!Q93,"")</f>
        <v>Logistics indicators</v>
      </c>
      <c r="G97" s="1">
        <f>IF($C97=1,tblIndicators!G93,"")</f>
        <v>2</v>
      </c>
      <c r="H97" s="1">
        <f t="shared" si="8"/>
        <v>1304</v>
      </c>
      <c r="I97" s="1">
        <f t="shared" ca="1" si="9"/>
        <v>3.05</v>
      </c>
      <c r="J97" s="22">
        <f t="shared" ca="1" si="10"/>
        <v>3.05</v>
      </c>
      <c r="K97" s="1" t="str">
        <f t="shared" ca="1" si="11"/>
        <v>Collection every 2 years.</v>
      </c>
      <c r="L97" s="1" t="str">
        <f t="shared" ca="1" si="12"/>
        <v>Índice de desempeño logístico (LPI), Banco Mundial</v>
      </c>
      <c r="AB97" s="22"/>
      <c r="AC97" s="22"/>
      <c r="AD97" s="22"/>
      <c r="AE97" s="22"/>
      <c r="AF97" s="22"/>
      <c r="AG97" s="22"/>
      <c r="AH97" s="22"/>
      <c r="AI97" s="22"/>
      <c r="AJ97" s="22"/>
      <c r="AK97" s="22"/>
      <c r="AL97" s="22"/>
      <c r="AP97" s="22"/>
      <c r="AQ97" s="22"/>
      <c r="AR97" s="22"/>
      <c r="AS97" s="22"/>
      <c r="AT97" s="22"/>
      <c r="AU97" s="22"/>
      <c r="AV97" s="22"/>
      <c r="AW97" s="22"/>
      <c r="AX97" s="22"/>
      <c r="AY97" s="22"/>
      <c r="AZ97" s="22"/>
    </row>
    <row r="98" spans="1:52" x14ac:dyDescent="0.2">
      <c r="A98" s="1" t="str">
        <f>tblIndicators!B94</f>
        <v>LOGISTICS08</v>
      </c>
      <c r="B98" s="1">
        <f>tblIndicators!D94</f>
        <v>1</v>
      </c>
      <c r="C98" s="1">
        <f>tblIndicators!E94</f>
        <v>1</v>
      </c>
      <c r="D98" s="1" t="str">
        <f>IF(C98=0,UPPER(tblIndicators!O94),tblIndicators!O94)</f>
        <v>LPI infrastructure index</v>
      </c>
      <c r="E98" s="1" t="str">
        <f>IF($C98=1,tblIndicators!P94,"")</f>
        <v>#</v>
      </c>
      <c r="F98" s="1" t="str">
        <f>IF($C98=1,tblIndicators!Q94,"")</f>
        <v>Logistics indicators</v>
      </c>
      <c r="G98" s="1">
        <f>IF($C98=1,tblIndicators!G94,"")</f>
        <v>2</v>
      </c>
      <c r="H98" s="1">
        <f t="shared" si="8"/>
        <v>1411</v>
      </c>
      <c r="I98" s="1">
        <f t="shared" ca="1" si="9"/>
        <v>2.94</v>
      </c>
      <c r="J98" s="22">
        <f t="shared" ca="1" si="10"/>
        <v>2.94</v>
      </c>
      <c r="K98" s="1">
        <f t="shared" ca="1" si="11"/>
        <v>0</v>
      </c>
      <c r="L98" s="1" t="str">
        <f t="shared" ca="1" si="12"/>
        <v>Índice de desempeño logístico (LPI), Banco Mundial</v>
      </c>
      <c r="AB98" s="22"/>
      <c r="AC98" s="22"/>
      <c r="AD98" s="22"/>
      <c r="AE98" s="22"/>
      <c r="AF98" s="22"/>
      <c r="AG98" s="22"/>
      <c r="AH98" s="22"/>
      <c r="AI98" s="22"/>
      <c r="AJ98" s="22"/>
      <c r="AK98" s="22"/>
      <c r="AL98" s="22"/>
      <c r="AP98" s="22"/>
      <c r="AQ98" s="22"/>
      <c r="AR98" s="22"/>
      <c r="AS98" s="22"/>
      <c r="AT98" s="22"/>
      <c r="AU98" s="22"/>
      <c r="AV98" s="22"/>
      <c r="AW98" s="22"/>
      <c r="AX98" s="22"/>
      <c r="AY98" s="22"/>
      <c r="AZ98" s="22"/>
    </row>
    <row r="99" spans="1:52" x14ac:dyDescent="0.2">
      <c r="A99" s="1" t="str">
        <f>tblIndicators!B95</f>
        <v>LOGISTICS09</v>
      </c>
      <c r="B99" s="1">
        <f>tblIndicators!D95</f>
        <v>1</v>
      </c>
      <c r="C99" s="1">
        <f>tblIndicators!E95</f>
        <v>1</v>
      </c>
      <c r="D99" s="1" t="str">
        <f>IF(C99=0,UPPER(tblIndicators!O95),tblIndicators!O95)</f>
        <v>LPI competence (services) index</v>
      </c>
      <c r="E99" s="1" t="str">
        <f>IF($C99=1,tblIndicators!P95,"")</f>
        <v>#</v>
      </c>
      <c r="F99" s="1" t="str">
        <f>IF($C99=1,tblIndicators!Q95,"")</f>
        <v>Logistics indicators</v>
      </c>
      <c r="G99" s="1">
        <f>IF($C99=1,tblIndicators!G95,"")</f>
        <v>2</v>
      </c>
      <c r="H99" s="1">
        <f t="shared" si="8"/>
        <v>1432</v>
      </c>
      <c r="I99" s="1">
        <f t="shared" ca="1" si="9"/>
        <v>2.95</v>
      </c>
      <c r="J99" s="22">
        <f t="shared" ca="1" si="10"/>
        <v>2.95</v>
      </c>
      <c r="K99" s="1">
        <f t="shared" ca="1" si="11"/>
        <v>0</v>
      </c>
      <c r="L99" s="1" t="str">
        <f t="shared" ca="1" si="12"/>
        <v>Índice de desempeño logístico (LPI), Banco Mundial</v>
      </c>
      <c r="AB99" s="22"/>
      <c r="AC99" s="22"/>
      <c r="AD99" s="22"/>
      <c r="AE99" s="22"/>
      <c r="AF99" s="22"/>
      <c r="AG99" s="22"/>
      <c r="AH99" s="22"/>
      <c r="AI99" s="22"/>
      <c r="AJ99" s="22"/>
      <c r="AK99" s="22"/>
      <c r="AL99" s="22"/>
      <c r="AP99" s="22"/>
      <c r="AQ99" s="22"/>
      <c r="AR99" s="22"/>
      <c r="AS99" s="22"/>
      <c r="AT99" s="22"/>
      <c r="AU99" s="22"/>
      <c r="AV99" s="22"/>
      <c r="AW99" s="22"/>
      <c r="AX99" s="22"/>
      <c r="AY99" s="22"/>
      <c r="AZ99" s="22"/>
    </row>
    <row r="100" spans="1:52" x14ac:dyDescent="0.2">
      <c r="A100" s="1" t="str">
        <f>tblIndicators!B96</f>
        <v>CALC</v>
      </c>
      <c r="B100" s="1">
        <f>tblIndicators!D96</f>
        <v>0</v>
      </c>
      <c r="C100" s="1">
        <f>tblIndicators!E96</f>
        <v>0</v>
      </c>
      <c r="D100" s="1" t="str">
        <f>IF(C100=0,UPPER(tblIndicators!O96),tblIndicators!O96)</f>
        <v>CALCULATED INDICATORS</v>
      </c>
      <c r="E100" s="1" t="str">
        <f>IF($C100=1,tblIndicators!P96,"")</f>
        <v/>
      </c>
      <c r="F100" s="1" t="str">
        <f>IF($C100=1,tblIndicators!Q96,"")</f>
        <v/>
      </c>
      <c r="G100" s="1" t="str">
        <f>IF($C100=1,tblIndicators!G96,"")</f>
        <v/>
      </c>
      <c r="H100" s="1" t="str">
        <f t="shared" si="8"/>
        <v/>
      </c>
      <c r="I100" s="1" t="str">
        <f t="shared" ca="1" si="9"/>
        <v/>
      </c>
      <c r="J100" s="22" t="str">
        <f t="shared" si="10"/>
        <v/>
      </c>
      <c r="K100" s="1" t="str">
        <f t="shared" ca="1" si="11"/>
        <v/>
      </c>
      <c r="L100" s="1" t="str">
        <f t="shared" ca="1" si="12"/>
        <v/>
      </c>
      <c r="AB100" s="22"/>
      <c r="AC100" s="22"/>
      <c r="AD100" s="22"/>
      <c r="AE100" s="22"/>
      <c r="AF100" s="22"/>
      <c r="AG100" s="22"/>
      <c r="AH100" s="22"/>
      <c r="AI100" s="22"/>
      <c r="AJ100" s="22"/>
      <c r="AK100" s="22"/>
      <c r="AL100" s="22"/>
      <c r="AP100" s="22"/>
      <c r="AQ100" s="22"/>
      <c r="AR100" s="22"/>
      <c r="AS100" s="22"/>
      <c r="AT100" s="22"/>
      <c r="AU100" s="22"/>
      <c r="AV100" s="22"/>
      <c r="AW100" s="22"/>
      <c r="AX100" s="22"/>
      <c r="AY100" s="22"/>
      <c r="AZ100" s="22"/>
    </row>
    <row r="101" spans="1:52" x14ac:dyDescent="0.2">
      <c r="A101" s="1" t="str">
        <f>tblIndicators!B97</f>
        <v>CALC01</v>
      </c>
      <c r="B101" s="1">
        <f>tblIndicators!D97</f>
        <v>1</v>
      </c>
      <c r="C101" s="1">
        <f>tblIndicators!E97</f>
        <v>1</v>
      </c>
      <c r="D101" s="1" t="str">
        <f>IF(C101=0,UPPER(tblIndicators!O97),tblIndicators!O97)</f>
        <v>GDP / capita</v>
      </c>
      <c r="E101" s="1" t="str">
        <f>IF($C101=1,tblIndicators!P97,"")</f>
        <v>US$/capita</v>
      </c>
      <c r="F101" s="1" t="str">
        <f>IF($C101=1,tblIndicators!Q97,"")</f>
        <v>CALCULATED</v>
      </c>
      <c r="G101" s="1">
        <f>IF($C101=1,tblIndicators!G97,"")</f>
        <v>0</v>
      </c>
      <c r="H101" s="1">
        <f t="shared" si="8"/>
        <v>1453</v>
      </c>
      <c r="I101" s="1">
        <f t="shared" ca="1" si="9"/>
        <v>11547.898269965235</v>
      </c>
      <c r="J101" s="22">
        <f t="shared" ca="1" si="10"/>
        <v>11547.898269965235</v>
      </c>
      <c r="K101" s="1" t="str">
        <f t="shared" ca="1" si="11"/>
        <v>Calculation</v>
      </c>
      <c r="L101" s="1" t="str">
        <f t="shared" ca="1" si="12"/>
        <v>Fondo Monetario Internacional (FMI);Indicadores de Desarrollo Mundial (WDI);</v>
      </c>
      <c r="AB101" s="22"/>
      <c r="AC101" s="22"/>
      <c r="AD101" s="22"/>
      <c r="AE101" s="22"/>
      <c r="AF101" s="22"/>
      <c r="AG101" s="22"/>
      <c r="AH101" s="22"/>
      <c r="AI101" s="22"/>
      <c r="AJ101" s="22"/>
      <c r="AK101" s="22"/>
      <c r="AL101" s="22"/>
      <c r="AP101" s="22"/>
      <c r="AQ101" s="22"/>
      <c r="AR101" s="22"/>
      <c r="AS101" s="22"/>
      <c r="AT101" s="22"/>
      <c r="AU101" s="22"/>
      <c r="AV101" s="22"/>
      <c r="AW101" s="22"/>
      <c r="AX101" s="22"/>
      <c r="AY101" s="22"/>
      <c r="AZ101" s="22"/>
    </row>
    <row r="102" spans="1:52" x14ac:dyDescent="0.2">
      <c r="A102" s="1" t="str">
        <f>tblIndicators!B98</f>
        <v>CALC02</v>
      </c>
      <c r="B102" s="1">
        <f>tblIndicators!D98</f>
        <v>1</v>
      </c>
      <c r="C102" s="1">
        <f>tblIndicators!E98</f>
        <v>1</v>
      </c>
      <c r="D102" s="1" t="str">
        <f>IF(C102=0,UPPER(tblIndicators!O98),tblIndicators!O98)</f>
        <v>Trade balance / GDP</v>
      </c>
      <c r="E102" s="1" t="str">
        <f>IF($C102=1,tblIndicators!P98,"")</f>
        <v>% of GDP</v>
      </c>
      <c r="F102" s="1" t="str">
        <f>IF($C102=1,tblIndicators!Q98,"")</f>
        <v>CALCULATED</v>
      </c>
      <c r="G102" s="1">
        <f>IF($C102=1,tblIndicators!G98,"")</f>
        <v>1</v>
      </c>
      <c r="H102" s="1">
        <f t="shared" si="8"/>
        <v>1479</v>
      </c>
      <c r="I102" s="1">
        <f t="shared" ca="1" si="9"/>
        <v>3.3970347000497054</v>
      </c>
      <c r="J102" s="22">
        <f t="shared" ca="1" si="10"/>
        <v>3.3970347000497054</v>
      </c>
      <c r="K102" s="1" t="str">
        <f t="shared" ca="1" si="11"/>
        <v>Calculation</v>
      </c>
      <c r="L102" s="1" t="str">
        <f t="shared" ca="1" si="12"/>
        <v>Fondo Monetario Internacional (FMI);Fondo Monetario Internacional (FMI);</v>
      </c>
      <c r="AB102" s="22"/>
      <c r="AC102" s="22"/>
      <c r="AD102" s="22"/>
      <c r="AE102" s="22"/>
      <c r="AF102" s="22"/>
      <c r="AG102" s="22"/>
      <c r="AH102" s="22"/>
      <c r="AI102" s="22"/>
      <c r="AJ102" s="22"/>
      <c r="AK102" s="22"/>
      <c r="AL102" s="22"/>
      <c r="AP102" s="22"/>
      <c r="AQ102" s="22"/>
      <c r="AR102" s="22"/>
      <c r="AS102" s="22"/>
      <c r="AT102" s="22"/>
      <c r="AU102" s="22"/>
      <c r="AV102" s="22"/>
      <c r="AW102" s="22"/>
      <c r="AX102" s="22"/>
      <c r="AY102" s="22"/>
      <c r="AZ102" s="22"/>
    </row>
    <row r="103" spans="1:52" x14ac:dyDescent="0.2">
      <c r="A103" s="1" t="str">
        <f>tblIndicators!B99</f>
        <v>CALC03</v>
      </c>
      <c r="B103" s="1">
        <f>tblIndicators!D99</f>
        <v>1</v>
      </c>
      <c r="C103" s="1">
        <f>tblIndicators!E99</f>
        <v>1</v>
      </c>
      <c r="D103" s="1" t="str">
        <f>IF(C103=0,UPPER(tblIndicators!O99),tblIndicators!O99)</f>
        <v>Total vehicles / 1000 inhabitants</v>
      </c>
      <c r="E103" s="1" t="str">
        <f>IF($C103=1,tblIndicators!P99,"")</f>
        <v>vehicles/1,000 inhabitants</v>
      </c>
      <c r="F103" s="1" t="str">
        <f>IF($C103=1,tblIndicators!Q99,"")</f>
        <v>CALCULATED</v>
      </c>
      <c r="G103" s="1">
        <f>IF($C103=1,tblIndicators!G99,"")</f>
        <v>1</v>
      </c>
      <c r="H103" s="1">
        <f t="shared" si="8"/>
        <v>1505</v>
      </c>
      <c r="I103" s="1">
        <f t="shared" ca="1" si="9"/>
        <v>279.12101799106381</v>
      </c>
      <c r="J103" s="22">
        <f t="shared" ca="1" si="10"/>
        <v>279.12101799106381</v>
      </c>
      <c r="K103" s="1" t="str">
        <f t="shared" ref="K103:K110" ca="1" si="13">IF(OR($C103=0,NOT(ISNUMBER(H103))),"",INDEX(OFFSET(lu_DataCode,0,$K$3),$H103))</f>
        <v>Calculation</v>
      </c>
      <c r="L103" s="1" t="str">
        <f t="shared" ref="L103:L110" ca="1" si="14">IF(OR($C103=0,NOT(ISNUMBER(H103))),"",INDEX(OFFSET(lu_DataCode,0,5),$H103))</f>
        <v>Asociación de Fábricas de Automotores (ADEFA);Indicadores de Desarrollo Mundial (WDI);</v>
      </c>
      <c r="AB103" s="22"/>
      <c r="AC103" s="22"/>
      <c r="AD103" s="22"/>
      <c r="AE103" s="22"/>
      <c r="AF103" s="22"/>
      <c r="AG103" s="22"/>
      <c r="AH103" s="22"/>
      <c r="AI103" s="22"/>
      <c r="AJ103" s="22"/>
      <c r="AK103" s="22"/>
      <c r="AL103" s="22"/>
      <c r="AP103" s="22"/>
      <c r="AQ103" s="22"/>
      <c r="AR103" s="22"/>
      <c r="AS103" s="22"/>
      <c r="AT103" s="22"/>
      <c r="AU103" s="22"/>
      <c r="AV103" s="22"/>
      <c r="AW103" s="22"/>
      <c r="AX103" s="22"/>
      <c r="AY103" s="22"/>
      <c r="AZ103" s="22"/>
    </row>
    <row r="104" spans="1:52" x14ac:dyDescent="0.2">
      <c r="A104" s="1" t="str">
        <f>tblIndicators!B100</f>
        <v>CALC04</v>
      </c>
      <c r="B104" s="1">
        <f>tblIndicators!D100</f>
        <v>1</v>
      </c>
      <c r="C104" s="1">
        <f>tblIndicators!E100</f>
        <v>1</v>
      </c>
      <c r="D104" s="1" t="str">
        <f>IF(C104=0,UPPER(tblIndicators!O100),tblIndicators!O100)</f>
        <v>Heavy vehicles / 1000 inhabitants</v>
      </c>
      <c r="E104" s="1" t="str">
        <f>IF($C104=1,tblIndicators!P100,"")</f>
        <v>vehicles/1,000 inhabitants</v>
      </c>
      <c r="F104" s="1" t="str">
        <f>IF($C104=1,tblIndicators!Q100,"")</f>
        <v>CALCULATED</v>
      </c>
      <c r="G104" s="1">
        <f>IF($C104=1,tblIndicators!G100,"")</f>
        <v>1</v>
      </c>
      <c r="H104" s="1">
        <f t="shared" si="8"/>
        <v>1529</v>
      </c>
      <c r="I104" s="1">
        <f t="shared" ca="1" si="9"/>
        <v>14.433924318816475</v>
      </c>
      <c r="J104" s="22">
        <f t="shared" ca="1" si="10"/>
        <v>14.433924318816475</v>
      </c>
      <c r="K104" s="1" t="str">
        <f t="shared" ca="1" si="13"/>
        <v>Calculation</v>
      </c>
      <c r="L104" s="1" t="str">
        <f t="shared" ca="1" si="14"/>
        <v>Asociación de Fábricas de Automotores (ADEFA);Indicadores de Desarrollo Mundial (WDI);</v>
      </c>
      <c r="AB104" s="22"/>
      <c r="AC104" s="22"/>
      <c r="AD104" s="22"/>
      <c r="AE104" s="22"/>
      <c r="AF104" s="22"/>
      <c r="AG104" s="22"/>
      <c r="AH104" s="22"/>
      <c r="AI104" s="22"/>
      <c r="AJ104" s="22"/>
      <c r="AK104" s="22"/>
      <c r="AL104" s="22"/>
      <c r="AP104" s="22"/>
      <c r="AQ104" s="22"/>
      <c r="AR104" s="22"/>
      <c r="AS104" s="22"/>
      <c r="AT104" s="22"/>
      <c r="AU104" s="22"/>
      <c r="AV104" s="22"/>
      <c r="AW104" s="22"/>
      <c r="AX104" s="22"/>
      <c r="AY104" s="22"/>
      <c r="AZ104" s="22"/>
    </row>
    <row r="105" spans="1:52" x14ac:dyDescent="0.2">
      <c r="A105" s="1" t="str">
        <f>tblIndicators!B101</f>
        <v>CALC05</v>
      </c>
      <c r="B105" s="1">
        <f>tblIndicators!D101</f>
        <v>1</v>
      </c>
      <c r="C105" s="1">
        <f>tblIndicators!E101</f>
        <v>1</v>
      </c>
      <c r="D105" s="1" t="str">
        <f>IF(C105=0,UPPER(tblIndicators!O101),tblIndicators!O101)</f>
        <v>Diesel oil consumption / capita</v>
      </c>
      <c r="E105" s="1" t="str">
        <f>IF($C105=1,tblIndicators!P101,"")</f>
        <v>barrels/capita/year</v>
      </c>
      <c r="F105" s="1" t="str">
        <f>IF($C105=1,tblIndicators!Q101,"")</f>
        <v>CALCULATED</v>
      </c>
      <c r="G105" s="1">
        <f>IF($C105=1,tblIndicators!G101,"")</f>
        <v>2</v>
      </c>
      <c r="H105" s="1">
        <f t="shared" si="8"/>
        <v>1552</v>
      </c>
      <c r="I105" s="1">
        <f t="shared" ca="1" si="9"/>
        <v>1.7262951693696773</v>
      </c>
      <c r="J105" s="22">
        <f t="shared" ca="1" si="10"/>
        <v>1.7262951693696773</v>
      </c>
      <c r="K105" s="1" t="str">
        <f t="shared" ca="1" si="13"/>
        <v>Calculation</v>
      </c>
      <c r="L105" s="1" t="str">
        <f t="shared" ca="1" si="14"/>
        <v>Organización Latinoamericana de Energía (OLADE);Indicadores de Desarrollo Mundial (WDI);</v>
      </c>
      <c r="AB105" s="22"/>
      <c r="AC105" s="22"/>
      <c r="AD105" s="22"/>
      <c r="AE105" s="22"/>
      <c r="AF105" s="22"/>
      <c r="AG105" s="22"/>
      <c r="AH105" s="22"/>
      <c r="AI105" s="22"/>
      <c r="AJ105" s="22"/>
      <c r="AK105" s="22"/>
      <c r="AL105" s="22"/>
      <c r="AP105" s="22"/>
      <c r="AQ105" s="22"/>
      <c r="AR105" s="22"/>
      <c r="AS105" s="22"/>
      <c r="AT105" s="22"/>
      <c r="AU105" s="22"/>
      <c r="AV105" s="22"/>
      <c r="AW105" s="22"/>
      <c r="AX105" s="22"/>
      <c r="AY105" s="22"/>
      <c r="AZ105" s="22"/>
    </row>
    <row r="106" spans="1:52" x14ac:dyDescent="0.2">
      <c r="A106" s="1" t="str">
        <f>tblIndicators!B102</f>
        <v>CALC06</v>
      </c>
      <c r="B106" s="1">
        <f>tblIndicators!D102</f>
        <v>1</v>
      </c>
      <c r="C106" s="1">
        <f>tblIndicators!E102</f>
        <v>1</v>
      </c>
      <c r="D106" s="1" t="str">
        <f>IF(C106=0,UPPER(tblIndicators!O102),tblIndicators!O102)</f>
        <v>Gasoline consumption / capita</v>
      </c>
      <c r="E106" s="1" t="str">
        <f>IF($C106=1,tblIndicators!P102,"")</f>
        <v>barrels/capita/year</v>
      </c>
      <c r="F106" s="1" t="str">
        <f>IF($C106=1,tblIndicators!Q102,"")</f>
        <v>CALCULATED</v>
      </c>
      <c r="G106" s="1">
        <f>IF($C106=1,tblIndicators!G102,"")</f>
        <v>2</v>
      </c>
      <c r="H106" s="1">
        <f t="shared" si="8"/>
        <v>1578</v>
      </c>
      <c r="I106" s="1">
        <f t="shared" ca="1" si="9"/>
        <v>0.93716973614594901</v>
      </c>
      <c r="J106" s="22">
        <f ca="1">IF($C106=0,"",IF(ISNUMBER(I106),I106,"-"))</f>
        <v>0.93716973614594901</v>
      </c>
      <c r="K106" s="1" t="str">
        <f t="shared" ca="1" si="13"/>
        <v>Calculation</v>
      </c>
      <c r="L106" s="1" t="str">
        <f t="shared" ca="1" si="14"/>
        <v>Organización Latinoamericana de Energía (OLADE);Indicadores de Desarrollo Mundial (WDI);</v>
      </c>
      <c r="AB106" s="22"/>
      <c r="AC106" s="22"/>
      <c r="AD106" s="22"/>
      <c r="AE106" s="22"/>
      <c r="AF106" s="22"/>
      <c r="AG106" s="22"/>
      <c r="AH106" s="22"/>
      <c r="AI106" s="22"/>
      <c r="AJ106" s="22"/>
      <c r="AK106" s="22"/>
      <c r="AL106" s="22"/>
      <c r="AP106" s="22"/>
      <c r="AQ106" s="22"/>
      <c r="AR106" s="22"/>
      <c r="AS106" s="22"/>
      <c r="AT106" s="22"/>
      <c r="AU106" s="22"/>
      <c r="AV106" s="22"/>
      <c r="AW106" s="22"/>
      <c r="AX106" s="22"/>
      <c r="AY106" s="22"/>
      <c r="AZ106" s="22"/>
    </row>
    <row r="107" spans="1:52" x14ac:dyDescent="0.2">
      <c r="A107" s="1" t="str">
        <f>tblIndicators!B103</f>
        <v>CALC07</v>
      </c>
      <c r="B107" s="1">
        <f>tblIndicators!D103</f>
        <v>1</v>
      </c>
      <c r="C107" s="1">
        <f>tblIndicators!E103</f>
        <v>1</v>
      </c>
      <c r="D107" s="1" t="str">
        <f>IF(C107=0,UPPER(tblIndicators!O103),tblIndicators!O103)</f>
        <v>Road density (area)</v>
      </c>
      <c r="E107" s="1" t="str">
        <f>IF($C107=1,tblIndicators!P103,"")</f>
        <v>km/km2</v>
      </c>
      <c r="F107" s="1" t="str">
        <f>IF($C107=1,tblIndicators!Q103,"")</f>
        <v>CALCULATED</v>
      </c>
      <c r="G107" s="1">
        <f>IF($C107=1,tblIndicators!G103,"")</f>
        <v>2</v>
      </c>
      <c r="H107" s="1">
        <f t="shared" si="8"/>
        <v>1604</v>
      </c>
      <c r="I107" s="1">
        <f t="shared" ca="1" si="9"/>
        <v>0.22611586822039997</v>
      </c>
      <c r="J107" s="22">
        <f t="shared" ref="J107:J110" ca="1" si="15">IF($C107=0,"",IF(ISNUMBER(I107),I107,"-"))</f>
        <v>0.22611586822039997</v>
      </c>
      <c r="K107" s="1" t="str">
        <f t="shared" ca="1" si="13"/>
        <v>Calculation</v>
      </c>
      <c r="L107" s="1" t="str">
        <f t="shared" ca="1" si="14"/>
        <v>Dirección Nacional de Vialidad (DNV);Indicadores de Desarrollo Mundial (WDI);</v>
      </c>
      <c r="AB107" s="22"/>
      <c r="AC107" s="22"/>
      <c r="AD107" s="22"/>
      <c r="AE107" s="22"/>
      <c r="AF107" s="22"/>
      <c r="AG107" s="22"/>
      <c r="AH107" s="22"/>
      <c r="AI107" s="22"/>
      <c r="AJ107" s="22"/>
      <c r="AK107" s="22"/>
      <c r="AL107" s="22"/>
      <c r="AP107" s="22"/>
      <c r="AQ107" s="22"/>
      <c r="AR107" s="22"/>
      <c r="AS107" s="22"/>
      <c r="AT107" s="22"/>
      <c r="AU107" s="22"/>
      <c r="AV107" s="22"/>
      <c r="AW107" s="22"/>
      <c r="AX107" s="22"/>
      <c r="AY107" s="22"/>
      <c r="AZ107" s="22"/>
    </row>
    <row r="108" spans="1:52" x14ac:dyDescent="0.2">
      <c r="A108" s="1" t="str">
        <f>tblIndicators!B104</f>
        <v>CALC08</v>
      </c>
      <c r="B108" s="1">
        <f>tblIndicators!D104</f>
        <v>1</v>
      </c>
      <c r="C108" s="1">
        <f>tblIndicators!E104</f>
        <v>1</v>
      </c>
      <c r="D108" s="1" t="str">
        <f>IF(C108=0,UPPER(tblIndicators!O104),tblIndicators!O104)</f>
        <v>Road density (population)</v>
      </c>
      <c r="E108" s="1" t="str">
        <f>IF($C108=1,tblIndicators!P104,"")</f>
        <v>km/1,000 inhabitants</v>
      </c>
      <c r="F108" s="1" t="str">
        <f>IF($C108=1,tblIndicators!Q104,"")</f>
        <v>CALCULATED</v>
      </c>
      <c r="G108" s="1">
        <f>IF($C108=1,tblIndicators!G104,"")</f>
        <v>1</v>
      </c>
      <c r="H108" s="1">
        <f t="shared" si="8"/>
        <v>1630</v>
      </c>
      <c r="I108" s="1">
        <f t="shared" ca="1" si="9"/>
        <v>15.290425949563229</v>
      </c>
      <c r="J108" s="22">
        <f t="shared" ca="1" si="15"/>
        <v>15.290425949563229</v>
      </c>
      <c r="K108" s="1" t="str">
        <f t="shared" ca="1" si="13"/>
        <v>Calculation</v>
      </c>
      <c r="L108" s="1" t="str">
        <f t="shared" ca="1" si="14"/>
        <v>Dirección Nacional de Vialidad (DNV);Indicadores de Desarrollo Mundial (WDI);</v>
      </c>
      <c r="AB108" s="22"/>
      <c r="AC108" s="22"/>
      <c r="AD108" s="22"/>
      <c r="AE108" s="22"/>
      <c r="AF108" s="22"/>
      <c r="AG108" s="22"/>
      <c r="AH108" s="22"/>
      <c r="AI108" s="22"/>
      <c r="AJ108" s="22"/>
      <c r="AK108" s="22"/>
      <c r="AL108" s="22"/>
      <c r="AP108" s="22"/>
      <c r="AQ108" s="22"/>
      <c r="AR108" s="22"/>
      <c r="AS108" s="22"/>
      <c r="AT108" s="22"/>
      <c r="AU108" s="22"/>
      <c r="AV108" s="22"/>
      <c r="AW108" s="22"/>
      <c r="AX108" s="22"/>
      <c r="AY108" s="22"/>
      <c r="AZ108" s="22"/>
    </row>
    <row r="109" spans="1:52" x14ac:dyDescent="0.2">
      <c r="A109" s="1" t="str">
        <f>tblIndicators!B105</f>
        <v>CALC09</v>
      </c>
      <c r="B109" s="1">
        <f>tblIndicators!D105</f>
        <v>1</v>
      </c>
      <c r="C109" s="1">
        <f>tblIndicators!E105</f>
        <v>1</v>
      </c>
      <c r="D109" s="1" t="str">
        <f>IF(C109=0,UPPER(tblIndicators!O105),tblIndicators!O105)</f>
        <v>Rail traffic density</v>
      </c>
      <c r="E109" s="1" t="str">
        <f>IF($C109=1,tblIndicators!P105,"")</f>
        <v>million t-km/km</v>
      </c>
      <c r="F109" s="1" t="str">
        <f>IF($C109=1,tblIndicators!Q105,"")</f>
        <v>CALCULATED</v>
      </c>
      <c r="G109" s="1">
        <f>IF($C109=1,tblIndicators!G105,"")</f>
        <v>3</v>
      </c>
      <c r="H109" s="1">
        <f t="shared" si="8"/>
        <v>1656</v>
      </c>
      <c r="I109" s="1">
        <f t="shared" ca="1" si="9"/>
        <v>1.2118603481656672E-3</v>
      </c>
      <c r="J109" s="22">
        <f t="shared" ca="1" si="15"/>
        <v>1.2118603481656672E-3</v>
      </c>
      <c r="K109" s="1" t="str">
        <f t="shared" ca="1" si="13"/>
        <v>Calculation</v>
      </c>
      <c r="L109" s="1" t="str">
        <f t="shared" ca="1" si="14"/>
        <v>Comisión Nacional de Regulación del Transporte (CNRT);</v>
      </c>
      <c r="AB109" s="22"/>
      <c r="AC109" s="22"/>
      <c r="AD109" s="22"/>
      <c r="AE109" s="22"/>
      <c r="AF109" s="22"/>
      <c r="AG109" s="22"/>
      <c r="AH109" s="22"/>
      <c r="AI109" s="22"/>
      <c r="AJ109" s="22"/>
      <c r="AK109" s="22"/>
      <c r="AL109" s="22"/>
      <c r="AP109" s="22"/>
      <c r="AQ109" s="22"/>
      <c r="AR109" s="22"/>
      <c r="AS109" s="22"/>
      <c r="AT109" s="22"/>
      <c r="AU109" s="22"/>
      <c r="AV109" s="22"/>
      <c r="AW109" s="22"/>
      <c r="AX109" s="22"/>
      <c r="AY109" s="22"/>
      <c r="AZ109" s="22"/>
    </row>
    <row r="110" spans="1:52" x14ac:dyDescent="0.2">
      <c r="A110" s="1" t="str">
        <f>tblIndicators!B106</f>
        <v>CALC10</v>
      </c>
      <c r="B110" s="1">
        <f>tblIndicators!D106</f>
        <v>1</v>
      </c>
      <c r="C110" s="1">
        <f>tblIndicators!E106</f>
        <v>1</v>
      </c>
      <c r="D110" s="1" t="str">
        <f>IF(C110=0,UPPER(tblIndicators!O106),tblIndicators!O106)</f>
        <v>Number of Trucks / number of trailers</v>
      </c>
      <c r="E110" s="1" t="str">
        <f>IF($C110=1,tblIndicators!P106,"")</f>
        <v>#</v>
      </c>
      <c r="F110" s="1" t="str">
        <f>IF($C110=1,tblIndicators!Q106,"")</f>
        <v>CALCULATED</v>
      </c>
      <c r="G110" s="1">
        <f>IF($C110=1,tblIndicators!G106,"")</f>
        <v>1</v>
      </c>
      <c r="H110" s="1">
        <f t="shared" si="8"/>
        <v>1665</v>
      </c>
      <c r="I110" s="1">
        <f t="shared" ca="1" si="9"/>
        <v>9.4837802422576623</v>
      </c>
      <c r="J110" s="22">
        <f t="shared" ca="1" si="15"/>
        <v>9.4837802422576623</v>
      </c>
      <c r="K110" s="1" t="str">
        <f t="shared" ca="1" si="13"/>
        <v>Calculation</v>
      </c>
      <c r="L110" s="1" t="str">
        <f t="shared" ca="1" si="14"/>
        <v>Asociación de Fábricas de Automotores (ADEFA);Univ. Tecnológica Nacional, Unidad C3T. 2005. El transporte automotor de cargas en la Argentina;</v>
      </c>
      <c r="AB110" s="22"/>
      <c r="AC110" s="22"/>
      <c r="AD110" s="22"/>
      <c r="AE110" s="22"/>
      <c r="AF110" s="22"/>
      <c r="AG110" s="22"/>
      <c r="AH110" s="22"/>
      <c r="AI110" s="22"/>
      <c r="AJ110" s="22"/>
      <c r="AK110" s="22"/>
      <c r="AL110" s="22"/>
      <c r="AP110" s="22"/>
      <c r="AQ110" s="22"/>
      <c r="AR110" s="22"/>
      <c r="AS110" s="22"/>
      <c r="AT110" s="22"/>
      <c r="AU110" s="22"/>
      <c r="AV110" s="22"/>
      <c r="AW110" s="22"/>
      <c r="AX110" s="22"/>
      <c r="AY110" s="22"/>
      <c r="AZ110" s="22"/>
    </row>
    <row r="111" spans="1:52" x14ac:dyDescent="0.2">
      <c r="J111" s="22"/>
      <c r="AB111" s="22"/>
      <c r="AC111" s="22"/>
      <c r="AD111" s="22"/>
      <c r="AE111" s="22"/>
      <c r="AF111" s="22"/>
      <c r="AG111" s="22"/>
      <c r="AH111" s="22"/>
      <c r="AI111" s="22"/>
      <c r="AJ111" s="22"/>
      <c r="AK111" s="22"/>
      <c r="AL111" s="22"/>
      <c r="AP111" s="22"/>
      <c r="AQ111" s="22"/>
      <c r="AR111" s="22"/>
      <c r="AS111" s="22"/>
      <c r="AT111" s="22"/>
      <c r="AU111" s="22"/>
      <c r="AV111" s="22"/>
      <c r="AW111" s="22"/>
      <c r="AX111" s="22"/>
      <c r="AY111" s="22"/>
      <c r="AZ111" s="22"/>
    </row>
    <row r="112" spans="1:52" x14ac:dyDescent="0.2">
      <c r="J112" s="22"/>
      <c r="AB112" s="22"/>
      <c r="AC112" s="22"/>
      <c r="AD112" s="22"/>
      <c r="AE112" s="22"/>
      <c r="AF112" s="22"/>
      <c r="AG112" s="22"/>
      <c r="AH112" s="22"/>
      <c r="AI112" s="22"/>
      <c r="AJ112" s="22"/>
      <c r="AK112" s="22"/>
      <c r="AL112" s="22"/>
      <c r="AP112" s="22"/>
      <c r="AQ112" s="22"/>
      <c r="AR112" s="22"/>
      <c r="AS112" s="22"/>
      <c r="AT112" s="22"/>
      <c r="AU112" s="22"/>
      <c r="AV112" s="22"/>
      <c r="AW112" s="22"/>
      <c r="AX112" s="22"/>
      <c r="AY112" s="22"/>
      <c r="AZ112" s="22"/>
    </row>
    <row r="113" spans="1:64" x14ac:dyDescent="0.2">
      <c r="J113" s="22"/>
      <c r="AB113" s="22"/>
      <c r="AC113" s="22"/>
      <c r="AD113" s="22"/>
      <c r="AE113" s="22"/>
      <c r="AF113" s="22"/>
      <c r="AG113" s="22"/>
      <c r="AH113" s="22"/>
      <c r="AI113" s="22"/>
      <c r="AJ113" s="22"/>
      <c r="AK113" s="22"/>
      <c r="AL113" s="22"/>
      <c r="AP113" s="22"/>
      <c r="AQ113" s="22"/>
      <c r="AR113" s="22"/>
      <c r="AS113" s="22"/>
      <c r="AT113" s="22"/>
      <c r="AU113" s="22"/>
      <c r="AV113" s="22"/>
      <c r="AW113" s="22"/>
      <c r="AX113" s="22"/>
      <c r="AY113" s="22"/>
      <c r="AZ113" s="22"/>
    </row>
    <row r="115" spans="1:64" x14ac:dyDescent="0.2">
      <c r="K115" s="17" t="s">
        <v>3012</v>
      </c>
    </row>
    <row r="116" spans="1:64" x14ac:dyDescent="0.2">
      <c r="K116" s="1">
        <f>CHOOSE(uxbWorks!$B$7,6,8)</f>
        <v>6</v>
      </c>
    </row>
    <row r="117" spans="1:64" x14ac:dyDescent="0.2">
      <c r="A117" s="2" t="s">
        <v>267</v>
      </c>
      <c r="L117" s="1">
        <v>1</v>
      </c>
      <c r="M117" s="1">
        <v>2</v>
      </c>
      <c r="N117" s="1">
        <v>3</v>
      </c>
      <c r="O117" s="1">
        <v>4</v>
      </c>
      <c r="P117" s="1">
        <v>5</v>
      </c>
      <c r="Q117" s="1">
        <v>6</v>
      </c>
      <c r="R117" s="1">
        <v>7</v>
      </c>
      <c r="S117" s="1">
        <v>8</v>
      </c>
      <c r="T117" s="1">
        <v>9</v>
      </c>
      <c r="U117" s="1">
        <v>10</v>
      </c>
      <c r="V117" s="1">
        <v>11</v>
      </c>
      <c r="W117" s="1">
        <v>12</v>
      </c>
      <c r="X117" s="1">
        <v>13</v>
      </c>
      <c r="Y117" s="1">
        <v>14</v>
      </c>
      <c r="Z117" s="1">
        <v>15</v>
      </c>
      <c r="AA117" s="1">
        <v>16</v>
      </c>
      <c r="AB117" s="1">
        <v>17</v>
      </c>
      <c r="AC117" s="1">
        <v>18</v>
      </c>
      <c r="AD117" s="1">
        <v>19</v>
      </c>
      <c r="AE117" s="1">
        <v>20</v>
      </c>
      <c r="AF117" s="1">
        <v>21</v>
      </c>
      <c r="AG117" s="1">
        <v>22</v>
      </c>
      <c r="AH117" s="1">
        <v>23</v>
      </c>
      <c r="AI117" s="1">
        <v>24</v>
      </c>
      <c r="AJ117" s="1">
        <v>25</v>
      </c>
      <c r="AK117" s="1">
        <v>26</v>
      </c>
    </row>
    <row r="118" spans="1:64" x14ac:dyDescent="0.2">
      <c r="A118" s="2"/>
      <c r="C118" s="22" t="s">
        <v>244</v>
      </c>
      <c r="D118" s="1" t="s">
        <v>268</v>
      </c>
      <c r="E118" s="1" t="s">
        <v>37</v>
      </c>
      <c r="J118" s="1" t="s">
        <v>275</v>
      </c>
      <c r="L118" s="1" t="str">
        <f>INDEX(tblCountries!$E$3:$E$32,L117)</f>
        <v>NAC_AR_1</v>
      </c>
      <c r="M118" s="1" t="str">
        <f>INDEX(tblCountries!$E$3:$E$32,M117)</f>
        <v>NAC_BS_1</v>
      </c>
      <c r="N118" s="1" t="str">
        <f>INDEX(tblCountries!$E$3:$E$32,N117)</f>
        <v>NAC_BB_1</v>
      </c>
      <c r="O118" s="1" t="str">
        <f>INDEX(tblCountries!$E$3:$E$32,O117)</f>
        <v>NAC_BZ_1</v>
      </c>
      <c r="P118" s="1" t="str">
        <f>INDEX(tblCountries!$E$3:$E$32,P117)</f>
        <v>NAC_BO_1</v>
      </c>
      <c r="Q118" s="1" t="str">
        <f>INDEX(tblCountries!$E$3:$E$32,Q117)</f>
        <v>NAC_BR_1</v>
      </c>
      <c r="R118" s="1" t="str">
        <f>INDEX(tblCountries!$E$3:$E$32,R117)</f>
        <v>NAC_CL_1</v>
      </c>
      <c r="S118" s="1" t="str">
        <f>INDEX(tblCountries!$E$3:$E$32,S117)</f>
        <v>NAC_CO_1</v>
      </c>
      <c r="T118" s="1" t="str">
        <f>INDEX(tblCountries!$E$3:$E$32,T117)</f>
        <v>NAC_CR_1</v>
      </c>
      <c r="U118" s="1" t="str">
        <f>INDEX(tblCountries!$E$3:$E$32,U117)</f>
        <v>NAC_EC_1</v>
      </c>
      <c r="V118" s="1" t="str">
        <f>INDEX(tblCountries!$E$3:$E$32,V117)</f>
        <v>NAC_SV_1</v>
      </c>
      <c r="W118" s="1" t="str">
        <f>INDEX(tblCountries!$E$3:$E$32,W117)</f>
        <v>NAC_GT_1</v>
      </c>
      <c r="X118" s="1" t="str">
        <f>INDEX(tblCountries!$E$3:$E$32,X117)</f>
        <v>NAC_GY_1</v>
      </c>
      <c r="Y118" s="1" t="str">
        <f>INDEX(tblCountries!$E$3:$E$32,Y117)</f>
        <v>NAC_HT_1</v>
      </c>
      <c r="Z118" s="1" t="str">
        <f>INDEX(tblCountries!$E$3:$E$32,Z117)</f>
        <v>NAC_HN_1</v>
      </c>
      <c r="AA118" s="1" t="str">
        <f>INDEX(tblCountries!$E$3:$E$32,AA117)</f>
        <v>NAC_JM_1</v>
      </c>
      <c r="AB118" s="1" t="str">
        <f>INDEX(tblCountries!$E$3:$E$32,AB117)</f>
        <v>NAC_MX_1</v>
      </c>
      <c r="AC118" s="1" t="str">
        <f>INDEX(tblCountries!$E$3:$E$32,AC117)</f>
        <v>NAC_NI_1</v>
      </c>
      <c r="AD118" s="1" t="str">
        <f>INDEX(tblCountries!$E$3:$E$32,AD117)</f>
        <v>NAC_PA_1</v>
      </c>
      <c r="AE118" s="1" t="str">
        <f>INDEX(tblCountries!$E$3:$E$32,AE117)</f>
        <v>NAC_PY_1</v>
      </c>
      <c r="AF118" s="1" t="str">
        <f>INDEX(tblCountries!$E$3:$E$32,AF117)</f>
        <v>NAC_PE_1</v>
      </c>
      <c r="AG118" s="1" t="str">
        <f>INDEX(tblCountries!$E$3:$E$32,AG117)</f>
        <v>NAC_DO_1</v>
      </c>
      <c r="AH118" s="1" t="str">
        <f>INDEX(tblCountries!$E$3:$E$32,AH117)</f>
        <v>NAC_SR_1</v>
      </c>
      <c r="AI118" s="1" t="str">
        <f>INDEX(tblCountries!$E$3:$E$32,AI117)</f>
        <v>NAC_TT_1</v>
      </c>
      <c r="AJ118" s="1" t="str">
        <f>INDEX(tblCountries!$E$3:$E$32,AJ117)</f>
        <v>NAC_UY_1</v>
      </c>
      <c r="AK118" s="1" t="str">
        <f>INDEX(tblCountries!$E$3:$E$32,AK117)</f>
        <v>NAC_VE_1</v>
      </c>
      <c r="AM118" s="1" t="str">
        <f>L118</f>
        <v>NAC_AR_1</v>
      </c>
      <c r="AN118" s="1" t="str">
        <f t="shared" ref="AN118:BL118" si="16">M118</f>
        <v>NAC_BS_1</v>
      </c>
      <c r="AO118" s="1" t="str">
        <f t="shared" si="16"/>
        <v>NAC_BB_1</v>
      </c>
      <c r="AP118" s="1" t="str">
        <f t="shared" si="16"/>
        <v>NAC_BZ_1</v>
      </c>
      <c r="AQ118" s="1" t="str">
        <f t="shared" si="16"/>
        <v>NAC_BO_1</v>
      </c>
      <c r="AR118" s="1" t="str">
        <f t="shared" si="16"/>
        <v>NAC_BR_1</v>
      </c>
      <c r="AS118" s="1" t="str">
        <f t="shared" si="16"/>
        <v>NAC_CL_1</v>
      </c>
      <c r="AT118" s="1" t="str">
        <f t="shared" si="16"/>
        <v>NAC_CO_1</v>
      </c>
      <c r="AU118" s="1" t="str">
        <f t="shared" si="16"/>
        <v>NAC_CR_1</v>
      </c>
      <c r="AV118" s="1" t="str">
        <f t="shared" si="16"/>
        <v>NAC_EC_1</v>
      </c>
      <c r="AW118" s="1" t="str">
        <f t="shared" si="16"/>
        <v>NAC_SV_1</v>
      </c>
      <c r="AX118" s="1" t="str">
        <f t="shared" si="16"/>
        <v>NAC_GT_1</v>
      </c>
      <c r="AY118" s="1" t="str">
        <f t="shared" si="16"/>
        <v>NAC_GY_1</v>
      </c>
      <c r="AZ118" s="1" t="str">
        <f t="shared" si="16"/>
        <v>NAC_HT_1</v>
      </c>
      <c r="BA118" s="1" t="str">
        <f t="shared" si="16"/>
        <v>NAC_HN_1</v>
      </c>
      <c r="BB118" s="1" t="str">
        <f t="shared" si="16"/>
        <v>NAC_JM_1</v>
      </c>
      <c r="BC118" s="1" t="str">
        <f t="shared" si="16"/>
        <v>NAC_MX_1</v>
      </c>
      <c r="BD118" s="1" t="str">
        <f t="shared" si="16"/>
        <v>NAC_NI_1</v>
      </c>
      <c r="BE118" s="1" t="str">
        <f t="shared" si="16"/>
        <v>NAC_PA_1</v>
      </c>
      <c r="BF118" s="1" t="str">
        <f t="shared" si="16"/>
        <v>NAC_PY_1</v>
      </c>
      <c r="BG118" s="1" t="str">
        <f t="shared" si="16"/>
        <v>NAC_PE_1</v>
      </c>
      <c r="BH118" s="1" t="str">
        <f t="shared" si="16"/>
        <v>NAC_DO_1</v>
      </c>
      <c r="BI118" s="1" t="str">
        <f t="shared" si="16"/>
        <v>NAC_SR_1</v>
      </c>
      <c r="BJ118" s="1" t="str">
        <f t="shared" si="16"/>
        <v>NAC_TT_1</v>
      </c>
      <c r="BK118" s="1" t="str">
        <f t="shared" si="16"/>
        <v>NAC_UY_1</v>
      </c>
      <c r="BL118" s="1" t="str">
        <f t="shared" si="16"/>
        <v>NAC_VE_1</v>
      </c>
    </row>
    <row r="119" spans="1:64" x14ac:dyDescent="0.2">
      <c r="A119" s="1" t="s">
        <v>41</v>
      </c>
      <c r="B119" s="1">
        <f>MATCH(A119,tblIndicators!$B$2:$B$107,0)</f>
        <v>2</v>
      </c>
      <c r="C119" s="1">
        <f>INDEX(tblIndicators!G$2:G$109,$B119)</f>
        <v>2</v>
      </c>
      <c r="D119" s="1" t="str">
        <f>INDEX(tblIndicators!O$2:O$109,$B119)</f>
        <v>Transport sector  % GDP</v>
      </c>
      <c r="E119" s="1" t="str">
        <f>INDEX(tblIndicators!P$2:P$109,$B119)</f>
        <v>%</v>
      </c>
      <c r="F119" s="1" t="str">
        <f>CONCATENATE($F$2,"_",$A119)</f>
        <v>NAC_AR_1_GENERAL01</v>
      </c>
      <c r="G119" s="1">
        <f t="shared" ref="G119:G124" si="17">MATCH(F119,lu_DataCode,0)</f>
        <v>1</v>
      </c>
      <c r="H119" s="22">
        <f t="shared" ref="H119:H124" ca="1" si="18">IF(ISNUMBER(G119),INDEX(OFFSET(lu_DataCode,0,4),$G119),"-")</f>
        <v>7.2048221837913999</v>
      </c>
      <c r="I119" s="1">
        <f t="shared" ref="I119:I124" ca="1" si="19">IF(ISNUMBER(G119),INDEX(OFFSET(lu_DataCode,0,3),$G119),"")</f>
        <v>2012</v>
      </c>
      <c r="J119" s="22">
        <f ca="1">IF(ISERROR(AVERAGE(AM119:BL119)),"-",AVERAGE(AM119:BL119))</f>
        <v>6.3152153031169815</v>
      </c>
      <c r="K119" s="11" t="str">
        <f t="shared" ref="K119:K131" ca="1" si="20">IF(ISNUMBER(G119),INDEX(OFFSET(lu_DataCode,0,$K$116),$G119),"-")</f>
        <v>National Accounts methods.  Annual frequency. ISIC I.</v>
      </c>
      <c r="L119" s="1">
        <f t="shared" ref="L119:AA131" ca="1" si="21">INDEX(OFFSET(lu_DataCode,0,4),MATCH(CONCATENATE(L$118,"_",$A119),lu_DataCode,0))</f>
        <v>7.2048221837913999</v>
      </c>
      <c r="M119" s="1">
        <f t="shared" ca="1" si="21"/>
        <v>3.91327578192378</v>
      </c>
      <c r="N119" s="1">
        <f t="shared" ca="1" si="21"/>
        <v>6.6200117764503199</v>
      </c>
      <c r="O119" s="1">
        <f t="shared" ca="1" si="21"/>
        <v>3.6146611585719599</v>
      </c>
      <c r="P119" s="1">
        <f t="shared" ca="1" si="21"/>
        <v>6.9456878227985897</v>
      </c>
      <c r="Q119" s="1">
        <f t="shared" ca="1" si="21"/>
        <v>4.5281547327290106</v>
      </c>
      <c r="R119" s="1">
        <f t="shared" ca="1" si="21"/>
        <v>4.01</v>
      </c>
      <c r="S119" s="1">
        <f t="shared" ca="1" si="21"/>
        <v>7.7299999999999995</v>
      </c>
      <c r="T119" s="1">
        <f t="shared" ca="1" si="21"/>
        <v>6.8641640540997191</v>
      </c>
      <c r="U119" s="1">
        <f t="shared" ca="1" si="21"/>
        <v>5.26505148816371</v>
      </c>
      <c r="V119" s="1">
        <f t="shared" ca="1" si="21"/>
        <v>5.6016158710687201</v>
      </c>
      <c r="W119" s="1">
        <f t="shared" ca="1" si="21"/>
        <v>7.8</v>
      </c>
      <c r="X119" s="1">
        <f t="shared" ca="1" si="21"/>
        <v>6.2970213381781504</v>
      </c>
      <c r="Y119" s="1">
        <f t="shared" ca="1" si="21"/>
        <v>7.6910436445216401</v>
      </c>
      <c r="Z119" s="1" t="e">
        <f t="shared" ca="1" si="21"/>
        <v>#N/A</v>
      </c>
      <c r="AA119" s="1">
        <f t="shared" ca="1" si="21"/>
        <v>8.0450017908396898</v>
      </c>
      <c r="AB119" s="1">
        <f t="shared" ref="M119:AK129" ca="1" si="22">INDEX(OFFSET(lu_DataCode,0,4),MATCH(CONCATENATE(AB$118,"_",$A119),lu_DataCode,0))</f>
        <v>5.9218808907268796</v>
      </c>
      <c r="AC119" s="1">
        <f t="shared" ca="1" si="22"/>
        <v>5</v>
      </c>
      <c r="AD119" s="1">
        <f t="shared" ca="1" si="22"/>
        <v>17.599999999999998</v>
      </c>
      <c r="AE119" s="1">
        <f t="shared" ca="1" si="22"/>
        <v>2.4994499559909897</v>
      </c>
      <c r="AF119" s="1">
        <f t="shared" ca="1" si="22"/>
        <v>6.9662940495960699</v>
      </c>
      <c r="AG119" s="1">
        <f t="shared" ca="1" si="22"/>
        <v>8.4378989177878498</v>
      </c>
      <c r="AH119" s="1">
        <f t="shared" ca="1" si="22"/>
        <v>6.0552171063273095</v>
      </c>
      <c r="AI119" s="1">
        <f t="shared" ca="1" si="22"/>
        <v>5.3618877032470706</v>
      </c>
      <c r="AJ119" s="1">
        <f t="shared" ca="1" si="22"/>
        <v>4.3444985270182999</v>
      </c>
      <c r="AK119" s="1">
        <f t="shared" ca="1" si="22"/>
        <v>3.5627437840933798</v>
      </c>
      <c r="AM119" s="1">
        <f t="shared" ref="AM119:AM131" ca="1" si="23">IF(ISNUMBER(L119),L119,"")</f>
        <v>7.2048221837913999</v>
      </c>
      <c r="AN119" s="1">
        <f t="shared" ref="AN119:BL129" ca="1" si="24">IF(ISNUMBER(M119),M119,"")</f>
        <v>3.91327578192378</v>
      </c>
      <c r="AO119" s="1">
        <f t="shared" ca="1" si="24"/>
        <v>6.6200117764503199</v>
      </c>
      <c r="AP119" s="1">
        <f t="shared" ca="1" si="24"/>
        <v>3.6146611585719599</v>
      </c>
      <c r="AQ119" s="1">
        <f t="shared" ca="1" si="24"/>
        <v>6.9456878227985897</v>
      </c>
      <c r="AR119" s="1">
        <f t="shared" ca="1" si="24"/>
        <v>4.5281547327290106</v>
      </c>
      <c r="AS119" s="1">
        <f t="shared" ca="1" si="24"/>
        <v>4.01</v>
      </c>
      <c r="AT119" s="1">
        <f t="shared" ca="1" si="24"/>
        <v>7.7299999999999995</v>
      </c>
      <c r="AU119" s="1">
        <f t="shared" ca="1" si="24"/>
        <v>6.8641640540997191</v>
      </c>
      <c r="AV119" s="1">
        <f t="shared" ca="1" si="24"/>
        <v>5.26505148816371</v>
      </c>
      <c r="AW119" s="1">
        <f t="shared" ca="1" si="24"/>
        <v>5.6016158710687201</v>
      </c>
      <c r="AX119" s="1">
        <f t="shared" ca="1" si="24"/>
        <v>7.8</v>
      </c>
      <c r="AY119" s="1">
        <f t="shared" ca="1" si="24"/>
        <v>6.2970213381781504</v>
      </c>
      <c r="AZ119" s="1">
        <f t="shared" ca="1" si="24"/>
        <v>7.6910436445216401</v>
      </c>
      <c r="BA119" s="1" t="str">
        <f t="shared" ca="1" si="24"/>
        <v/>
      </c>
      <c r="BB119" s="1">
        <f t="shared" ca="1" si="24"/>
        <v>8.0450017908396898</v>
      </c>
      <c r="BC119" s="1">
        <f t="shared" ca="1" si="24"/>
        <v>5.9218808907268796</v>
      </c>
      <c r="BD119" s="1">
        <f t="shared" ca="1" si="24"/>
        <v>5</v>
      </c>
      <c r="BE119" s="1">
        <f t="shared" ca="1" si="24"/>
        <v>17.599999999999998</v>
      </c>
      <c r="BF119" s="1">
        <f t="shared" ca="1" si="24"/>
        <v>2.4994499559909897</v>
      </c>
      <c r="BG119" s="1">
        <f t="shared" ca="1" si="24"/>
        <v>6.9662940495960699</v>
      </c>
      <c r="BH119" s="1">
        <f t="shared" ca="1" si="24"/>
        <v>8.4378989177878498</v>
      </c>
      <c r="BI119" s="1">
        <f t="shared" ca="1" si="24"/>
        <v>6.0552171063273095</v>
      </c>
      <c r="BJ119" s="1">
        <f t="shared" ca="1" si="24"/>
        <v>5.3618877032470706</v>
      </c>
      <c r="BK119" s="1">
        <f t="shared" ca="1" si="24"/>
        <v>4.3444985270182999</v>
      </c>
      <c r="BL119" s="1">
        <f t="shared" ca="1" si="24"/>
        <v>3.5627437840933798</v>
      </c>
    </row>
    <row r="120" spans="1:64" x14ac:dyDescent="0.2">
      <c r="A120" s="1" t="s">
        <v>42</v>
      </c>
      <c r="B120" s="1">
        <f>MATCH(A120,tblIndicators!$B$2:$B$107,0)</f>
        <v>3</v>
      </c>
      <c r="C120" s="1">
        <f>INDEX(tblIndicators!G$2:G$109,$B120)</f>
        <v>1</v>
      </c>
      <c r="D120" s="1" t="str">
        <f>INDEX(tblIndicators!O$2:O$109,$B120)</f>
        <v>Population</v>
      </c>
      <c r="E120" s="1" t="str">
        <f>INDEX(tblIndicators!P$2:P$109,$B120)</f>
        <v>millions</v>
      </c>
      <c r="F120" s="1" t="str">
        <f t="shared" ref="F120:F131" si="25">CONCATENATE($F$2,"_",$A120)</f>
        <v>NAC_AR_1_GENERAL02</v>
      </c>
      <c r="G120" s="1">
        <f t="shared" si="17"/>
        <v>26</v>
      </c>
      <c r="H120" s="22">
        <f t="shared" ca="1" si="18"/>
        <v>41.116745999999999</v>
      </c>
      <c r="I120" s="1">
        <f t="shared" ca="1" si="19"/>
        <v>2012</v>
      </c>
      <c r="J120" s="22">
        <f t="shared" ref="J120:J131" ca="1" si="26">IF(ISERROR(AVERAGE(AM120:BL120)),"-",AVERAGE(AM120:BL120))</f>
        <v>22.464685918607231</v>
      </c>
      <c r="K120" s="11" t="str">
        <f t="shared" ca="1" si="20"/>
        <v>Based on data extrapolation from years 2008-2011. World Bank estimations and national census.  Annual frequency.</v>
      </c>
      <c r="L120" s="1">
        <f t="shared" ca="1" si="21"/>
        <v>41.116745999999999</v>
      </c>
      <c r="M120" s="1">
        <f t="shared" ca="1" si="22"/>
        <v>0.35199999999999998</v>
      </c>
      <c r="N120" s="1">
        <f t="shared" ca="1" si="22"/>
        <v>0.27451900000000001</v>
      </c>
      <c r="O120" s="1">
        <f t="shared" ca="1" si="22"/>
        <v>0.34195588378800001</v>
      </c>
      <c r="P120" s="1">
        <f t="shared" ca="1" si="22"/>
        <v>10.029999999999999</v>
      </c>
      <c r="Q120" s="1">
        <f t="shared" ca="1" si="22"/>
        <v>198.36355800000001</v>
      </c>
      <c r="R120" s="1">
        <f t="shared" ca="1" si="22"/>
        <v>17.402999999999999</v>
      </c>
      <c r="S120" s="1">
        <f t="shared" ca="1" si="22"/>
        <v>46.597999999999999</v>
      </c>
      <c r="T120" s="1">
        <f t="shared" ca="1" si="22"/>
        <v>4.782</v>
      </c>
      <c r="U120" s="1">
        <f t="shared" ca="1" si="22"/>
        <v>14.867371</v>
      </c>
      <c r="V120" s="1">
        <f t="shared" ca="1" si="22"/>
        <v>6.2492619999999999</v>
      </c>
      <c r="W120" s="1">
        <f t="shared" ca="1" si="22"/>
        <v>15.105</v>
      </c>
      <c r="X120" s="1">
        <f t="shared" ca="1" si="22"/>
        <v>0.75758700000000001</v>
      </c>
      <c r="Y120" s="1">
        <f t="shared" ca="1" si="22"/>
        <v>10.254327</v>
      </c>
      <c r="Z120" s="1">
        <f t="shared" ca="1" si="22"/>
        <v>8.2010000000000005</v>
      </c>
      <c r="AA120" s="1">
        <f t="shared" ca="1" si="22"/>
        <v>2.7114760000000002</v>
      </c>
      <c r="AB120" s="1">
        <f t="shared" ca="1" si="22"/>
        <v>114.872</v>
      </c>
      <c r="AC120" s="1">
        <f t="shared" ca="1" si="22"/>
        <v>5.9809999999999999</v>
      </c>
      <c r="AD120" s="1">
        <f t="shared" ca="1" si="22"/>
        <v>3.6549999999999998</v>
      </c>
      <c r="AE120" s="1">
        <f t="shared" ca="1" si="22"/>
        <v>6.6820320000000004</v>
      </c>
      <c r="AF120" s="1">
        <f t="shared" ca="1" si="22"/>
        <v>30.474</v>
      </c>
      <c r="AG120" s="1">
        <f t="shared" ca="1" si="22"/>
        <v>10.237</v>
      </c>
      <c r="AH120" s="1">
        <f t="shared" ca="1" si="22"/>
        <v>0.54600000000000004</v>
      </c>
      <c r="AI120" s="1">
        <f t="shared" ca="1" si="22"/>
        <v>1.329</v>
      </c>
      <c r="AJ120" s="1">
        <f t="shared" ca="1" si="22"/>
        <v>3.3809999999999998</v>
      </c>
      <c r="AK120" s="1">
        <f t="shared" ca="1" si="22"/>
        <v>29.516999999999999</v>
      </c>
      <c r="AM120" s="1">
        <f t="shared" ca="1" si="23"/>
        <v>41.116745999999999</v>
      </c>
      <c r="AN120" s="1">
        <f t="shared" ca="1" si="24"/>
        <v>0.35199999999999998</v>
      </c>
      <c r="AO120" s="1">
        <f t="shared" ca="1" si="24"/>
        <v>0.27451900000000001</v>
      </c>
      <c r="AP120" s="1">
        <f t="shared" ca="1" si="24"/>
        <v>0.34195588378800001</v>
      </c>
      <c r="AQ120" s="1">
        <f t="shared" ca="1" si="24"/>
        <v>10.029999999999999</v>
      </c>
      <c r="AR120" s="1">
        <f t="shared" ca="1" si="24"/>
        <v>198.36355800000001</v>
      </c>
      <c r="AS120" s="1">
        <f t="shared" ca="1" si="24"/>
        <v>17.402999999999999</v>
      </c>
      <c r="AT120" s="1">
        <f t="shared" ca="1" si="24"/>
        <v>46.597999999999999</v>
      </c>
      <c r="AU120" s="1">
        <f t="shared" ca="1" si="24"/>
        <v>4.782</v>
      </c>
      <c r="AV120" s="1">
        <f t="shared" ca="1" si="24"/>
        <v>14.867371</v>
      </c>
      <c r="AW120" s="1">
        <f t="shared" ca="1" si="24"/>
        <v>6.2492619999999999</v>
      </c>
      <c r="AX120" s="1">
        <f t="shared" ca="1" si="24"/>
        <v>15.105</v>
      </c>
      <c r="AY120" s="1">
        <f t="shared" ca="1" si="24"/>
        <v>0.75758700000000001</v>
      </c>
      <c r="AZ120" s="1">
        <f t="shared" ca="1" si="24"/>
        <v>10.254327</v>
      </c>
      <c r="BA120" s="1">
        <f t="shared" ca="1" si="24"/>
        <v>8.2010000000000005</v>
      </c>
      <c r="BB120" s="1">
        <f t="shared" ca="1" si="24"/>
        <v>2.7114760000000002</v>
      </c>
      <c r="BC120" s="1">
        <f t="shared" ca="1" si="24"/>
        <v>114.872</v>
      </c>
      <c r="BD120" s="1">
        <f t="shared" ca="1" si="24"/>
        <v>5.9809999999999999</v>
      </c>
      <c r="BE120" s="1">
        <f t="shared" ca="1" si="24"/>
        <v>3.6549999999999998</v>
      </c>
      <c r="BF120" s="1">
        <f t="shared" ca="1" si="24"/>
        <v>6.6820320000000004</v>
      </c>
      <c r="BG120" s="1">
        <f t="shared" ca="1" si="24"/>
        <v>30.474</v>
      </c>
      <c r="BH120" s="1">
        <f t="shared" ca="1" si="24"/>
        <v>10.237</v>
      </c>
      <c r="BI120" s="1">
        <f t="shared" ca="1" si="24"/>
        <v>0.54600000000000004</v>
      </c>
      <c r="BJ120" s="1">
        <f t="shared" ca="1" si="24"/>
        <v>1.329</v>
      </c>
      <c r="BK120" s="1">
        <f t="shared" ca="1" si="24"/>
        <v>3.3809999999999998</v>
      </c>
      <c r="BL120" s="1">
        <f t="shared" ca="1" si="24"/>
        <v>29.516999999999999</v>
      </c>
    </row>
    <row r="121" spans="1:64" x14ac:dyDescent="0.2">
      <c r="A121" s="1" t="s">
        <v>44</v>
      </c>
      <c r="B121" s="1">
        <f>MATCH(A121,tblIndicators!$B$2:$B$107,0)</f>
        <v>4</v>
      </c>
      <c r="C121" s="1">
        <f>INDEX(tblIndicators!G$2:G$109,$B121)</f>
        <v>0</v>
      </c>
      <c r="D121" s="1" t="str">
        <f>INDEX(tblIndicators!O$2:O$109,$B121)</f>
        <v>Land area</v>
      </c>
      <c r="E121" s="1" t="str">
        <f>INDEX(tblIndicators!P$2:P$109,$B121)</f>
        <v>sq km</v>
      </c>
      <c r="F121" s="1" t="str">
        <f t="shared" si="25"/>
        <v>NAC_AR_1_GENERAL03</v>
      </c>
      <c r="G121" s="1">
        <f t="shared" si="17"/>
        <v>52</v>
      </c>
      <c r="H121" s="22">
        <f t="shared" ca="1" si="18"/>
        <v>2780400</v>
      </c>
      <c r="I121" s="1">
        <f t="shared" ca="1" si="19"/>
        <v>2012</v>
      </c>
      <c r="J121" s="22">
        <f t="shared" ca="1" si="26"/>
        <v>780792.65384615387</v>
      </c>
      <c r="K121" s="11" t="str">
        <f t="shared" ca="1" si="20"/>
        <v>World Bank estimations and national census. Annual frequency.</v>
      </c>
      <c r="L121" s="1">
        <f t="shared" ca="1" si="21"/>
        <v>2780400</v>
      </c>
      <c r="M121" s="1">
        <f t="shared" ca="1" si="22"/>
        <v>13880</v>
      </c>
      <c r="N121" s="1">
        <f t="shared" ca="1" si="22"/>
        <v>430</v>
      </c>
      <c r="O121" s="1">
        <f t="shared" ca="1" si="22"/>
        <v>22970</v>
      </c>
      <c r="P121" s="1">
        <f t="shared" ca="1" si="22"/>
        <v>1098581</v>
      </c>
      <c r="Q121" s="1">
        <f t="shared" ca="1" si="22"/>
        <v>8514880</v>
      </c>
      <c r="R121" s="1">
        <f t="shared" ca="1" si="22"/>
        <v>756090</v>
      </c>
      <c r="S121" s="1">
        <f t="shared" ca="1" si="22"/>
        <v>1141748</v>
      </c>
      <c r="T121" s="1">
        <f t="shared" ca="1" si="22"/>
        <v>51100</v>
      </c>
      <c r="U121" s="1">
        <f t="shared" ca="1" si="22"/>
        <v>256370</v>
      </c>
      <c r="V121" s="1">
        <f t="shared" ca="1" si="22"/>
        <v>21040</v>
      </c>
      <c r="W121" s="1">
        <f t="shared" ca="1" si="22"/>
        <v>108890</v>
      </c>
      <c r="X121" s="1">
        <f t="shared" ca="1" si="22"/>
        <v>214970</v>
      </c>
      <c r="Y121" s="1">
        <f t="shared" ca="1" si="22"/>
        <v>27750</v>
      </c>
      <c r="Z121" s="1">
        <f t="shared" ca="1" si="22"/>
        <v>112490</v>
      </c>
      <c r="AA121" s="1">
        <f t="shared" ca="1" si="22"/>
        <v>10990</v>
      </c>
      <c r="AB121" s="1">
        <f t="shared" ca="1" si="22"/>
        <v>1964380</v>
      </c>
      <c r="AC121" s="1">
        <f t="shared" ca="1" si="22"/>
        <v>130370</v>
      </c>
      <c r="AD121" s="1">
        <f t="shared" ca="1" si="22"/>
        <v>75420</v>
      </c>
      <c r="AE121" s="1">
        <f t="shared" ca="1" si="22"/>
        <v>406750</v>
      </c>
      <c r="AF121" s="1">
        <f t="shared" ca="1" si="22"/>
        <v>1285220</v>
      </c>
      <c r="AG121" s="1">
        <f t="shared" ca="1" si="22"/>
        <v>48670</v>
      </c>
      <c r="AH121" s="1">
        <f t="shared" ca="1" si="22"/>
        <v>163820</v>
      </c>
      <c r="AI121" s="1">
        <f t="shared" ca="1" si="22"/>
        <v>5130</v>
      </c>
      <c r="AJ121" s="1">
        <f t="shared" ca="1" si="22"/>
        <v>176220</v>
      </c>
      <c r="AK121" s="1">
        <f t="shared" ca="1" si="22"/>
        <v>912050</v>
      </c>
      <c r="AM121" s="1">
        <f t="shared" ca="1" si="23"/>
        <v>2780400</v>
      </c>
      <c r="AN121" s="1">
        <f t="shared" ca="1" si="24"/>
        <v>13880</v>
      </c>
      <c r="AO121" s="1">
        <f t="shared" ca="1" si="24"/>
        <v>430</v>
      </c>
      <c r="AP121" s="1">
        <f t="shared" ca="1" si="24"/>
        <v>22970</v>
      </c>
      <c r="AQ121" s="1">
        <f t="shared" ca="1" si="24"/>
        <v>1098581</v>
      </c>
      <c r="AR121" s="1">
        <f t="shared" ca="1" si="24"/>
        <v>8514880</v>
      </c>
      <c r="AS121" s="1">
        <f t="shared" ca="1" si="24"/>
        <v>756090</v>
      </c>
      <c r="AT121" s="1">
        <f t="shared" ca="1" si="24"/>
        <v>1141748</v>
      </c>
      <c r="AU121" s="1">
        <f t="shared" ca="1" si="24"/>
        <v>51100</v>
      </c>
      <c r="AV121" s="1">
        <f t="shared" ca="1" si="24"/>
        <v>256370</v>
      </c>
      <c r="AW121" s="1">
        <f t="shared" ca="1" si="24"/>
        <v>21040</v>
      </c>
      <c r="AX121" s="1">
        <f t="shared" ca="1" si="24"/>
        <v>108890</v>
      </c>
      <c r="AY121" s="1">
        <f t="shared" ca="1" si="24"/>
        <v>214970</v>
      </c>
      <c r="AZ121" s="1">
        <f t="shared" ca="1" si="24"/>
        <v>27750</v>
      </c>
      <c r="BA121" s="1">
        <f t="shared" ca="1" si="24"/>
        <v>112490</v>
      </c>
      <c r="BB121" s="1">
        <f t="shared" ca="1" si="24"/>
        <v>10990</v>
      </c>
      <c r="BC121" s="1">
        <f t="shared" ca="1" si="24"/>
        <v>1964380</v>
      </c>
      <c r="BD121" s="1">
        <f t="shared" ca="1" si="24"/>
        <v>130370</v>
      </c>
      <c r="BE121" s="1">
        <f t="shared" ca="1" si="24"/>
        <v>75420</v>
      </c>
      <c r="BF121" s="1">
        <f t="shared" ca="1" si="24"/>
        <v>406750</v>
      </c>
      <c r="BG121" s="1">
        <f t="shared" ca="1" si="24"/>
        <v>1285220</v>
      </c>
      <c r="BH121" s="1">
        <f t="shared" ca="1" si="24"/>
        <v>48670</v>
      </c>
      <c r="BI121" s="1">
        <f t="shared" ca="1" si="24"/>
        <v>163820</v>
      </c>
      <c r="BJ121" s="1">
        <f t="shared" ca="1" si="24"/>
        <v>5130</v>
      </c>
      <c r="BK121" s="1">
        <f t="shared" ca="1" si="24"/>
        <v>176220</v>
      </c>
      <c r="BL121" s="1">
        <f t="shared" ca="1" si="24"/>
        <v>912050</v>
      </c>
    </row>
    <row r="122" spans="1:64" x14ac:dyDescent="0.2">
      <c r="A122" s="1" t="s">
        <v>45</v>
      </c>
      <c r="B122" s="1">
        <f>MATCH(A122,tblIndicators!$B$2:$B$107,0)</f>
        <v>5</v>
      </c>
      <c r="C122" s="1">
        <f>INDEX(tblIndicators!G$2:G$109,$B122)</f>
        <v>1</v>
      </c>
      <c r="D122" s="1" t="str">
        <f>INDEX(tblIndicators!O$2:O$109,$B122)</f>
        <v>Gross Domestic Product (GDP)</v>
      </c>
      <c r="E122" s="1" t="str">
        <f>INDEX(tblIndicators!P$2:P$109,$B122)</f>
        <v>US$ (billions)</v>
      </c>
      <c r="F122" s="1" t="str">
        <f t="shared" si="25"/>
        <v>NAC_AR_1_GENERAL04</v>
      </c>
      <c r="G122" s="1">
        <f t="shared" si="17"/>
        <v>78</v>
      </c>
      <c r="H122" s="22">
        <f t="shared" ca="1" si="18"/>
        <v>474.81200000000001</v>
      </c>
      <c r="I122" s="1">
        <f t="shared" ca="1" si="19"/>
        <v>2012</v>
      </c>
      <c r="J122" s="22">
        <f t="shared" ca="1" si="26"/>
        <v>221.75136756899582</v>
      </c>
      <c r="K122" s="11" t="str">
        <f t="shared" ca="1" si="20"/>
        <v>International Monetary Fund data collection. Annual frequency.</v>
      </c>
      <c r="L122" s="1">
        <f t="shared" ca="1" si="21"/>
        <v>474.81200000000001</v>
      </c>
      <c r="M122" s="1">
        <f t="shared" ca="1" si="22"/>
        <v>8.1490039999999997</v>
      </c>
      <c r="N122" s="1">
        <f t="shared" ca="1" si="22"/>
        <v>4.5330000000000004</v>
      </c>
      <c r="O122" s="1">
        <f t="shared" ca="1" si="22"/>
        <v>1.554</v>
      </c>
      <c r="P122" s="1">
        <f t="shared" ca="1" si="22"/>
        <v>27.04</v>
      </c>
      <c r="Q122" s="1">
        <f t="shared" ca="1" si="22"/>
        <v>2395.9679999999998</v>
      </c>
      <c r="R122" s="1">
        <f t="shared" ca="1" si="22"/>
        <v>268.30249824834198</v>
      </c>
      <c r="S122" s="1">
        <f t="shared" ca="1" si="22"/>
        <v>366.02</v>
      </c>
      <c r="T122" s="1">
        <f t="shared" ca="1" si="22"/>
        <v>45.107420042450002</v>
      </c>
      <c r="U122" s="1">
        <f t="shared" ca="1" si="22"/>
        <v>86.166234503098195</v>
      </c>
      <c r="V122" s="1">
        <f t="shared" ca="1" si="22"/>
        <v>23.8644</v>
      </c>
      <c r="W122" s="1">
        <f t="shared" ca="1" si="22"/>
        <v>49.88</v>
      </c>
      <c r="X122" s="1">
        <f t="shared" ca="1" si="22"/>
        <v>2.7879999999999998</v>
      </c>
      <c r="Y122" s="1">
        <f t="shared" ca="1" si="22"/>
        <v>7.8949999999999996</v>
      </c>
      <c r="Z122" s="1">
        <f t="shared" ca="1" si="22"/>
        <v>18.388000000000002</v>
      </c>
      <c r="AA122" s="1">
        <f t="shared" ca="1" si="22"/>
        <v>15.262</v>
      </c>
      <c r="AB122" s="1">
        <f t="shared" ca="1" si="22"/>
        <v>1177.116</v>
      </c>
      <c r="AC122" s="1">
        <f t="shared" ca="1" si="22"/>
        <v>10.506</v>
      </c>
      <c r="AD122" s="1">
        <f t="shared" ca="1" si="22"/>
        <v>36.253</v>
      </c>
      <c r="AE122" s="1">
        <f t="shared" ca="1" si="22"/>
        <v>26.088999999999999</v>
      </c>
      <c r="AF122" s="1">
        <f t="shared" ca="1" si="22"/>
        <v>199.00299999999999</v>
      </c>
      <c r="AG122" s="1">
        <f t="shared" ca="1" si="22"/>
        <v>58.996000000000002</v>
      </c>
      <c r="AH122" s="1">
        <f t="shared" ca="1" si="22"/>
        <v>4.7380000000000004</v>
      </c>
      <c r="AI122" s="1">
        <f t="shared" ca="1" si="22"/>
        <v>25.277000000000001</v>
      </c>
      <c r="AJ122" s="1">
        <f t="shared" ca="1" si="22"/>
        <v>49.404000000000003</v>
      </c>
      <c r="AK122" s="1">
        <f t="shared" ca="1" si="22"/>
        <v>382.42399999999998</v>
      </c>
      <c r="AM122" s="1">
        <f t="shared" ca="1" si="23"/>
        <v>474.81200000000001</v>
      </c>
      <c r="AN122" s="1">
        <f t="shared" ca="1" si="24"/>
        <v>8.1490039999999997</v>
      </c>
      <c r="AO122" s="1">
        <f t="shared" ca="1" si="24"/>
        <v>4.5330000000000004</v>
      </c>
      <c r="AP122" s="1">
        <f t="shared" ca="1" si="24"/>
        <v>1.554</v>
      </c>
      <c r="AQ122" s="1">
        <f t="shared" ca="1" si="24"/>
        <v>27.04</v>
      </c>
      <c r="AR122" s="1">
        <f t="shared" ca="1" si="24"/>
        <v>2395.9679999999998</v>
      </c>
      <c r="AS122" s="1">
        <f t="shared" ca="1" si="24"/>
        <v>268.30249824834198</v>
      </c>
      <c r="AT122" s="1">
        <f t="shared" ca="1" si="24"/>
        <v>366.02</v>
      </c>
      <c r="AU122" s="1">
        <f t="shared" ca="1" si="24"/>
        <v>45.107420042450002</v>
      </c>
      <c r="AV122" s="1">
        <f t="shared" ca="1" si="24"/>
        <v>86.166234503098195</v>
      </c>
      <c r="AW122" s="1">
        <f t="shared" ca="1" si="24"/>
        <v>23.8644</v>
      </c>
      <c r="AX122" s="1">
        <f t="shared" ca="1" si="24"/>
        <v>49.88</v>
      </c>
      <c r="AY122" s="1">
        <f t="shared" ca="1" si="24"/>
        <v>2.7879999999999998</v>
      </c>
      <c r="AZ122" s="1">
        <f t="shared" ca="1" si="24"/>
        <v>7.8949999999999996</v>
      </c>
      <c r="BA122" s="1">
        <f t="shared" ca="1" si="24"/>
        <v>18.388000000000002</v>
      </c>
      <c r="BB122" s="1">
        <f t="shared" ca="1" si="24"/>
        <v>15.262</v>
      </c>
      <c r="BC122" s="1">
        <f t="shared" ca="1" si="24"/>
        <v>1177.116</v>
      </c>
      <c r="BD122" s="1">
        <f t="shared" ca="1" si="24"/>
        <v>10.506</v>
      </c>
      <c r="BE122" s="1">
        <f t="shared" ca="1" si="24"/>
        <v>36.253</v>
      </c>
      <c r="BF122" s="1">
        <f t="shared" ca="1" si="24"/>
        <v>26.088999999999999</v>
      </c>
      <c r="BG122" s="1">
        <f t="shared" ca="1" si="24"/>
        <v>199.00299999999999</v>
      </c>
      <c r="BH122" s="1">
        <f t="shared" ca="1" si="24"/>
        <v>58.996000000000002</v>
      </c>
      <c r="BI122" s="1">
        <f t="shared" ca="1" si="24"/>
        <v>4.7380000000000004</v>
      </c>
      <c r="BJ122" s="1">
        <f t="shared" ca="1" si="24"/>
        <v>25.277000000000001</v>
      </c>
      <c r="BK122" s="1">
        <f t="shared" ca="1" si="24"/>
        <v>49.404000000000003</v>
      </c>
      <c r="BL122" s="1">
        <f t="shared" ca="1" si="24"/>
        <v>382.42399999999998</v>
      </c>
    </row>
    <row r="123" spans="1:64" x14ac:dyDescent="0.2">
      <c r="A123" s="49" t="s">
        <v>284</v>
      </c>
      <c r="B123" s="1">
        <f>MATCH(A123,tblIndicators!$B$2:$B$107,0)</f>
        <v>96</v>
      </c>
      <c r="C123" s="1">
        <f>INDEX(tblIndicators!G$2:G$109,$B123)</f>
        <v>0</v>
      </c>
      <c r="D123" s="1" t="str">
        <f>INDEX(tblIndicators!O$2:O$109,$B123)</f>
        <v>GDP / capita</v>
      </c>
      <c r="E123" s="1" t="str">
        <f>INDEX(tblIndicators!P$2:P$109,$B123)</f>
        <v>US$/capita</v>
      </c>
      <c r="F123" s="1" t="str">
        <f t="shared" si="25"/>
        <v>NAC_AR_1_CALC01</v>
      </c>
      <c r="G123" s="1">
        <f t="shared" si="17"/>
        <v>1453</v>
      </c>
      <c r="H123" s="22">
        <f t="shared" ca="1" si="18"/>
        <v>11547.898269965235</v>
      </c>
      <c r="I123" s="1">
        <f t="shared" ca="1" si="19"/>
        <v>2012</v>
      </c>
      <c r="J123" s="22">
        <f t="shared" ca="1" si="26"/>
        <v>8532.9917157480086</v>
      </c>
      <c r="K123" s="11" t="str">
        <f t="shared" ca="1" si="20"/>
        <v>Calculation</v>
      </c>
      <c r="L123" s="1">
        <f t="shared" ca="1" si="21"/>
        <v>11547.898269965235</v>
      </c>
      <c r="M123" s="1">
        <f t="shared" ca="1" si="22"/>
        <v>23150.579545454548</v>
      </c>
      <c r="N123" s="1">
        <f t="shared" ca="1" si="22"/>
        <v>16512.518259209744</v>
      </c>
      <c r="O123" s="1">
        <f t="shared" ca="1" si="22"/>
        <v>4544.4458588799207</v>
      </c>
      <c r="P123" s="1">
        <f t="shared" ca="1" si="22"/>
        <v>2695.912263210369</v>
      </c>
      <c r="Q123" s="1">
        <f t="shared" ca="1" si="22"/>
        <v>12078.670216229939</v>
      </c>
      <c r="R123" s="1">
        <f t="shared" ca="1" si="22"/>
        <v>15417.025699496753</v>
      </c>
      <c r="S123" s="1">
        <f t="shared" ca="1" si="22"/>
        <v>7854.8435555174046</v>
      </c>
      <c r="T123" s="1">
        <f t="shared" ca="1" si="22"/>
        <v>9432.7519954935178</v>
      </c>
      <c r="U123" s="1">
        <f t="shared" ca="1" si="22"/>
        <v>5795.6604771010416</v>
      </c>
      <c r="V123" s="1">
        <f t="shared" ca="1" si="22"/>
        <v>3818.7549185807861</v>
      </c>
      <c r="W123" s="1">
        <f t="shared" ca="1" si="22"/>
        <v>3302.2178086726249</v>
      </c>
      <c r="X123" s="1">
        <f t="shared" ca="1" si="22"/>
        <v>3680.1053872360535</v>
      </c>
      <c r="Y123" s="1">
        <f t="shared" ca="1" si="22"/>
        <v>769.91888399892071</v>
      </c>
      <c r="Z123" s="1">
        <f t="shared" ca="1" si="22"/>
        <v>2242.1655895622484</v>
      </c>
      <c r="AA123" s="1">
        <f t="shared" ca="1" si="22"/>
        <v>5628.6686660696978</v>
      </c>
      <c r="AB123" s="1">
        <f t="shared" ca="1" si="22"/>
        <v>10247.196880005571</v>
      </c>
      <c r="AC123" s="1">
        <f t="shared" ca="1" si="22"/>
        <v>1756.5624477512122</v>
      </c>
      <c r="AD123" s="1">
        <f t="shared" ca="1" si="22"/>
        <v>9918.7414500684008</v>
      </c>
      <c r="AE123" s="1">
        <f t="shared" ca="1" si="22"/>
        <v>3904.3512512361508</v>
      </c>
      <c r="AF123" s="1">
        <f t="shared" ca="1" si="22"/>
        <v>6530.2552995996584</v>
      </c>
      <c r="AG123" s="1">
        <f t="shared" ca="1" si="22"/>
        <v>5763.0165087427958</v>
      </c>
      <c r="AH123" s="1">
        <f t="shared" ca="1" si="22"/>
        <v>8677.6556776556772</v>
      </c>
      <c r="AI123" s="1">
        <f t="shared" ca="1" si="22"/>
        <v>19019.56358164033</v>
      </c>
      <c r="AJ123" s="1">
        <f t="shared" ca="1" si="22"/>
        <v>14612.244897959185</v>
      </c>
      <c r="AK123" s="1">
        <f t="shared" ca="1" si="22"/>
        <v>12956.059220110445</v>
      </c>
      <c r="AM123" s="1">
        <f t="shared" ca="1" si="23"/>
        <v>11547.898269965235</v>
      </c>
      <c r="AN123" s="1">
        <f t="shared" ca="1" si="24"/>
        <v>23150.579545454548</v>
      </c>
      <c r="AO123" s="1">
        <f t="shared" ca="1" si="24"/>
        <v>16512.518259209744</v>
      </c>
      <c r="AP123" s="1">
        <f t="shared" ca="1" si="24"/>
        <v>4544.4458588799207</v>
      </c>
      <c r="AQ123" s="1">
        <f t="shared" ca="1" si="24"/>
        <v>2695.912263210369</v>
      </c>
      <c r="AR123" s="1">
        <f t="shared" ca="1" si="24"/>
        <v>12078.670216229939</v>
      </c>
      <c r="AS123" s="1">
        <f t="shared" ca="1" si="24"/>
        <v>15417.025699496753</v>
      </c>
      <c r="AT123" s="1">
        <f t="shared" ca="1" si="24"/>
        <v>7854.8435555174046</v>
      </c>
      <c r="AU123" s="1">
        <f t="shared" ca="1" si="24"/>
        <v>9432.7519954935178</v>
      </c>
      <c r="AV123" s="1">
        <f t="shared" ca="1" si="24"/>
        <v>5795.6604771010416</v>
      </c>
      <c r="AW123" s="1">
        <f t="shared" ca="1" si="24"/>
        <v>3818.7549185807861</v>
      </c>
      <c r="AX123" s="1">
        <f t="shared" ca="1" si="24"/>
        <v>3302.2178086726249</v>
      </c>
      <c r="AY123" s="1">
        <f t="shared" ca="1" si="24"/>
        <v>3680.1053872360535</v>
      </c>
      <c r="AZ123" s="1">
        <f t="shared" ca="1" si="24"/>
        <v>769.91888399892071</v>
      </c>
      <c r="BA123" s="1">
        <f t="shared" ca="1" si="24"/>
        <v>2242.1655895622484</v>
      </c>
      <c r="BB123" s="1">
        <f t="shared" ca="1" si="24"/>
        <v>5628.6686660696978</v>
      </c>
      <c r="BC123" s="1">
        <f t="shared" ca="1" si="24"/>
        <v>10247.196880005571</v>
      </c>
      <c r="BD123" s="1">
        <f t="shared" ca="1" si="24"/>
        <v>1756.5624477512122</v>
      </c>
      <c r="BE123" s="1">
        <f t="shared" ca="1" si="24"/>
        <v>9918.7414500684008</v>
      </c>
      <c r="BF123" s="1">
        <f t="shared" ca="1" si="24"/>
        <v>3904.3512512361508</v>
      </c>
      <c r="BG123" s="1">
        <f t="shared" ca="1" si="24"/>
        <v>6530.2552995996584</v>
      </c>
      <c r="BH123" s="1">
        <f t="shared" ca="1" si="24"/>
        <v>5763.0165087427958</v>
      </c>
      <c r="BI123" s="1">
        <f t="shared" ca="1" si="24"/>
        <v>8677.6556776556772</v>
      </c>
      <c r="BJ123" s="1">
        <f t="shared" ca="1" si="24"/>
        <v>19019.56358164033</v>
      </c>
      <c r="BK123" s="1">
        <f t="shared" ca="1" si="24"/>
        <v>14612.244897959185</v>
      </c>
      <c r="BL123" s="1">
        <f t="shared" ca="1" si="24"/>
        <v>12956.059220110445</v>
      </c>
    </row>
    <row r="124" spans="1:64" x14ac:dyDescent="0.2">
      <c r="A124" s="1" t="s">
        <v>328</v>
      </c>
      <c r="B124" s="1">
        <f>MATCH(A124,tblIndicators!$B$2:$B$107,0)</f>
        <v>32</v>
      </c>
      <c r="C124" s="1">
        <f>INDEX(tblIndicators!G$2:G$109,$B124)</f>
        <v>2</v>
      </c>
      <c r="D124" s="1" t="str">
        <f>INDEX(tblIndicators!O$2:O$109,$B124)</f>
        <v>Retail price diesel oil</v>
      </c>
      <c r="E124" s="1" t="str">
        <f>INDEX(tblIndicators!P$2:P$109,$B124)</f>
        <v>US$/liter</v>
      </c>
      <c r="F124" s="1" t="str">
        <f t="shared" si="25"/>
        <v>NAC_AR_1_ROAD21</v>
      </c>
      <c r="G124" s="1">
        <f t="shared" si="17"/>
        <v>613</v>
      </c>
      <c r="H124" s="22">
        <f t="shared" ca="1" si="18"/>
        <v>1.2584342111729701</v>
      </c>
      <c r="I124" s="1">
        <f t="shared" ca="1" si="19"/>
        <v>2012</v>
      </c>
      <c r="J124" s="22">
        <f t="shared" ca="1" si="26"/>
        <v>1.2906070307007755</v>
      </c>
      <c r="K124" s="11" t="str">
        <f t="shared" ca="1" si="20"/>
        <v>Based on data extrapolation from years 2008-2011. Annual frequency.</v>
      </c>
      <c r="L124" s="1">
        <f t="shared" ca="1" si="21"/>
        <v>1.2584342111729701</v>
      </c>
      <c r="M124" s="1">
        <f t="shared" ca="1" si="22"/>
        <v>5.2</v>
      </c>
      <c r="N124" s="1">
        <f t="shared" ca="1" si="22"/>
        <v>1.25</v>
      </c>
      <c r="O124" s="1">
        <f t="shared" ca="1" si="22"/>
        <v>1.585</v>
      </c>
      <c r="P124" s="1">
        <f t="shared" ca="1" si="22"/>
        <v>0.53</v>
      </c>
      <c r="Q124" s="1">
        <f t="shared" ca="1" si="22"/>
        <v>1.0715057682367799</v>
      </c>
      <c r="R124" s="1">
        <f t="shared" ca="1" si="22"/>
        <v>1.4747966997564499</v>
      </c>
      <c r="S124" s="1">
        <f t="shared" ca="1" si="22"/>
        <v>1.19</v>
      </c>
      <c r="T124" s="1">
        <f t="shared" ca="1" si="22"/>
        <v>1.36</v>
      </c>
      <c r="U124" s="1">
        <f t="shared" ca="1" si="22"/>
        <v>0.26937813705288699</v>
      </c>
      <c r="V124" s="1">
        <f t="shared" ca="1" si="22"/>
        <v>0.89</v>
      </c>
      <c r="W124" s="1">
        <f t="shared" ca="1" si="22"/>
        <v>1.04</v>
      </c>
      <c r="X124" s="1">
        <f t="shared" ca="1" si="22"/>
        <v>1.05</v>
      </c>
      <c r="Y124" s="1">
        <f t="shared" ca="1" si="22"/>
        <v>1.03</v>
      </c>
      <c r="Z124" s="1">
        <f t="shared" ca="1" si="22"/>
        <v>1.1499999999999999</v>
      </c>
      <c r="AA124" s="1">
        <f t="shared" ca="1" si="22"/>
        <v>1.19</v>
      </c>
      <c r="AB124" s="1">
        <f t="shared" ca="1" si="22"/>
        <v>0.85</v>
      </c>
      <c r="AC124" s="1">
        <f t="shared" ca="1" si="22"/>
        <v>1.19</v>
      </c>
      <c r="AD124" s="1">
        <f t="shared" ca="1" si="22"/>
        <v>1.02</v>
      </c>
      <c r="AE124" s="1">
        <f t="shared" ca="1" si="22"/>
        <v>1.49525102008005</v>
      </c>
      <c r="AF124" s="1">
        <f t="shared" ca="1" si="22"/>
        <v>1.3383999669489399</v>
      </c>
      <c r="AG124" s="1">
        <f t="shared" ca="1" si="22"/>
        <v>1.35</v>
      </c>
      <c r="AH124" s="1">
        <f t="shared" ca="1" si="22"/>
        <v>1.52</v>
      </c>
      <c r="AI124" s="1" t="e">
        <f t="shared" ca="1" si="22"/>
        <v>#N/A</v>
      </c>
      <c r="AJ124" s="1">
        <f t="shared" ca="1" si="22"/>
        <v>1.9512193271044</v>
      </c>
      <c r="AK124" s="1">
        <f t="shared" ca="1" si="22"/>
        <v>1.1190637166903701E-2</v>
      </c>
      <c r="AM124" s="1">
        <f t="shared" ca="1" si="23"/>
        <v>1.2584342111729701</v>
      </c>
      <c r="AN124" s="1">
        <f t="shared" ca="1" si="24"/>
        <v>5.2</v>
      </c>
      <c r="AO124" s="1">
        <f t="shared" ca="1" si="24"/>
        <v>1.25</v>
      </c>
      <c r="AP124" s="1">
        <f t="shared" ca="1" si="24"/>
        <v>1.585</v>
      </c>
      <c r="AQ124" s="1">
        <f t="shared" ca="1" si="24"/>
        <v>0.53</v>
      </c>
      <c r="AR124" s="1">
        <f t="shared" ca="1" si="24"/>
        <v>1.0715057682367799</v>
      </c>
      <c r="AS124" s="1">
        <f t="shared" ca="1" si="24"/>
        <v>1.4747966997564499</v>
      </c>
      <c r="AT124" s="1">
        <f t="shared" ca="1" si="24"/>
        <v>1.19</v>
      </c>
      <c r="AU124" s="1">
        <f t="shared" ca="1" si="24"/>
        <v>1.36</v>
      </c>
      <c r="AV124" s="1">
        <f t="shared" ca="1" si="24"/>
        <v>0.26937813705288699</v>
      </c>
      <c r="AW124" s="1">
        <f t="shared" ca="1" si="24"/>
        <v>0.89</v>
      </c>
      <c r="AX124" s="1">
        <f t="shared" ca="1" si="24"/>
        <v>1.04</v>
      </c>
      <c r="AY124" s="1">
        <f t="shared" ca="1" si="24"/>
        <v>1.05</v>
      </c>
      <c r="AZ124" s="1">
        <f t="shared" ca="1" si="24"/>
        <v>1.03</v>
      </c>
      <c r="BA124" s="1">
        <f t="shared" ca="1" si="24"/>
        <v>1.1499999999999999</v>
      </c>
      <c r="BB124" s="1">
        <f t="shared" ca="1" si="24"/>
        <v>1.19</v>
      </c>
      <c r="BC124" s="1">
        <f t="shared" ca="1" si="24"/>
        <v>0.85</v>
      </c>
      <c r="BD124" s="1">
        <f t="shared" ca="1" si="24"/>
        <v>1.19</v>
      </c>
      <c r="BE124" s="1">
        <f t="shared" ca="1" si="24"/>
        <v>1.02</v>
      </c>
      <c r="BF124" s="1">
        <f t="shared" ca="1" si="24"/>
        <v>1.49525102008005</v>
      </c>
      <c r="BG124" s="1">
        <f t="shared" ca="1" si="24"/>
        <v>1.3383999669489399</v>
      </c>
      <c r="BH124" s="1">
        <f t="shared" ca="1" si="24"/>
        <v>1.35</v>
      </c>
      <c r="BI124" s="1">
        <f t="shared" ca="1" si="24"/>
        <v>1.52</v>
      </c>
      <c r="BJ124" s="1" t="str">
        <f t="shared" ca="1" si="24"/>
        <v/>
      </c>
      <c r="BK124" s="1">
        <f t="shared" ca="1" si="24"/>
        <v>1.9512193271044</v>
      </c>
      <c r="BL124" s="1">
        <f t="shared" ca="1" si="24"/>
        <v>1.1190637166903701E-2</v>
      </c>
    </row>
    <row r="125" spans="1:64" x14ac:dyDescent="0.2">
      <c r="A125" s="1" t="s">
        <v>329</v>
      </c>
      <c r="B125" s="1">
        <f>MATCH(A125,tblIndicators!$B$2:$B$107,0)</f>
        <v>33</v>
      </c>
      <c r="C125" s="1">
        <f>INDEX(tblIndicators!G$2:G$109,$B125)</f>
        <v>2</v>
      </c>
      <c r="D125" s="1" t="str">
        <f>INDEX(tblIndicators!O$2:O$109,$B125)</f>
        <v>Retail price gasoline</v>
      </c>
      <c r="E125" s="1" t="str">
        <f>INDEX(tblIndicators!P$2:P$109,$B125)</f>
        <v>US$/liter</v>
      </c>
      <c r="F125" s="1" t="str">
        <f t="shared" si="25"/>
        <v>NAC_AR_1_ROAD22</v>
      </c>
      <c r="G125" s="1">
        <f>MATCH(F125,lu_DataCode,0)</f>
        <v>638</v>
      </c>
      <c r="H125" s="22">
        <f ca="1">IF(ISNUMBER(G125),INDEX(OFFSET(lu_DataCode,0,4),$G125),"-")</f>
        <v>1.4601380499469501</v>
      </c>
      <c r="I125" s="1">
        <f ca="1">IF(ISNUMBER(G125),INDEX(OFFSET(lu_DataCode,0,3),$G125),"")</f>
        <v>2012</v>
      </c>
      <c r="J125" s="22">
        <f t="shared" ca="1" si="26"/>
        <v>1.4124989549569273</v>
      </c>
      <c r="K125" s="11">
        <f t="shared" ca="1" si="20"/>
        <v>0</v>
      </c>
      <c r="L125" s="1">
        <f t="shared" ca="1" si="21"/>
        <v>1.4601380499469501</v>
      </c>
      <c r="M125" s="1">
        <f t="shared" ca="1" si="22"/>
        <v>5.46</v>
      </c>
      <c r="N125" s="1">
        <f t="shared" ca="1" si="22"/>
        <v>1.5</v>
      </c>
      <c r="O125" s="1">
        <f t="shared" ca="1" si="22"/>
        <v>1.7382529237255699</v>
      </c>
      <c r="P125" s="1">
        <f t="shared" ca="1" si="22"/>
        <v>0.54409095254778705</v>
      </c>
      <c r="Q125" s="1">
        <f t="shared" ca="1" si="22"/>
        <v>1.4256544696776501</v>
      </c>
      <c r="R125" s="1">
        <f t="shared" ca="1" si="22"/>
        <v>1.7733010343837201</v>
      </c>
      <c r="S125" s="1">
        <f t="shared" ca="1" si="22"/>
        <v>1.3097656528619099</v>
      </c>
      <c r="T125" s="1">
        <f t="shared" ca="1" si="22"/>
        <v>1.57</v>
      </c>
      <c r="U125" s="1">
        <f t="shared" ca="1" si="22"/>
        <v>0.383050668357373</v>
      </c>
      <c r="V125" s="1">
        <f t="shared" ca="1" si="22"/>
        <v>0.92</v>
      </c>
      <c r="W125" s="1">
        <f t="shared" ca="1" si="22"/>
        <v>1.1399999999999999</v>
      </c>
      <c r="X125" s="1">
        <f t="shared" ca="1" si="22"/>
        <v>1.08</v>
      </c>
      <c r="Y125" s="1">
        <f t="shared" ca="1" si="22"/>
        <v>1.25</v>
      </c>
      <c r="Z125" s="1">
        <f t="shared" ca="1" si="22"/>
        <v>1.25</v>
      </c>
      <c r="AA125" s="1">
        <f t="shared" ca="1" si="22"/>
        <v>1.2</v>
      </c>
      <c r="AB125" s="1">
        <f t="shared" ca="1" si="22"/>
        <v>0.86</v>
      </c>
      <c r="AC125" s="1">
        <f t="shared" ca="1" si="22"/>
        <v>1.23</v>
      </c>
      <c r="AD125" s="1">
        <f t="shared" ca="1" si="22"/>
        <v>1.05</v>
      </c>
      <c r="AE125" s="1">
        <f t="shared" ca="1" si="22"/>
        <v>1.5993633210365299</v>
      </c>
      <c r="AF125" s="1">
        <f t="shared" ca="1" si="22"/>
        <v>1.3922916644345</v>
      </c>
      <c r="AG125" s="1">
        <f t="shared" ca="1" si="22"/>
        <v>1.58</v>
      </c>
      <c r="AH125" s="1">
        <f t="shared" ca="1" si="22"/>
        <v>1.57</v>
      </c>
      <c r="AI125" s="1" t="e">
        <f t="shared" ca="1" si="22"/>
        <v>#N/A</v>
      </c>
      <c r="AJ125" s="1">
        <f t="shared" ca="1" si="22"/>
        <v>2.0102454577494502</v>
      </c>
      <c r="AK125" s="1">
        <f t="shared" ca="1" si="22"/>
        <v>1.6319679201734501E-2</v>
      </c>
      <c r="AM125" s="1">
        <f t="shared" ca="1" si="23"/>
        <v>1.4601380499469501</v>
      </c>
      <c r="AN125" s="1">
        <f t="shared" ca="1" si="24"/>
        <v>5.46</v>
      </c>
      <c r="AO125" s="1">
        <f t="shared" ca="1" si="24"/>
        <v>1.5</v>
      </c>
      <c r="AP125" s="1">
        <f t="shared" ca="1" si="24"/>
        <v>1.7382529237255699</v>
      </c>
      <c r="AQ125" s="1">
        <f t="shared" ca="1" si="24"/>
        <v>0.54409095254778705</v>
      </c>
      <c r="AR125" s="1">
        <f t="shared" ca="1" si="24"/>
        <v>1.4256544696776501</v>
      </c>
      <c r="AS125" s="1">
        <f t="shared" ca="1" si="24"/>
        <v>1.7733010343837201</v>
      </c>
      <c r="AT125" s="1">
        <f t="shared" ca="1" si="24"/>
        <v>1.3097656528619099</v>
      </c>
      <c r="AU125" s="1">
        <f t="shared" ca="1" si="24"/>
        <v>1.57</v>
      </c>
      <c r="AV125" s="1">
        <f t="shared" ca="1" si="24"/>
        <v>0.383050668357373</v>
      </c>
      <c r="AW125" s="1">
        <f t="shared" ca="1" si="24"/>
        <v>0.92</v>
      </c>
      <c r="AX125" s="1">
        <f t="shared" ca="1" si="24"/>
        <v>1.1399999999999999</v>
      </c>
      <c r="AY125" s="1">
        <f t="shared" ca="1" si="24"/>
        <v>1.08</v>
      </c>
      <c r="AZ125" s="1">
        <f t="shared" ca="1" si="24"/>
        <v>1.25</v>
      </c>
      <c r="BA125" s="1">
        <f t="shared" ca="1" si="24"/>
        <v>1.25</v>
      </c>
      <c r="BB125" s="1">
        <f t="shared" ca="1" si="24"/>
        <v>1.2</v>
      </c>
      <c r="BC125" s="1">
        <f t="shared" ca="1" si="24"/>
        <v>0.86</v>
      </c>
      <c r="BD125" s="1">
        <f t="shared" ca="1" si="24"/>
        <v>1.23</v>
      </c>
      <c r="BE125" s="1">
        <f t="shared" ca="1" si="24"/>
        <v>1.05</v>
      </c>
      <c r="BF125" s="1">
        <f t="shared" ca="1" si="24"/>
        <v>1.5993633210365299</v>
      </c>
      <c r="BG125" s="1">
        <f t="shared" ca="1" si="24"/>
        <v>1.3922916644345</v>
      </c>
      <c r="BH125" s="1">
        <f t="shared" ca="1" si="24"/>
        <v>1.58</v>
      </c>
      <c r="BI125" s="1">
        <f t="shared" ca="1" si="24"/>
        <v>1.57</v>
      </c>
      <c r="BJ125" s="1" t="str">
        <f t="shared" ca="1" si="24"/>
        <v/>
      </c>
      <c r="BK125" s="1">
        <f t="shared" ca="1" si="24"/>
        <v>2.0102454577494502</v>
      </c>
      <c r="BL125" s="1">
        <f t="shared" ca="1" si="24"/>
        <v>1.6319679201734501E-2</v>
      </c>
    </row>
    <row r="126" spans="1:64" x14ac:dyDescent="0.2">
      <c r="A126" s="49" t="s">
        <v>288</v>
      </c>
      <c r="B126" s="1">
        <f>MATCH(A126,tblIndicators!$B$2:$B$107,0)</f>
        <v>98</v>
      </c>
      <c r="C126" s="1">
        <f>INDEX(tblIndicators!G$2:G$109,$B126)</f>
        <v>1</v>
      </c>
      <c r="D126" s="1" t="str">
        <f>INDEX(tblIndicators!O$2:O$109,$B126)</f>
        <v>Total vehicles / 1000 inhabitants</v>
      </c>
      <c r="E126" s="1" t="str">
        <f>INDEX(tblIndicators!P$2:P$109,$B126)</f>
        <v>vehicles/1,000 inhabitants</v>
      </c>
      <c r="F126" s="1" t="str">
        <f t="shared" si="25"/>
        <v>NAC_AR_1_CALC03</v>
      </c>
      <c r="G126" s="1">
        <f t="shared" ref="G126:G131" si="27">MATCH(F126,lu_DataCode,0)</f>
        <v>1505</v>
      </c>
      <c r="H126" s="22">
        <f t="shared" ref="H126:H131" ca="1" si="28">IF(ISNUMBER(G126),INDEX(OFFSET(lu_DataCode,0,4),$G126),"-")</f>
        <v>279.12101799106381</v>
      </c>
      <c r="I126" s="1">
        <f t="shared" ref="I126:I131" ca="1" si="29">IF(ISNUMBER(G126),INDEX(OFFSET(lu_DataCode,0,3),$G126),"")</f>
        <v>2012</v>
      </c>
      <c r="J126" s="22">
        <f t="shared" ca="1" si="26"/>
        <v>222.31874076421022</v>
      </c>
      <c r="K126" s="11" t="str">
        <f t="shared" ca="1" si="20"/>
        <v>Calculation</v>
      </c>
      <c r="L126" s="1">
        <f t="shared" ca="1" si="21"/>
        <v>279.12101799106381</v>
      </c>
      <c r="M126" s="1">
        <f t="shared" ca="1" si="22"/>
        <v>397.72727272727275</v>
      </c>
      <c r="N126" s="1">
        <f t="shared" ca="1" si="22"/>
        <v>402.44937508879167</v>
      </c>
      <c r="O126" s="1">
        <f t="shared" ca="1" si="22"/>
        <v>146.21769172715318</v>
      </c>
      <c r="P126" s="1">
        <f t="shared" ca="1" si="22"/>
        <v>107.97417746759722</v>
      </c>
      <c r="Q126" s="1">
        <f t="shared" ca="1" si="22"/>
        <v>383.82650405978302</v>
      </c>
      <c r="R126" s="1">
        <f t="shared" ca="1" si="22"/>
        <v>226.04901453772339</v>
      </c>
      <c r="S126" s="1">
        <f t="shared" ca="1" si="22"/>
        <v>196.50839091806517</v>
      </c>
      <c r="T126" s="1">
        <f t="shared" ca="1" si="22"/>
        <v>237.21727310748642</v>
      </c>
      <c r="U126" s="1">
        <f t="shared" ca="1" si="22"/>
        <v>111.97366366925263</v>
      </c>
      <c r="V126" s="1">
        <f t="shared" ca="1" si="22"/>
        <v>94.023422285703504</v>
      </c>
      <c r="W126" s="1">
        <f t="shared" ca="1" si="22"/>
        <v>135.84541542535584</v>
      </c>
      <c r="X126" s="1">
        <f t="shared" ca="1" si="22"/>
        <v>116.15827621118102</v>
      </c>
      <c r="Y126" s="1" t="e">
        <f t="shared" ca="1" si="22"/>
        <v>#N/A</v>
      </c>
      <c r="Z126" s="1">
        <f t="shared" ca="1" si="22"/>
        <v>134.15546884526276</v>
      </c>
      <c r="AA126" s="1">
        <f t="shared" ca="1" si="22"/>
        <v>185.74274675490395</v>
      </c>
      <c r="AB126" s="1">
        <f t="shared" ca="1" si="22"/>
        <v>281.52047496343755</v>
      </c>
      <c r="AC126" s="1">
        <f t="shared" ca="1" si="22"/>
        <v>85.542718608928283</v>
      </c>
      <c r="AD126" s="1">
        <f t="shared" ca="1" si="22"/>
        <v>126.96032831737347</v>
      </c>
      <c r="AE126" s="1">
        <f t="shared" ca="1" si="22"/>
        <v>166.12805805180221</v>
      </c>
      <c r="AF126" s="1">
        <f t="shared" ca="1" si="22"/>
        <v>70.152818796350985</v>
      </c>
      <c r="AG126" s="1">
        <f t="shared" ca="1" si="22"/>
        <v>285.00273517632115</v>
      </c>
      <c r="AH126" s="1">
        <f t="shared" ca="1" si="22"/>
        <v>303.29487179487177</v>
      </c>
      <c r="AI126" s="1">
        <f t="shared" ca="1" si="22"/>
        <v>359.12490594431904</v>
      </c>
      <c r="AJ126" s="1">
        <f t="shared" ca="1" si="22"/>
        <v>502.93315587104416</v>
      </c>
      <c r="AK126" s="1" t="e">
        <f t="shared" ca="1" si="22"/>
        <v>#N/A</v>
      </c>
      <c r="AM126" s="1">
        <f t="shared" ca="1" si="23"/>
        <v>279.12101799106381</v>
      </c>
      <c r="AN126" s="1">
        <f t="shared" ca="1" si="24"/>
        <v>397.72727272727275</v>
      </c>
      <c r="AO126" s="1">
        <f t="shared" ca="1" si="24"/>
        <v>402.44937508879167</v>
      </c>
      <c r="AP126" s="1">
        <f t="shared" ca="1" si="24"/>
        <v>146.21769172715318</v>
      </c>
      <c r="AQ126" s="1">
        <f t="shared" ca="1" si="24"/>
        <v>107.97417746759722</v>
      </c>
      <c r="AR126" s="1">
        <f t="shared" ca="1" si="24"/>
        <v>383.82650405978302</v>
      </c>
      <c r="AS126" s="1">
        <f t="shared" ca="1" si="24"/>
        <v>226.04901453772339</v>
      </c>
      <c r="AT126" s="1">
        <f t="shared" ca="1" si="24"/>
        <v>196.50839091806517</v>
      </c>
      <c r="AU126" s="1">
        <f t="shared" ca="1" si="24"/>
        <v>237.21727310748642</v>
      </c>
      <c r="AV126" s="1">
        <f t="shared" ca="1" si="24"/>
        <v>111.97366366925263</v>
      </c>
      <c r="AW126" s="1">
        <f t="shared" ca="1" si="24"/>
        <v>94.023422285703504</v>
      </c>
      <c r="AX126" s="1">
        <f t="shared" ca="1" si="24"/>
        <v>135.84541542535584</v>
      </c>
      <c r="AY126" s="1">
        <f t="shared" ca="1" si="24"/>
        <v>116.15827621118102</v>
      </c>
      <c r="AZ126" s="1" t="str">
        <f t="shared" ca="1" si="24"/>
        <v/>
      </c>
      <c r="BA126" s="1">
        <f t="shared" ca="1" si="24"/>
        <v>134.15546884526276</v>
      </c>
      <c r="BB126" s="1">
        <f t="shared" ca="1" si="24"/>
        <v>185.74274675490395</v>
      </c>
      <c r="BC126" s="1">
        <f t="shared" ca="1" si="24"/>
        <v>281.52047496343755</v>
      </c>
      <c r="BD126" s="1">
        <f t="shared" ca="1" si="24"/>
        <v>85.542718608928283</v>
      </c>
      <c r="BE126" s="1">
        <f t="shared" ca="1" si="24"/>
        <v>126.96032831737347</v>
      </c>
      <c r="BF126" s="1">
        <f t="shared" ca="1" si="24"/>
        <v>166.12805805180221</v>
      </c>
      <c r="BG126" s="1">
        <f t="shared" ca="1" si="24"/>
        <v>70.152818796350985</v>
      </c>
      <c r="BH126" s="1">
        <f t="shared" ca="1" si="24"/>
        <v>285.00273517632115</v>
      </c>
      <c r="BI126" s="1">
        <f t="shared" ca="1" si="24"/>
        <v>303.29487179487177</v>
      </c>
      <c r="BJ126" s="1">
        <f t="shared" ca="1" si="24"/>
        <v>359.12490594431904</v>
      </c>
      <c r="BK126" s="1">
        <f t="shared" ca="1" si="24"/>
        <v>502.93315587104416</v>
      </c>
      <c r="BL126" s="1" t="str">
        <f t="shared" ca="1" si="24"/>
        <v/>
      </c>
    </row>
    <row r="127" spans="1:64" x14ac:dyDescent="0.2">
      <c r="A127" s="49" t="s">
        <v>289</v>
      </c>
      <c r="B127" s="1">
        <f>MATCH(A127,tblIndicators!$B$2:$B$107,0)</f>
        <v>99</v>
      </c>
      <c r="C127" s="1">
        <f>INDEX(tblIndicators!G$2:G$109,$B127)</f>
        <v>1</v>
      </c>
      <c r="D127" s="1" t="str">
        <f>INDEX(tblIndicators!O$2:O$109,$B127)</f>
        <v>Heavy vehicles / 1000 inhabitants</v>
      </c>
      <c r="E127" s="1" t="str">
        <f>INDEX(tblIndicators!P$2:P$109,$B127)</f>
        <v>vehicles/1,000 inhabitants</v>
      </c>
      <c r="F127" s="1" t="str">
        <f t="shared" si="25"/>
        <v>NAC_AR_1_CALC04</v>
      </c>
      <c r="G127" s="1">
        <f t="shared" si="27"/>
        <v>1529</v>
      </c>
      <c r="H127" s="22">
        <f t="shared" ca="1" si="28"/>
        <v>14.433924318816475</v>
      </c>
      <c r="I127" s="1">
        <f t="shared" ca="1" si="29"/>
        <v>2012</v>
      </c>
      <c r="J127" s="22">
        <f t="shared" ca="1" si="26"/>
        <v>18.034190187020382</v>
      </c>
      <c r="K127" s="11" t="str">
        <f t="shared" ca="1" si="20"/>
        <v>Calculation</v>
      </c>
      <c r="L127" s="1">
        <f t="shared" ca="1" si="21"/>
        <v>14.433924318816475</v>
      </c>
      <c r="M127" s="1">
        <f t="shared" ca="1" si="22"/>
        <v>16.7564782414277</v>
      </c>
      <c r="N127" s="1">
        <f t="shared" ca="1" si="22"/>
        <v>18.406740517049819</v>
      </c>
      <c r="O127" s="1" t="e">
        <f t="shared" ca="1" si="22"/>
        <v>#N/A</v>
      </c>
      <c r="P127" s="1">
        <f t="shared" ca="1" si="22"/>
        <v>9.8392821535393828</v>
      </c>
      <c r="Q127" s="1">
        <f t="shared" ca="1" si="22"/>
        <v>38.411470719838569</v>
      </c>
      <c r="R127" s="1">
        <f t="shared" ca="1" si="22"/>
        <v>11.580244785381831</v>
      </c>
      <c r="S127" s="1">
        <f t="shared" ca="1" si="22"/>
        <v>6.5670629640757117</v>
      </c>
      <c r="T127" s="1">
        <f t="shared" ca="1" si="22"/>
        <v>40.941865328314513</v>
      </c>
      <c r="U127" s="1">
        <f t="shared" ca="1" si="22"/>
        <v>8.6682440358823349</v>
      </c>
      <c r="V127" s="1">
        <f t="shared" ca="1" si="22"/>
        <v>9.7685134660700736</v>
      </c>
      <c r="W127" s="1">
        <f t="shared" ca="1" si="22"/>
        <v>8.0604435617345249</v>
      </c>
      <c r="X127" s="1">
        <f t="shared" ca="1" si="22"/>
        <v>15.837378206651117</v>
      </c>
      <c r="Y127" s="1" t="e">
        <f t="shared" ca="1" si="22"/>
        <v>#N/A</v>
      </c>
      <c r="Z127" s="1">
        <f t="shared" ca="1" si="22"/>
        <v>7.2126569930496283</v>
      </c>
      <c r="AA127" s="1">
        <f t="shared" ca="1" si="22"/>
        <v>7.3115159418707734</v>
      </c>
      <c r="AB127" s="1">
        <f t="shared" ca="1" si="22"/>
        <v>3.3110070339160109</v>
      </c>
      <c r="AC127" s="1">
        <f t="shared" ca="1" si="22"/>
        <v>7.1427854873766936</v>
      </c>
      <c r="AD127" s="1">
        <f t="shared" ca="1" si="22"/>
        <v>5.9950752393980853</v>
      </c>
      <c r="AE127" s="1">
        <f t="shared" ca="1" si="22"/>
        <v>36.25498950019994</v>
      </c>
      <c r="AF127" s="1">
        <f t="shared" ca="1" si="22"/>
        <v>3.4833300518474766</v>
      </c>
      <c r="AG127" s="1">
        <f t="shared" ca="1" si="22"/>
        <v>35.502490964149658</v>
      </c>
      <c r="AH127" s="1">
        <f t="shared" ca="1" si="22"/>
        <v>62.401098901098891</v>
      </c>
      <c r="AI127" s="1" t="e">
        <f t="shared" ca="1" si="22"/>
        <v>#N/A</v>
      </c>
      <c r="AJ127" s="1">
        <f t="shared" ca="1" si="22"/>
        <v>15.901212658976636</v>
      </c>
      <c r="AK127" s="1">
        <f t="shared" ca="1" si="22"/>
        <v>30.99856323080283</v>
      </c>
      <c r="AM127" s="1">
        <f t="shared" ca="1" si="23"/>
        <v>14.433924318816475</v>
      </c>
      <c r="AN127" s="1">
        <f t="shared" ca="1" si="24"/>
        <v>16.7564782414277</v>
      </c>
      <c r="AO127" s="1">
        <f t="shared" ca="1" si="24"/>
        <v>18.406740517049819</v>
      </c>
      <c r="AP127" s="1" t="str">
        <f t="shared" ca="1" si="24"/>
        <v/>
      </c>
      <c r="AQ127" s="1">
        <f t="shared" ca="1" si="24"/>
        <v>9.8392821535393828</v>
      </c>
      <c r="AR127" s="1">
        <f t="shared" ca="1" si="24"/>
        <v>38.411470719838569</v>
      </c>
      <c r="AS127" s="1">
        <f t="shared" ca="1" si="24"/>
        <v>11.580244785381831</v>
      </c>
      <c r="AT127" s="1">
        <f t="shared" ca="1" si="24"/>
        <v>6.5670629640757117</v>
      </c>
      <c r="AU127" s="1">
        <f t="shared" ca="1" si="24"/>
        <v>40.941865328314513</v>
      </c>
      <c r="AV127" s="1">
        <f t="shared" ca="1" si="24"/>
        <v>8.6682440358823349</v>
      </c>
      <c r="AW127" s="1">
        <f t="shared" ca="1" si="24"/>
        <v>9.7685134660700736</v>
      </c>
      <c r="AX127" s="1">
        <f t="shared" ca="1" si="24"/>
        <v>8.0604435617345249</v>
      </c>
      <c r="AY127" s="1">
        <f t="shared" ca="1" si="24"/>
        <v>15.837378206651117</v>
      </c>
      <c r="AZ127" s="1" t="str">
        <f t="shared" ca="1" si="24"/>
        <v/>
      </c>
      <c r="BA127" s="1">
        <f t="shared" ca="1" si="24"/>
        <v>7.2126569930496283</v>
      </c>
      <c r="BB127" s="1">
        <f t="shared" ca="1" si="24"/>
        <v>7.3115159418707734</v>
      </c>
      <c r="BC127" s="1">
        <f t="shared" ca="1" si="24"/>
        <v>3.3110070339160109</v>
      </c>
      <c r="BD127" s="1">
        <f t="shared" ca="1" si="24"/>
        <v>7.1427854873766936</v>
      </c>
      <c r="BE127" s="1">
        <f t="shared" ca="1" si="24"/>
        <v>5.9950752393980853</v>
      </c>
      <c r="BF127" s="1">
        <f t="shared" ca="1" si="24"/>
        <v>36.25498950019994</v>
      </c>
      <c r="BG127" s="1">
        <f t="shared" ca="1" si="24"/>
        <v>3.4833300518474766</v>
      </c>
      <c r="BH127" s="1">
        <f t="shared" ca="1" si="24"/>
        <v>35.502490964149658</v>
      </c>
      <c r="BI127" s="1">
        <f t="shared" ca="1" si="24"/>
        <v>62.401098901098891</v>
      </c>
      <c r="BJ127" s="1" t="str">
        <f t="shared" ca="1" si="24"/>
        <v/>
      </c>
      <c r="BK127" s="1">
        <f t="shared" ca="1" si="24"/>
        <v>15.901212658976636</v>
      </c>
      <c r="BL127" s="1">
        <f t="shared" ca="1" si="24"/>
        <v>30.99856323080283</v>
      </c>
    </row>
    <row r="128" spans="1:64" x14ac:dyDescent="0.2">
      <c r="A128" s="49" t="s">
        <v>290</v>
      </c>
      <c r="B128" s="1">
        <f>MATCH(A128,tblIndicators!$B$2:$B$107,0)</f>
        <v>100</v>
      </c>
      <c r="C128" s="1">
        <f>INDEX(tblIndicators!G$2:G$109,$B128)</f>
        <v>2</v>
      </c>
      <c r="D128" s="1" t="str">
        <f>INDEX(tblIndicators!O$2:O$109,$B128)</f>
        <v>Diesel oil consumption / capita</v>
      </c>
      <c r="E128" s="1" t="str">
        <f>INDEX(tblIndicators!P$2:P$109,$B128)</f>
        <v>barrels/capita/year</v>
      </c>
      <c r="F128" s="1" t="str">
        <f t="shared" si="25"/>
        <v>NAC_AR_1_CALC05</v>
      </c>
      <c r="G128" s="1">
        <f t="shared" si="27"/>
        <v>1552</v>
      </c>
      <c r="H128" s="22">
        <f t="shared" ca="1" si="28"/>
        <v>1.7262951693696773</v>
      </c>
      <c r="I128" s="1">
        <f t="shared" ca="1" si="29"/>
        <v>2012</v>
      </c>
      <c r="J128" s="22">
        <f t="shared" ca="1" si="26"/>
        <v>1.279786325415474</v>
      </c>
      <c r="K128" s="11" t="str">
        <f t="shared" ca="1" si="20"/>
        <v>Calculation</v>
      </c>
      <c r="L128" s="1">
        <f t="shared" ca="1" si="21"/>
        <v>1.7262951693696773</v>
      </c>
      <c r="M128" s="1">
        <f t="shared" ca="1" si="22"/>
        <v>8.860928977272728</v>
      </c>
      <c r="N128" s="1">
        <f t="shared" ca="1" si="22"/>
        <v>1.139957525708603</v>
      </c>
      <c r="O128" s="1">
        <f t="shared" ca="1" si="22"/>
        <v>0.58779512074315576</v>
      </c>
      <c r="P128" s="1">
        <f t="shared" ca="1" si="22"/>
        <v>0.63404885343968098</v>
      </c>
      <c r="Q128" s="1">
        <f t="shared" ca="1" si="22"/>
        <v>1.4189088098530676</v>
      </c>
      <c r="R128" s="1">
        <f t="shared" ca="1" si="22"/>
        <v>2.0627426305809347</v>
      </c>
      <c r="S128" s="1">
        <f t="shared" ca="1" si="22"/>
        <v>0.95327589166917037</v>
      </c>
      <c r="T128" s="1">
        <f t="shared" ca="1" si="22"/>
        <v>1.1820953575909661</v>
      </c>
      <c r="U128" s="1">
        <f t="shared" ca="1" si="22"/>
        <v>1.2008915362373078</v>
      </c>
      <c r="V128" s="1">
        <f t="shared" ca="1" si="22"/>
        <v>0.61869225518149185</v>
      </c>
      <c r="W128" s="1">
        <f t="shared" ca="1" si="22"/>
        <v>0.56061105594174121</v>
      </c>
      <c r="X128" s="1">
        <f t="shared" ca="1" si="22"/>
        <v>0.7198513174064497</v>
      </c>
      <c r="Y128" s="1">
        <f t="shared" ca="1" si="22"/>
        <v>0.15787286674201048</v>
      </c>
      <c r="Z128" s="1">
        <f t="shared" ca="1" si="22"/>
        <v>0.44493598341665647</v>
      </c>
      <c r="AA128" s="1">
        <f t="shared" ca="1" si="22"/>
        <v>0.66371599822384564</v>
      </c>
      <c r="AB128" s="1">
        <f t="shared" ca="1" si="22"/>
        <v>0.92564149662232742</v>
      </c>
      <c r="AC128" s="1">
        <f t="shared" ca="1" si="22"/>
        <v>0.461039959872931</v>
      </c>
      <c r="AD128" s="1">
        <f t="shared" ca="1" si="22"/>
        <v>1.2139124487004107</v>
      </c>
      <c r="AE128" s="1">
        <f t="shared" ca="1" si="22"/>
        <v>1.2079229791177293</v>
      </c>
      <c r="AF128" s="1">
        <f t="shared" ca="1" si="22"/>
        <v>0.84863194854630175</v>
      </c>
      <c r="AG128" s="1">
        <f t="shared" ca="1" si="22"/>
        <v>0.35014750415160689</v>
      </c>
      <c r="AH128" s="1">
        <f t="shared" ca="1" si="22"/>
        <v>1.5049267399267399</v>
      </c>
      <c r="AI128" s="1">
        <f t="shared" ca="1" si="22"/>
        <v>2.1972686230248311</v>
      </c>
      <c r="AJ128" s="1">
        <f t="shared" ca="1" si="22"/>
        <v>1.3311564625850343</v>
      </c>
      <c r="AK128" s="1">
        <f t="shared" ca="1" si="22"/>
        <v>0.30117694887691837</v>
      </c>
      <c r="AM128" s="1">
        <f t="shared" ca="1" si="23"/>
        <v>1.7262951693696773</v>
      </c>
      <c r="AN128" s="1">
        <f t="shared" ca="1" si="24"/>
        <v>8.860928977272728</v>
      </c>
      <c r="AO128" s="1">
        <f t="shared" ca="1" si="24"/>
        <v>1.139957525708603</v>
      </c>
      <c r="AP128" s="1">
        <f t="shared" ca="1" si="24"/>
        <v>0.58779512074315576</v>
      </c>
      <c r="AQ128" s="1">
        <f t="shared" ca="1" si="24"/>
        <v>0.63404885343968098</v>
      </c>
      <c r="AR128" s="1">
        <f t="shared" ca="1" si="24"/>
        <v>1.4189088098530676</v>
      </c>
      <c r="AS128" s="1">
        <f t="shared" ca="1" si="24"/>
        <v>2.0627426305809347</v>
      </c>
      <c r="AT128" s="1">
        <f t="shared" ca="1" si="24"/>
        <v>0.95327589166917037</v>
      </c>
      <c r="AU128" s="1">
        <f t="shared" ca="1" si="24"/>
        <v>1.1820953575909661</v>
      </c>
      <c r="AV128" s="1">
        <f t="shared" ca="1" si="24"/>
        <v>1.2008915362373078</v>
      </c>
      <c r="AW128" s="1">
        <f t="shared" ca="1" si="24"/>
        <v>0.61869225518149185</v>
      </c>
      <c r="AX128" s="1">
        <f t="shared" ca="1" si="24"/>
        <v>0.56061105594174121</v>
      </c>
      <c r="AY128" s="1">
        <f t="shared" ca="1" si="24"/>
        <v>0.7198513174064497</v>
      </c>
      <c r="AZ128" s="1">
        <f t="shared" ca="1" si="24"/>
        <v>0.15787286674201048</v>
      </c>
      <c r="BA128" s="1">
        <f t="shared" ca="1" si="24"/>
        <v>0.44493598341665647</v>
      </c>
      <c r="BB128" s="1">
        <f t="shared" ca="1" si="24"/>
        <v>0.66371599822384564</v>
      </c>
      <c r="BC128" s="1">
        <f t="shared" ca="1" si="24"/>
        <v>0.92564149662232742</v>
      </c>
      <c r="BD128" s="1">
        <f t="shared" ca="1" si="24"/>
        <v>0.461039959872931</v>
      </c>
      <c r="BE128" s="1">
        <f t="shared" ca="1" si="24"/>
        <v>1.2139124487004107</v>
      </c>
      <c r="BF128" s="1">
        <f t="shared" ca="1" si="24"/>
        <v>1.2079229791177293</v>
      </c>
      <c r="BG128" s="1">
        <f t="shared" ca="1" si="24"/>
        <v>0.84863194854630175</v>
      </c>
      <c r="BH128" s="1">
        <f t="shared" ca="1" si="24"/>
        <v>0.35014750415160689</v>
      </c>
      <c r="BI128" s="1">
        <f t="shared" ca="1" si="24"/>
        <v>1.5049267399267399</v>
      </c>
      <c r="BJ128" s="1">
        <f t="shared" ca="1" si="24"/>
        <v>2.1972686230248311</v>
      </c>
      <c r="BK128" s="1">
        <f t="shared" ca="1" si="24"/>
        <v>1.3311564625850343</v>
      </c>
      <c r="BL128" s="1">
        <f t="shared" ca="1" si="24"/>
        <v>0.30117694887691837</v>
      </c>
    </row>
    <row r="129" spans="1:64" x14ac:dyDescent="0.2">
      <c r="A129" s="49" t="s">
        <v>291</v>
      </c>
      <c r="B129" s="1">
        <f>MATCH(A129,tblIndicators!$B$2:$B$107,0)</f>
        <v>101</v>
      </c>
      <c r="C129" s="1">
        <f>INDEX(tblIndicators!G$2:G$109,$B129)</f>
        <v>2</v>
      </c>
      <c r="D129" s="1" t="str">
        <f>INDEX(tblIndicators!O$2:O$109,$B129)</f>
        <v>Gasoline consumption / capita</v>
      </c>
      <c r="E129" s="1" t="str">
        <f>INDEX(tblIndicators!P$2:P$109,$B129)</f>
        <v>barrels/capita/year</v>
      </c>
      <c r="F129" s="1" t="str">
        <f t="shared" si="25"/>
        <v>NAC_AR_1_CALC06</v>
      </c>
      <c r="G129" s="1">
        <f t="shared" si="27"/>
        <v>1578</v>
      </c>
      <c r="H129" s="22">
        <f t="shared" ca="1" si="28"/>
        <v>0.93716973614594901</v>
      </c>
      <c r="I129" s="1">
        <f t="shared" ca="1" si="29"/>
        <v>2012</v>
      </c>
      <c r="J129" s="22">
        <f t="shared" ca="1" si="26"/>
        <v>1.3243197832489668</v>
      </c>
      <c r="K129" s="11" t="str">
        <f t="shared" ca="1" si="20"/>
        <v>Calculation</v>
      </c>
      <c r="L129" s="1">
        <f t="shared" ca="1" si="21"/>
        <v>0.93716973614594901</v>
      </c>
      <c r="M129" s="1">
        <f t="shared" ca="1" si="22"/>
        <v>4.723005681818182</v>
      </c>
      <c r="N129" s="1">
        <f t="shared" ca="1" si="22"/>
        <v>2.3365231550457346</v>
      </c>
      <c r="O129" s="1">
        <f t="shared" ca="1" si="22"/>
        <v>2.8161234991266246</v>
      </c>
      <c r="P129" s="1">
        <f t="shared" ca="1" si="22"/>
        <v>0.67551645064805588</v>
      </c>
      <c r="Q129" s="1">
        <f t="shared" ca="1" si="22"/>
        <v>1.2173301509342758</v>
      </c>
      <c r="R129" s="1">
        <f t="shared" ca="1" si="22"/>
        <v>1.3647060851577315</v>
      </c>
      <c r="S129" s="1">
        <f t="shared" ca="1" si="22"/>
        <v>0.57052470063092842</v>
      </c>
      <c r="T129" s="1">
        <f t="shared" ca="1" si="22"/>
        <v>1.1676787954830616</v>
      </c>
      <c r="U129" s="1">
        <f t="shared" ca="1" si="22"/>
        <v>1.3585367581127825</v>
      </c>
      <c r="V129" s="1">
        <f t="shared" ca="1" si="22"/>
        <v>0.54990493277446206</v>
      </c>
      <c r="W129" s="1">
        <f t="shared" ca="1" si="22"/>
        <v>0.44566170142336975</v>
      </c>
      <c r="X129" s="1">
        <f t="shared" ca="1" si="22"/>
        <v>1.012411775809247</v>
      </c>
      <c r="Y129" s="1">
        <f t="shared" ca="1" si="22"/>
        <v>0.1024806406115194</v>
      </c>
      <c r="Z129" s="1">
        <f t="shared" ca="1" si="22"/>
        <v>0.43892939885379828</v>
      </c>
      <c r="AA129" s="1">
        <f t="shared" ca="1" si="22"/>
        <v>1.3398790916829062</v>
      </c>
      <c r="AB129" s="1">
        <f t="shared" ca="1" si="22"/>
        <v>2.2672664356849364</v>
      </c>
      <c r="AC129" s="1">
        <f t="shared" ca="1" si="22"/>
        <v>0.27001003176726301</v>
      </c>
      <c r="AD129" s="1">
        <f t="shared" ca="1" si="22"/>
        <v>1.247658002735978</v>
      </c>
      <c r="AE129" s="1">
        <f t="shared" ca="1" si="22"/>
        <v>0.52536563727919894</v>
      </c>
      <c r="AF129" s="1">
        <f t="shared" ca="1" si="22"/>
        <v>0.2552956618756973</v>
      </c>
      <c r="AG129" s="1">
        <f t="shared" ref="M129:AK131" ca="1" si="30">INDEX(OFFSET(lu_DataCode,0,4),MATCH(CONCATENATE(AG$118,"_",$A129),lu_DataCode,0))</f>
        <v>0.5087506105304288</v>
      </c>
      <c r="AH129" s="1">
        <f t="shared" ca="1" si="30"/>
        <v>1.8691391941391942</v>
      </c>
      <c r="AI129" s="1">
        <f t="shared" ca="1" si="30"/>
        <v>2.9272234762979688</v>
      </c>
      <c r="AJ129" s="1">
        <f t="shared" ca="1" si="30"/>
        <v>1.0496598639455783</v>
      </c>
      <c r="AK129" s="1">
        <f t="shared" ca="1" si="30"/>
        <v>2.4555628959582614</v>
      </c>
      <c r="AM129" s="1">
        <f t="shared" ca="1" si="23"/>
        <v>0.93716973614594901</v>
      </c>
      <c r="AN129" s="1">
        <f t="shared" ca="1" si="24"/>
        <v>4.723005681818182</v>
      </c>
      <c r="AO129" s="1">
        <f t="shared" ca="1" si="24"/>
        <v>2.3365231550457346</v>
      </c>
      <c r="AP129" s="1">
        <f t="shared" ca="1" si="24"/>
        <v>2.8161234991266246</v>
      </c>
      <c r="AQ129" s="1">
        <f t="shared" ca="1" si="24"/>
        <v>0.67551645064805588</v>
      </c>
      <c r="AR129" s="1">
        <f t="shared" ca="1" si="24"/>
        <v>1.2173301509342758</v>
      </c>
      <c r="AS129" s="1">
        <f t="shared" ref="AS129:BL131" ca="1" si="31">IF(ISNUMBER(R129),R129,"")</f>
        <v>1.3647060851577315</v>
      </c>
      <c r="AT129" s="1">
        <f t="shared" ca="1" si="31"/>
        <v>0.57052470063092842</v>
      </c>
      <c r="AU129" s="1">
        <f t="shared" ca="1" si="31"/>
        <v>1.1676787954830616</v>
      </c>
      <c r="AV129" s="1">
        <f t="shared" ca="1" si="31"/>
        <v>1.3585367581127825</v>
      </c>
      <c r="AW129" s="1">
        <f t="shared" ca="1" si="31"/>
        <v>0.54990493277446206</v>
      </c>
      <c r="AX129" s="1">
        <f t="shared" ca="1" si="31"/>
        <v>0.44566170142336975</v>
      </c>
      <c r="AY129" s="1">
        <f t="shared" ca="1" si="31"/>
        <v>1.012411775809247</v>
      </c>
      <c r="AZ129" s="1">
        <f t="shared" ca="1" si="31"/>
        <v>0.1024806406115194</v>
      </c>
      <c r="BA129" s="1">
        <f t="shared" ca="1" si="31"/>
        <v>0.43892939885379828</v>
      </c>
      <c r="BB129" s="1">
        <f t="shared" ca="1" si="31"/>
        <v>1.3398790916829062</v>
      </c>
      <c r="BC129" s="1">
        <f t="shared" ca="1" si="31"/>
        <v>2.2672664356849364</v>
      </c>
      <c r="BD129" s="1">
        <f t="shared" ca="1" si="31"/>
        <v>0.27001003176726301</v>
      </c>
      <c r="BE129" s="1">
        <f t="shared" ca="1" si="31"/>
        <v>1.247658002735978</v>
      </c>
      <c r="BF129" s="1">
        <f t="shared" ca="1" si="31"/>
        <v>0.52536563727919894</v>
      </c>
      <c r="BG129" s="1">
        <f t="shared" ca="1" si="31"/>
        <v>0.2552956618756973</v>
      </c>
      <c r="BH129" s="1">
        <f t="shared" ca="1" si="31"/>
        <v>0.5087506105304288</v>
      </c>
      <c r="BI129" s="1">
        <f t="shared" ca="1" si="31"/>
        <v>1.8691391941391942</v>
      </c>
      <c r="BJ129" s="1">
        <f t="shared" ca="1" si="31"/>
        <v>2.9272234762979688</v>
      </c>
      <c r="BK129" s="1">
        <f t="shared" ca="1" si="31"/>
        <v>1.0496598639455783</v>
      </c>
      <c r="BL129" s="1">
        <f t="shared" ca="1" si="31"/>
        <v>2.4555628959582614</v>
      </c>
    </row>
    <row r="130" spans="1:64" x14ac:dyDescent="0.2">
      <c r="A130" s="49" t="s">
        <v>292</v>
      </c>
      <c r="B130" s="1">
        <f>MATCH(A130,tblIndicators!$B$2:$B$107,0)</f>
        <v>102</v>
      </c>
      <c r="C130" s="1">
        <f>INDEX(tblIndicators!G$2:G$109,$B130)</f>
        <v>2</v>
      </c>
      <c r="D130" s="1" t="str">
        <f>INDEX(tblIndicators!O$2:O$109,$B130)</f>
        <v>Road density (area)</v>
      </c>
      <c r="E130" s="1" t="str">
        <f>INDEX(tblIndicators!P$2:P$109,$B130)</f>
        <v>km/km2</v>
      </c>
      <c r="F130" s="1" t="str">
        <f t="shared" si="25"/>
        <v>NAC_AR_1_CALC07</v>
      </c>
      <c r="G130" s="1">
        <f t="shared" si="27"/>
        <v>1604</v>
      </c>
      <c r="H130" s="22">
        <f t="shared" ca="1" si="28"/>
        <v>0.22611586822039997</v>
      </c>
      <c r="I130" s="1">
        <f t="shared" ca="1" si="29"/>
        <v>2012</v>
      </c>
      <c r="J130" s="22">
        <f t="shared" ca="1" si="26"/>
        <v>0.46121544543441956</v>
      </c>
      <c r="K130" s="11" t="str">
        <f t="shared" ca="1" si="20"/>
        <v>Calculation</v>
      </c>
      <c r="L130" s="1">
        <f t="shared" ca="1" si="21"/>
        <v>0.22611586822039997</v>
      </c>
      <c r="M130" s="1">
        <f t="shared" ca="1" si="30"/>
        <v>0.19574927953890489</v>
      </c>
      <c r="N130" s="1">
        <f t="shared" ca="1" si="30"/>
        <v>3.6511627906976742</v>
      </c>
      <c r="O130" s="1">
        <f t="shared" ca="1" si="30"/>
        <v>0.14283848498040924</v>
      </c>
      <c r="P130" s="1">
        <f t="shared" ca="1" si="30"/>
        <v>7.3751503075330807E-2</v>
      </c>
      <c r="Q130" s="1">
        <f t="shared" ca="1" si="30"/>
        <v>0.19861278138975536</v>
      </c>
      <c r="R130" s="1">
        <f t="shared" ca="1" si="30"/>
        <v>0.1024243145657263</v>
      </c>
      <c r="S130" s="1">
        <f t="shared" ca="1" si="30"/>
        <v>0.18826045677329847</v>
      </c>
      <c r="T130" s="1">
        <f t="shared" ca="1" si="30"/>
        <v>0.87964371819960863</v>
      </c>
      <c r="U130" s="1">
        <f t="shared" ca="1" si="30"/>
        <v>0.17069859968014978</v>
      </c>
      <c r="V130" s="1">
        <f t="shared" ca="1" si="30"/>
        <v>0.4418916349809886</v>
      </c>
      <c r="W130" s="1">
        <f t="shared" ca="1" si="30"/>
        <v>0.17292680686931766</v>
      </c>
      <c r="X130" s="1">
        <f t="shared" ca="1" si="30"/>
        <v>2.421733265106759E-2</v>
      </c>
      <c r="Y130" s="1">
        <f t="shared" ca="1" si="30"/>
        <v>0.15372972972972973</v>
      </c>
      <c r="Z130" s="1">
        <f t="shared" ca="1" si="30"/>
        <v>0.12708685216463686</v>
      </c>
      <c r="AA130" s="1">
        <f t="shared" ca="1" si="30"/>
        <v>2.0078685168334847</v>
      </c>
      <c r="AB130" s="1">
        <f t="shared" ca="1" si="30"/>
        <v>0.19052423665482238</v>
      </c>
      <c r="AC130" s="1">
        <f t="shared" ca="1" si="30"/>
        <v>0.18330229347242463</v>
      </c>
      <c r="AD130" s="1">
        <f t="shared" ca="1" si="30"/>
        <v>0.20625656324582339</v>
      </c>
      <c r="AE130" s="1">
        <f t="shared" ca="1" si="30"/>
        <v>7.881745543945913E-2</v>
      </c>
      <c r="AF130" s="1">
        <f t="shared" ca="1" si="30"/>
        <v>0.11644696627814694</v>
      </c>
      <c r="AG130" s="1">
        <f t="shared" ca="1" si="30"/>
        <v>0.39695911238956239</v>
      </c>
      <c r="AH130" s="1">
        <f t="shared" ca="1" si="30"/>
        <v>2.8293248687583934E-2</v>
      </c>
      <c r="AI130" s="1">
        <f t="shared" ca="1" si="30"/>
        <v>1.8787524366471735</v>
      </c>
      <c r="AJ130" s="1">
        <f t="shared" ca="1" si="30"/>
        <v>4.9843264101691064E-2</v>
      </c>
      <c r="AK130" s="1">
        <f t="shared" ca="1" si="30"/>
        <v>0.10542733402773971</v>
      </c>
      <c r="AM130" s="1">
        <f t="shared" ca="1" si="23"/>
        <v>0.22611586822039997</v>
      </c>
      <c r="AN130" s="1">
        <f t="shared" ref="AN130:AR131" ca="1" si="32">IF(ISNUMBER(M130),M130,"")</f>
        <v>0.19574927953890489</v>
      </c>
      <c r="AO130" s="1">
        <f t="shared" ca="1" si="32"/>
        <v>3.6511627906976742</v>
      </c>
      <c r="AP130" s="1">
        <f t="shared" ca="1" si="32"/>
        <v>0.14283848498040924</v>
      </c>
      <c r="AQ130" s="1">
        <f t="shared" ca="1" si="32"/>
        <v>7.3751503075330807E-2</v>
      </c>
      <c r="AR130" s="1">
        <f t="shared" ca="1" si="32"/>
        <v>0.19861278138975536</v>
      </c>
      <c r="AS130" s="1">
        <f t="shared" ca="1" si="31"/>
        <v>0.1024243145657263</v>
      </c>
      <c r="AT130" s="1">
        <f t="shared" ca="1" si="31"/>
        <v>0.18826045677329847</v>
      </c>
      <c r="AU130" s="1">
        <f t="shared" ca="1" si="31"/>
        <v>0.87964371819960863</v>
      </c>
      <c r="AV130" s="1">
        <f t="shared" ca="1" si="31"/>
        <v>0.17069859968014978</v>
      </c>
      <c r="AW130" s="1">
        <f t="shared" ca="1" si="31"/>
        <v>0.4418916349809886</v>
      </c>
      <c r="AX130" s="1">
        <f t="shared" ca="1" si="31"/>
        <v>0.17292680686931766</v>
      </c>
      <c r="AY130" s="1">
        <f t="shared" ca="1" si="31"/>
        <v>2.421733265106759E-2</v>
      </c>
      <c r="AZ130" s="1">
        <f t="shared" ca="1" si="31"/>
        <v>0.15372972972972973</v>
      </c>
      <c r="BA130" s="1">
        <f t="shared" ca="1" si="31"/>
        <v>0.12708685216463686</v>
      </c>
      <c r="BB130" s="1">
        <f t="shared" ca="1" si="31"/>
        <v>2.0078685168334847</v>
      </c>
      <c r="BC130" s="1">
        <f t="shared" ca="1" si="31"/>
        <v>0.19052423665482238</v>
      </c>
      <c r="BD130" s="1">
        <f t="shared" ca="1" si="31"/>
        <v>0.18330229347242463</v>
      </c>
      <c r="BE130" s="1">
        <f t="shared" ca="1" si="31"/>
        <v>0.20625656324582339</v>
      </c>
      <c r="BF130" s="1">
        <f t="shared" ca="1" si="31"/>
        <v>7.881745543945913E-2</v>
      </c>
      <c r="BG130" s="1">
        <f t="shared" ca="1" si="31"/>
        <v>0.11644696627814694</v>
      </c>
      <c r="BH130" s="1">
        <f t="shared" ca="1" si="31"/>
        <v>0.39695911238956239</v>
      </c>
      <c r="BI130" s="1">
        <f t="shared" ca="1" si="31"/>
        <v>2.8293248687583934E-2</v>
      </c>
      <c r="BJ130" s="1">
        <f t="shared" ca="1" si="31"/>
        <v>1.8787524366471735</v>
      </c>
      <c r="BK130" s="1">
        <f t="shared" ca="1" si="31"/>
        <v>4.9843264101691064E-2</v>
      </c>
      <c r="BL130" s="1">
        <f t="shared" ca="1" si="31"/>
        <v>0.10542733402773971</v>
      </c>
    </row>
    <row r="131" spans="1:64" x14ac:dyDescent="0.2">
      <c r="A131" s="49" t="s">
        <v>293</v>
      </c>
      <c r="B131" s="1">
        <f>MATCH(A131,tblIndicators!$B$2:$B$107,0)</f>
        <v>103</v>
      </c>
      <c r="C131" s="1">
        <f>INDEX(tblIndicators!G$2:G$109,$B131)</f>
        <v>1</v>
      </c>
      <c r="D131" s="1" t="str">
        <f>INDEX(tblIndicators!O$2:O$109,$B131)</f>
        <v>Road density (population)</v>
      </c>
      <c r="E131" s="1" t="str">
        <f>INDEX(tblIndicators!P$2:P$109,$B131)</f>
        <v>km/1,000 inhabitants</v>
      </c>
      <c r="F131" s="1" t="str">
        <f t="shared" si="25"/>
        <v>NAC_AR_1_CALC08</v>
      </c>
      <c r="G131" s="1">
        <f t="shared" si="27"/>
        <v>1630</v>
      </c>
      <c r="H131" s="22">
        <f t="shared" ca="1" si="28"/>
        <v>15.290425949563229</v>
      </c>
      <c r="I131" s="1">
        <f t="shared" ca="1" si="29"/>
        <v>2012</v>
      </c>
      <c r="J131" s="22">
        <f t="shared" ca="1" si="26"/>
        <v>5.420711980726761</v>
      </c>
      <c r="K131" s="11" t="str">
        <f t="shared" ca="1" si="20"/>
        <v>Calculation</v>
      </c>
      <c r="L131" s="1">
        <f t="shared" ca="1" si="21"/>
        <v>15.290425949563229</v>
      </c>
      <c r="M131" s="1">
        <f t="shared" ca="1" si="30"/>
        <v>7.7187500000000009</v>
      </c>
      <c r="N131" s="1">
        <f t="shared" ca="1" si="30"/>
        <v>5.7190941246325391</v>
      </c>
      <c r="O131" s="1">
        <f t="shared" ca="1" si="30"/>
        <v>9.5948049311357906</v>
      </c>
      <c r="P131" s="1">
        <f t="shared" ca="1" si="30"/>
        <v>8.0779661016949156</v>
      </c>
      <c r="Q131" s="1">
        <f t="shared" ca="1" si="30"/>
        <v>8.5255780701412895</v>
      </c>
      <c r="R131" s="1">
        <f t="shared" ca="1" si="30"/>
        <v>4.4499224271677305</v>
      </c>
      <c r="S131" s="1">
        <f t="shared" ca="1" si="30"/>
        <v>4.612773080389716</v>
      </c>
      <c r="T131" s="1">
        <f t="shared" ca="1" si="30"/>
        <v>9.399789627770808</v>
      </c>
      <c r="U131" s="1">
        <f t="shared" ca="1" si="30"/>
        <v>2.9434928340726816</v>
      </c>
      <c r="V131" s="1">
        <f t="shared" ca="1" si="30"/>
        <v>1.487759674662384</v>
      </c>
      <c r="W131" s="1">
        <f t="shared" ca="1" si="30"/>
        <v>1.2466070837471037</v>
      </c>
      <c r="X131" s="1">
        <f t="shared" ca="1" si="30"/>
        <v>6.8718180222205509</v>
      </c>
      <c r="Y131" s="1">
        <f t="shared" ca="1" si="30"/>
        <v>0.41601950084096206</v>
      </c>
      <c r="Z131" s="1">
        <f t="shared" ca="1" si="30"/>
        <v>1.743202048530667</v>
      </c>
      <c r="AA131" s="1">
        <f t="shared" ca="1" si="30"/>
        <v>8.1381782468294013</v>
      </c>
      <c r="AB131" s="1">
        <f t="shared" ca="1" si="30"/>
        <v>3.2580785570025768</v>
      </c>
      <c r="AC131" s="1">
        <f t="shared" ca="1" si="30"/>
        <v>3.9955057682661765</v>
      </c>
      <c r="AD131" s="1">
        <f t="shared" ca="1" si="30"/>
        <v>4.2560519835841317</v>
      </c>
      <c r="AE131" s="1">
        <f t="shared" ca="1" si="30"/>
        <v>4.7977920488857277</v>
      </c>
      <c r="AF131" s="1">
        <f t="shared" ca="1" si="30"/>
        <v>4.9110707488350727</v>
      </c>
      <c r="AG131" s="1">
        <f t="shared" ca="1" si="30"/>
        <v>1.8872716616196152</v>
      </c>
      <c r="AH131" s="1">
        <f t="shared" ca="1" si="30"/>
        <v>8.4890109890109873</v>
      </c>
      <c r="AI131" s="1">
        <f t="shared" ca="1" si="30"/>
        <v>7.2520692249811889</v>
      </c>
      <c r="AJ131" s="1">
        <f t="shared" ca="1" si="30"/>
        <v>2.5978645371191953</v>
      </c>
      <c r="AK131" s="1">
        <f t="shared" ca="1" si="30"/>
        <v>3.2576142561913475</v>
      </c>
      <c r="AM131" s="1">
        <f t="shared" ca="1" si="23"/>
        <v>15.290425949563229</v>
      </c>
      <c r="AN131" s="1">
        <f t="shared" ca="1" si="32"/>
        <v>7.7187500000000009</v>
      </c>
      <c r="AO131" s="1">
        <f t="shared" ca="1" si="32"/>
        <v>5.7190941246325391</v>
      </c>
      <c r="AP131" s="1">
        <f t="shared" ca="1" si="32"/>
        <v>9.5948049311357906</v>
      </c>
      <c r="AQ131" s="1">
        <f t="shared" ca="1" si="32"/>
        <v>8.0779661016949156</v>
      </c>
      <c r="AR131" s="1">
        <f t="shared" ca="1" si="32"/>
        <v>8.5255780701412895</v>
      </c>
      <c r="AS131" s="1">
        <f t="shared" ca="1" si="31"/>
        <v>4.4499224271677305</v>
      </c>
      <c r="AT131" s="1">
        <f t="shared" ca="1" si="31"/>
        <v>4.612773080389716</v>
      </c>
      <c r="AU131" s="1">
        <f t="shared" ca="1" si="31"/>
        <v>9.399789627770808</v>
      </c>
      <c r="AV131" s="1">
        <f t="shared" ca="1" si="31"/>
        <v>2.9434928340726816</v>
      </c>
      <c r="AW131" s="1">
        <f t="shared" ca="1" si="31"/>
        <v>1.487759674662384</v>
      </c>
      <c r="AX131" s="1">
        <f t="shared" ca="1" si="31"/>
        <v>1.2466070837471037</v>
      </c>
      <c r="AY131" s="1">
        <f t="shared" ca="1" si="31"/>
        <v>6.8718180222205509</v>
      </c>
      <c r="AZ131" s="1">
        <f t="shared" ca="1" si="31"/>
        <v>0.41601950084096206</v>
      </c>
      <c r="BA131" s="1">
        <f t="shared" ca="1" si="31"/>
        <v>1.743202048530667</v>
      </c>
      <c r="BB131" s="1">
        <f t="shared" ca="1" si="31"/>
        <v>8.1381782468294013</v>
      </c>
      <c r="BC131" s="1">
        <f t="shared" ca="1" si="31"/>
        <v>3.2580785570025768</v>
      </c>
      <c r="BD131" s="1">
        <f t="shared" ca="1" si="31"/>
        <v>3.9955057682661765</v>
      </c>
      <c r="BE131" s="1">
        <f t="shared" ca="1" si="31"/>
        <v>4.2560519835841317</v>
      </c>
      <c r="BF131" s="1">
        <f t="shared" ca="1" si="31"/>
        <v>4.7977920488857277</v>
      </c>
      <c r="BG131" s="1">
        <f t="shared" ca="1" si="31"/>
        <v>4.9110707488350727</v>
      </c>
      <c r="BH131" s="1">
        <f t="shared" ca="1" si="31"/>
        <v>1.8872716616196152</v>
      </c>
      <c r="BI131" s="1">
        <f t="shared" ca="1" si="31"/>
        <v>8.4890109890109873</v>
      </c>
      <c r="BJ131" s="1">
        <f t="shared" ca="1" si="31"/>
        <v>7.2520692249811889</v>
      </c>
      <c r="BK131" s="1">
        <f t="shared" ca="1" si="31"/>
        <v>2.5978645371191953</v>
      </c>
      <c r="BL131" s="1">
        <f t="shared" ca="1" si="31"/>
        <v>3.2576142561913475</v>
      </c>
    </row>
    <row r="132" spans="1:64" x14ac:dyDescent="0.2">
      <c r="H132" s="22"/>
      <c r="J132" s="22"/>
    </row>
    <row r="133" spans="1:64" x14ac:dyDescent="0.2">
      <c r="H133" s="22"/>
      <c r="J133" s="22"/>
    </row>
    <row r="144" spans="1:64" x14ac:dyDescent="0.2">
      <c r="A144" s="2" t="s">
        <v>147</v>
      </c>
    </row>
    <row r="146" spans="1:33" ht="15.75" x14ac:dyDescent="0.25">
      <c r="B146" s="15" t="str">
        <f>tblText!$A$75</f>
        <v>Import / Exports</v>
      </c>
    </row>
    <row r="147" spans="1:33" ht="15" x14ac:dyDescent="0.25">
      <c r="B147" s="16" t="str">
        <f>tblText!$A$76</f>
        <v>ton</v>
      </c>
    </row>
    <row r="148" spans="1:33" x14ac:dyDescent="0.2">
      <c r="A148" s="17" t="s">
        <v>56</v>
      </c>
      <c r="B148" s="1">
        <f>MATCH(A148,tblIndicators!$B$2:$B$107,0)</f>
        <v>12</v>
      </c>
      <c r="C148" s="1">
        <f>INDEX(tblIndicators!G$2:G$109,$B148)</f>
        <v>0</v>
      </c>
      <c r="D148" s="92" t="str">
        <f>tblText!$A$77</f>
        <v>Imports</v>
      </c>
      <c r="E148" s="1" t="str">
        <f>INDEX(tblIndicators!P$2:P$109,$B148)</f>
        <v>tons</v>
      </c>
      <c r="F148" s="1" t="str">
        <f>CONCATENATE($F$2,"_",$A148)</f>
        <v>NAC_AR_1_GENERAL11</v>
      </c>
      <c r="G148" s="1">
        <f>MATCH(F148,lu_DataCode,0)</f>
        <v>257</v>
      </c>
      <c r="H148" s="22">
        <f ca="1">IF(ISNUMBER(G148),INDEX(OFFSET(lu_DataCode,0,4),$G148),0)</f>
        <v>33687227.989</v>
      </c>
      <c r="I148" s="1">
        <f ca="1">IF(ISNUMBER(G148),INDEX(OFFSET(lu_DataCode,0,3),$G148),"")</f>
        <v>2012</v>
      </c>
      <c r="J148" s="22">
        <f ca="1">IF(ISERROR(AVERAGE(X148:AG148)),"-",AVERAGE(X148:AG148))</f>
        <v>30882726.99956188</v>
      </c>
      <c r="L148" s="1">
        <f t="shared" ref="L148:U149" ca="1" si="33">INDEX(OFFSET(lu_DataCode,0,4),MATCH(CONCATENATE(L$118,"_",$A148),lu_DataCode,0))</f>
        <v>33687227.989</v>
      </c>
      <c r="M148" s="1">
        <f t="shared" ca="1" si="33"/>
        <v>1615219.2509999999</v>
      </c>
      <c r="N148" s="1">
        <f t="shared" ca="1" si="33"/>
        <v>1146542.4569999999</v>
      </c>
      <c r="O148" s="1">
        <f t="shared" ca="1" si="33"/>
        <v>413482.45328604401</v>
      </c>
      <c r="P148" s="1">
        <f t="shared" ca="1" si="33"/>
        <v>4569815.2920000004</v>
      </c>
      <c r="Q148" s="1">
        <f t="shared" ca="1" si="33"/>
        <v>140958417.26899999</v>
      </c>
      <c r="R148" s="1">
        <f t="shared" ca="1" si="33"/>
        <v>52120843.663999997</v>
      </c>
      <c r="S148" s="1">
        <f t="shared" ca="1" si="33"/>
        <v>30292238.4263</v>
      </c>
      <c r="T148" s="1">
        <f t="shared" ca="1" si="33"/>
        <v>13140756.194470899</v>
      </c>
      <c r="U148" s="1">
        <f t="shared" ca="1" si="33"/>
        <v>14253231.348999999</v>
      </c>
      <c r="X148" s="1">
        <f t="shared" ref="X148:AF149" ca="1" si="34">IF(ISNUMBER(L148),L148,"")</f>
        <v>33687227.989</v>
      </c>
      <c r="Y148" s="1">
        <f t="shared" ca="1" si="34"/>
        <v>1615219.2509999999</v>
      </c>
      <c r="Z148" s="1">
        <f t="shared" ca="1" si="34"/>
        <v>1146542.4569999999</v>
      </c>
      <c r="AA148" s="1">
        <f t="shared" ca="1" si="34"/>
        <v>413482.45328604401</v>
      </c>
      <c r="AB148" s="1">
        <f t="shared" ca="1" si="34"/>
        <v>4569815.2920000004</v>
      </c>
      <c r="AC148" s="1">
        <f t="shared" ca="1" si="34"/>
        <v>140958417.26899999</v>
      </c>
      <c r="AD148" s="1">
        <f t="shared" ca="1" si="34"/>
        <v>52120843.663999997</v>
      </c>
      <c r="AE148" s="1">
        <f t="shared" ca="1" si="34"/>
        <v>30292238.4263</v>
      </c>
      <c r="AF148" s="1">
        <f t="shared" ca="1" si="34"/>
        <v>13140756.194470899</v>
      </c>
    </row>
    <row r="149" spans="1:33" x14ac:dyDescent="0.2">
      <c r="A149" s="17" t="s">
        <v>52</v>
      </c>
      <c r="B149" s="1">
        <f>MATCH(A149,tblIndicators!$B$2:$B$107,0)</f>
        <v>10</v>
      </c>
      <c r="C149" s="1">
        <f>INDEX(tblIndicators!G$2:G$109,$B149)</f>
        <v>0</v>
      </c>
      <c r="D149" s="92" t="str">
        <f>tblText!$A$78</f>
        <v>Exports</v>
      </c>
      <c r="E149" s="1" t="str">
        <f>INDEX(tblIndicators!P$2:P$109,$B149)</f>
        <v>ton</v>
      </c>
      <c r="F149" s="1" t="str">
        <f>CONCATENATE($F$2,"_",$A149)</f>
        <v>NAC_AR_1_GENERAL09</v>
      </c>
      <c r="G149" s="1">
        <f>MATCH(F149,lu_DataCode,0)</f>
        <v>206</v>
      </c>
      <c r="H149" s="22">
        <f ca="1">IF(ISNUMBER(G149),INDEX(OFFSET(lu_DataCode,0,4),$G149),0)</f>
        <v>100244570.502</v>
      </c>
      <c r="I149" s="1">
        <f ca="1">IF(ISNUMBER(G149),INDEX(OFFSET(lu_DataCode,0,3),$G149),"")</f>
        <v>2012</v>
      </c>
      <c r="J149" s="22">
        <f ca="1">IF(ISERROR(AVERAGE(X149:AG149)),"-",AVERAGE(X149:AG149))</f>
        <v>93838012.266318873</v>
      </c>
      <c r="L149" s="1">
        <f t="shared" ca="1" si="33"/>
        <v>100244570.502</v>
      </c>
      <c r="M149" s="1">
        <f t="shared" ca="1" si="33"/>
        <v>2795797.8879999998</v>
      </c>
      <c r="N149" s="1">
        <f t="shared" ca="1" si="33"/>
        <v>499678.22700000001</v>
      </c>
      <c r="O149" s="1">
        <f t="shared" ca="1" si="33"/>
        <v>352043.95699999999</v>
      </c>
      <c r="P149" s="1">
        <f t="shared" ca="1" si="33"/>
        <v>15599157.466</v>
      </c>
      <c r="Q149" s="1">
        <f t="shared" ca="1" si="33"/>
        <v>537536631.38199997</v>
      </c>
      <c r="R149" s="1">
        <f t="shared" ca="1" si="33"/>
        <v>43837764.449000001</v>
      </c>
      <c r="S149" s="1">
        <f t="shared" ca="1" si="33"/>
        <v>129355981.10087</v>
      </c>
      <c r="T149" s="1">
        <f t="shared" ca="1" si="33"/>
        <v>14320485.425000001</v>
      </c>
      <c r="U149" s="1">
        <f t="shared" ca="1" si="33"/>
        <v>27849775.333000001</v>
      </c>
      <c r="X149" s="1">
        <f t="shared" ca="1" si="34"/>
        <v>100244570.502</v>
      </c>
      <c r="Y149" s="1">
        <f t="shared" ca="1" si="34"/>
        <v>2795797.8879999998</v>
      </c>
      <c r="Z149" s="1">
        <f t="shared" ca="1" si="34"/>
        <v>499678.22700000001</v>
      </c>
      <c r="AA149" s="1">
        <f t="shared" ca="1" si="34"/>
        <v>352043.95699999999</v>
      </c>
      <c r="AB149" s="1">
        <f t="shared" ca="1" si="34"/>
        <v>15599157.466</v>
      </c>
      <c r="AC149" s="1">
        <f t="shared" ca="1" si="34"/>
        <v>537536631.38199997</v>
      </c>
      <c r="AD149" s="1">
        <f t="shared" ca="1" si="34"/>
        <v>43837764.449000001</v>
      </c>
      <c r="AE149" s="1">
        <f t="shared" ca="1" si="34"/>
        <v>129355981.10087</v>
      </c>
      <c r="AF149" s="1">
        <f t="shared" ca="1" si="34"/>
        <v>14320485.425000001</v>
      </c>
    </row>
    <row r="150" spans="1:33" ht="15" x14ac:dyDescent="0.25">
      <c r="A150" s="17"/>
      <c r="B150" s="16" t="str">
        <f>CONCATENATE(B147," '000")</f>
        <v>ton '000</v>
      </c>
    </row>
    <row r="151" spans="1:33" x14ac:dyDescent="0.2">
      <c r="D151" s="1" t="str">
        <f>D148</f>
        <v>Imports</v>
      </c>
      <c r="H151" s="1">
        <f ca="1">H148/1000</f>
        <v>33687.227988999999</v>
      </c>
    </row>
    <row r="152" spans="1:33" x14ac:dyDescent="0.2">
      <c r="D152" s="1" t="str">
        <f>D149</f>
        <v>Exports</v>
      </c>
      <c r="H152" s="1">
        <f ca="1">H149/1000</f>
        <v>100244.570502</v>
      </c>
    </row>
    <row r="153" spans="1:33" ht="15.75" x14ac:dyDescent="0.25">
      <c r="A153" s="1" t="s">
        <v>148</v>
      </c>
      <c r="B153" s="15" t="str">
        <f>tblText!$A$81</f>
        <v>Freight carried (domestic)</v>
      </c>
      <c r="C153" s="15"/>
      <c r="D153"/>
      <c r="I153"/>
    </row>
    <row r="154" spans="1:33" ht="15" x14ac:dyDescent="0.25">
      <c r="A154" s="1" t="s">
        <v>37</v>
      </c>
      <c r="B154" s="16" t="str">
        <f>tblText!$A$82</f>
        <v>million ton km</v>
      </c>
      <c r="C154" s="16"/>
      <c r="D154"/>
      <c r="I154"/>
    </row>
    <row r="155" spans="1:33" x14ac:dyDescent="0.2">
      <c r="C155" s="22" t="s">
        <v>244</v>
      </c>
      <c r="D155" s="1" t="s">
        <v>268</v>
      </c>
      <c r="E155" s="1" t="s">
        <v>37</v>
      </c>
      <c r="J155" s="1" t="s">
        <v>275</v>
      </c>
      <c r="L155" s="1" t="e">
        <f>INDEX(tblCountries!$E$3:$E$12,L154)</f>
        <v>#VALUE!</v>
      </c>
      <c r="M155" s="1" t="e">
        <f>INDEX(tblCountries!$E$3:$E$12,M154)</f>
        <v>#VALUE!</v>
      </c>
      <c r="N155" s="1" t="e">
        <f>INDEX(tblCountries!$E$3:$E$12,N154)</f>
        <v>#VALUE!</v>
      </c>
      <c r="O155" s="1" t="e">
        <f>INDEX(tblCountries!$E$3:$E$12,O154)</f>
        <v>#VALUE!</v>
      </c>
      <c r="P155" s="1" t="e">
        <f>INDEX(tblCountries!$E$3:$E$12,P154)</f>
        <v>#VALUE!</v>
      </c>
      <c r="Q155" s="1" t="e">
        <f>INDEX(tblCountries!$E$3:$E$12,Q154)</f>
        <v>#VALUE!</v>
      </c>
      <c r="R155" s="1" t="e">
        <f>INDEX(tblCountries!$E$3:$E$12,R154)</f>
        <v>#VALUE!</v>
      </c>
      <c r="S155" s="1" t="e">
        <f>INDEX(tblCountries!$E$3:$E$12,S154)</f>
        <v>#VALUE!</v>
      </c>
      <c r="T155" s="1" t="e">
        <f>INDEX(tblCountries!$E$3:$E$12,T154)</f>
        <v>#VALUE!</v>
      </c>
      <c r="U155" s="1" t="e">
        <f>INDEX(tblCountries!$E$3:$E$12,U154)</f>
        <v>#VALUE!</v>
      </c>
    </row>
    <row r="156" spans="1:33" x14ac:dyDescent="0.2">
      <c r="A156" s="49" t="s">
        <v>333</v>
      </c>
      <c r="B156" s="1">
        <f>MATCH(A156,tblIndicators!$B$2:$B$107,0)</f>
        <v>35</v>
      </c>
      <c r="C156" s="1">
        <f>INDEX(tblIndicators!G$2:G$109,$B156)</f>
        <v>0</v>
      </c>
      <c r="D156" s="92" t="str">
        <f>tblText!$A$83</f>
        <v>Road</v>
      </c>
      <c r="E156" s="1" t="str">
        <f>INDEX(tblIndicators!P$2:P$109,$B156)</f>
        <v>million t-km</v>
      </c>
      <c r="F156" s="1" t="str">
        <f>CONCATENATE($F$2,"_",$A156)</f>
        <v>NAC_AR_1_ROAD24</v>
      </c>
      <c r="G156" s="1">
        <f>MATCH(F156,lu_DataCode,0)</f>
        <v>689</v>
      </c>
      <c r="H156" s="22">
        <f ca="1">IF(ISNUMBER(G156),INDEX(OFFSET(lu_DataCode,0,4),$G156),0)</f>
        <v>335105</v>
      </c>
      <c r="I156" s="1">
        <f ca="1">IF(ISNUMBER(G156),INDEX(OFFSET(lu_DataCode,0,3),$G156),"")</f>
        <v>2012</v>
      </c>
      <c r="J156" s="22">
        <f ca="1">IF(ISERROR(AVERAGE(X156:AG156)),"-",AVERAGE(X156:AG156))</f>
        <v>311779.39399999997</v>
      </c>
      <c r="L156" s="1">
        <f t="shared" ref="L156:U158" ca="1" si="35">INDEX(OFFSET(lu_DataCode,0,4),MATCH(CONCATENATE(L$118,"_",$A156),lu_DataCode,0))</f>
        <v>335105</v>
      </c>
      <c r="M156" s="1" t="e">
        <f t="shared" ca="1" si="35"/>
        <v>#N/A</v>
      </c>
      <c r="N156" s="1" t="e">
        <f t="shared" ca="1" si="35"/>
        <v>#N/A</v>
      </c>
      <c r="O156" s="1">
        <f t="shared" ca="1" si="35"/>
        <v>284.52</v>
      </c>
      <c r="P156" s="1" t="e">
        <f t="shared" ca="1" si="35"/>
        <v>#N/A</v>
      </c>
      <c r="Q156" s="1">
        <f t="shared" ca="1" si="35"/>
        <v>1152306</v>
      </c>
      <c r="R156" s="1" t="e">
        <f t="shared" ca="1" si="35"/>
        <v>#N/A</v>
      </c>
      <c r="S156" s="1">
        <f t="shared" ca="1" si="35"/>
        <v>65688</v>
      </c>
      <c r="T156" s="1">
        <f t="shared" ca="1" si="35"/>
        <v>5513.45</v>
      </c>
      <c r="U156" s="1" t="e">
        <f t="shared" ca="1" si="35"/>
        <v>#N/A</v>
      </c>
      <c r="X156" s="1">
        <f t="shared" ref="X156:AG157" ca="1" si="36">IF(ISNUMBER(L156),L156,"")</f>
        <v>335105</v>
      </c>
      <c r="Y156" s="1" t="str">
        <f t="shared" ca="1" si="36"/>
        <v/>
      </c>
      <c r="Z156" s="1" t="str">
        <f t="shared" ca="1" si="36"/>
        <v/>
      </c>
      <c r="AA156" s="1">
        <f t="shared" ca="1" si="36"/>
        <v>284.52</v>
      </c>
      <c r="AB156" s="1" t="str">
        <f t="shared" ca="1" si="36"/>
        <v/>
      </c>
      <c r="AC156" s="1">
        <f t="shared" ca="1" si="36"/>
        <v>1152306</v>
      </c>
      <c r="AD156" s="1" t="str">
        <f t="shared" ca="1" si="36"/>
        <v/>
      </c>
      <c r="AE156" s="1">
        <f t="shared" ca="1" si="36"/>
        <v>65688</v>
      </c>
      <c r="AF156" s="1">
        <f t="shared" ca="1" si="36"/>
        <v>5513.45</v>
      </c>
      <c r="AG156" s="1" t="str">
        <f t="shared" ca="1" si="36"/>
        <v/>
      </c>
    </row>
    <row r="157" spans="1:33" x14ac:dyDescent="0.2">
      <c r="A157" s="49" t="s">
        <v>363</v>
      </c>
      <c r="B157" s="1">
        <f>MATCH(A157,tblIndicators!$B$2:$B$107,0)</f>
        <v>56</v>
      </c>
      <c r="C157" s="1">
        <f>INDEX(tblIndicators!G$2:G$109,$B157)</f>
        <v>0</v>
      </c>
      <c r="D157" s="92" t="str">
        <f>tblText!$A$84</f>
        <v>Rail</v>
      </c>
      <c r="E157" s="1" t="str">
        <f>INDEX(tblIndicators!P$2:P$109,$B157)</f>
        <v>million t-km</v>
      </c>
      <c r="F157" s="1" t="str">
        <f>CONCATENATE($F$2,"_",$A157)</f>
        <v>NAC_AR_1_RAIL15</v>
      </c>
      <c r="G157" s="1">
        <f>MATCH(F157,lu_DataCode,0)</f>
        <v>863</v>
      </c>
      <c r="H157" s="22">
        <f ca="1">IF(ISNUMBER(G157),INDEX(OFFSET(lu_DataCode,0,4),$G157),0)</f>
        <v>10582.95994386</v>
      </c>
      <c r="I157" s="1">
        <f ca="1">IF(ISNUMBER(G157),INDEX(OFFSET(lu_DataCode,0,3),$G157),"")</f>
        <v>2012</v>
      </c>
      <c r="J157" s="22">
        <f ca="1">IF(ISERROR(AVERAGE(X157:AG157)),"-",AVERAGE(X157:AG157))</f>
        <v>54829.152323976661</v>
      </c>
      <c r="L157" s="1">
        <f t="shared" ca="1" si="35"/>
        <v>10582.95994386</v>
      </c>
      <c r="M157" s="1" t="e">
        <f t="shared" ca="1" si="35"/>
        <v>#N/A</v>
      </c>
      <c r="N157" s="1" t="e">
        <f t="shared" ca="1" si="35"/>
        <v>#N/A</v>
      </c>
      <c r="O157" s="1" t="e">
        <f t="shared" ca="1" si="35"/>
        <v>#N/A</v>
      </c>
      <c r="P157" s="1">
        <f t="shared" ca="1" si="35"/>
        <v>1123.2149999999999</v>
      </c>
      <c r="Q157" s="1">
        <f t="shared" ca="1" si="35"/>
        <v>297800</v>
      </c>
      <c r="R157" s="1">
        <f t="shared" ca="1" si="35"/>
        <v>4089.739</v>
      </c>
      <c r="S157" s="1">
        <f t="shared" ca="1" si="35"/>
        <v>15360</v>
      </c>
      <c r="T157" s="1">
        <f t="shared" ca="1" si="35"/>
        <v>19</v>
      </c>
      <c r="U157" s="1" t="e">
        <f t="shared" ca="1" si="35"/>
        <v>#N/A</v>
      </c>
      <c r="X157" s="1">
        <f t="shared" ca="1" si="36"/>
        <v>10582.95994386</v>
      </c>
      <c r="Y157" s="1" t="str">
        <f t="shared" ca="1" si="36"/>
        <v/>
      </c>
      <c r="Z157" s="1" t="str">
        <f t="shared" ca="1" si="36"/>
        <v/>
      </c>
      <c r="AA157" s="1" t="str">
        <f t="shared" ca="1" si="36"/>
        <v/>
      </c>
      <c r="AB157" s="1">
        <f t="shared" ca="1" si="36"/>
        <v>1123.2149999999999</v>
      </c>
      <c r="AC157" s="1">
        <f t="shared" ca="1" si="36"/>
        <v>297800</v>
      </c>
      <c r="AD157" s="1">
        <f t="shared" ca="1" si="36"/>
        <v>4089.739</v>
      </c>
      <c r="AE157" s="1">
        <f t="shared" ca="1" si="36"/>
        <v>15360</v>
      </c>
      <c r="AF157" s="1">
        <f t="shared" ca="1" si="36"/>
        <v>19</v>
      </c>
      <c r="AG157" s="1" t="str">
        <f t="shared" ca="1" si="36"/>
        <v/>
      </c>
    </row>
    <row r="158" spans="1:33" x14ac:dyDescent="0.2">
      <c r="A158" s="49" t="s">
        <v>379</v>
      </c>
      <c r="B158" s="1">
        <f>MATCH(A158,tblIndicators!$B$2:$B$107,0)</f>
        <v>68</v>
      </c>
      <c r="C158" s="1">
        <f>INDEX(tblIndicators!G$2:G$109,$B158)</f>
        <v>1</v>
      </c>
      <c r="D158" s="92" t="str">
        <f>tblText!$A$85</f>
        <v>Air</v>
      </c>
      <c r="E158" s="1" t="str">
        <f>INDEX(tblIndicators!P$2:P$109,$B158)</f>
        <v>million t-km</v>
      </c>
      <c r="F158" s="1" t="str">
        <f>CONCATENATE($F$2,"_",$A158)</f>
        <v>NAC_AR_1_AIR07</v>
      </c>
      <c r="G158" s="1" t="e">
        <f>MATCH(F158,lu_DataCode,0)</f>
        <v>#N/A</v>
      </c>
      <c r="H158" s="22">
        <f ca="1">IF(ISNUMBER(G158),INDEX(OFFSET(lu_DataCode,0,4),$G158),0)</f>
        <v>0</v>
      </c>
      <c r="I158" s="1" t="str">
        <f ca="1">IF(ISNUMBER(G158),INDEX(OFFSET(lu_DataCode,0,3),$G158),"")</f>
        <v/>
      </c>
      <c r="J158" s="22">
        <f ca="1">IF(ISERROR(AVERAGE(X158:AG158)),"-",AVERAGE(X158:AG158))</f>
        <v>4832.1979058425004</v>
      </c>
      <c r="L158" s="1" t="e">
        <f t="shared" ca="1" si="35"/>
        <v>#N/A</v>
      </c>
      <c r="M158" s="1" t="e">
        <f t="shared" ca="1" si="35"/>
        <v>#N/A</v>
      </c>
      <c r="N158" s="1" t="e">
        <f t="shared" ca="1" si="35"/>
        <v>#N/A</v>
      </c>
      <c r="O158" s="1" t="e">
        <f t="shared" ca="1" si="35"/>
        <v>#N/A</v>
      </c>
      <c r="P158" s="1" t="e">
        <f t="shared" ca="1" si="35"/>
        <v>#N/A</v>
      </c>
      <c r="Q158" s="1">
        <f t="shared" ca="1" si="35"/>
        <v>9590.3958116850008</v>
      </c>
      <c r="R158" s="1" t="e">
        <f t="shared" ca="1" si="35"/>
        <v>#N/A</v>
      </c>
      <c r="S158" s="1">
        <f t="shared" ca="1" si="35"/>
        <v>74</v>
      </c>
      <c r="T158" s="1" t="e">
        <f t="shared" ca="1" si="35"/>
        <v>#N/A</v>
      </c>
      <c r="U158" s="1" t="e">
        <f t="shared" ca="1" si="35"/>
        <v>#N/A</v>
      </c>
      <c r="X158" s="1" t="str">
        <f t="shared" ref="X158:AF158" ca="1" si="37">IF(ISNUMBER(L158),L158,"")</f>
        <v/>
      </c>
      <c r="Y158" s="1" t="str">
        <f t="shared" ca="1" si="37"/>
        <v/>
      </c>
      <c r="Z158" s="1" t="str">
        <f t="shared" ca="1" si="37"/>
        <v/>
      </c>
      <c r="AA158" s="1" t="str">
        <f t="shared" ca="1" si="37"/>
        <v/>
      </c>
      <c r="AB158" s="1" t="str">
        <f t="shared" ca="1" si="37"/>
        <v/>
      </c>
      <c r="AC158" s="1">
        <f t="shared" ca="1" si="37"/>
        <v>9590.3958116850008</v>
      </c>
      <c r="AD158" s="1" t="str">
        <f t="shared" ca="1" si="37"/>
        <v/>
      </c>
      <c r="AE158" s="1">
        <f t="shared" ca="1" si="37"/>
        <v>74</v>
      </c>
      <c r="AF158" s="1" t="str">
        <f t="shared" ca="1" si="37"/>
        <v/>
      </c>
    </row>
    <row r="160" spans="1:33" ht="15.75" x14ac:dyDescent="0.25">
      <c r="B160" s="15" t="str">
        <f>tblText!$A$87</f>
        <v>Road network by road type</v>
      </c>
      <c r="C160"/>
      <c r="D160"/>
    </row>
    <row r="161" spans="1:32" ht="15" x14ac:dyDescent="0.25">
      <c r="B161" s="16" t="str">
        <f>tblText!$A$88</f>
        <v>km</v>
      </c>
      <c r="C161"/>
      <c r="D161"/>
    </row>
    <row r="162" spans="1:32" x14ac:dyDescent="0.2">
      <c r="A162" s="49" t="s">
        <v>61</v>
      </c>
      <c r="B162" s="1">
        <f>MATCH(A162,tblIndicators!$B$2:$B$107,0)</f>
        <v>15</v>
      </c>
      <c r="C162" s="1">
        <f>INDEX(tblIndicators!G$2:G$109,$B162)</f>
        <v>0</v>
      </c>
      <c r="D162" s="1" t="str">
        <f>INDEX(tblIndicators!O$2:O$109,$B162)</f>
        <v>Freeways</v>
      </c>
      <c r="E162" s="1" t="str">
        <f>INDEX(tblIndicators!P$2:P$109,$B162)</f>
        <v>km</v>
      </c>
      <c r="F162" s="1" t="str">
        <f>CONCATENATE($F$2,"_",$A162)</f>
        <v>NAC_AR_1_ROAD02</v>
      </c>
      <c r="G162" s="1">
        <f>MATCH(F162,lu_DataCode,0)</f>
        <v>307</v>
      </c>
      <c r="H162" s="22">
        <f ca="1">IF(ISNUMBER(G162),INDEX(OFFSET(lu_DataCode,0,4),$G162),0)</f>
        <v>1070.8499999999999</v>
      </c>
      <c r="I162" s="1">
        <f ca="1">IF(ISNUMBER(G162),INDEX(OFFSET(lu_DataCode,0,3),$G162),"")</f>
        <v>2012</v>
      </c>
      <c r="J162" s="22">
        <f ca="1">IF(ISERROR(AVERAGE(X162:AG162)),"-",AVERAGE(X162:AG162))</f>
        <v>2213.3100000000004</v>
      </c>
      <c r="L162" s="1">
        <f t="shared" ref="L162:U165" ca="1" si="38">INDEX(OFFSET(lu_DataCode,0,4),MATCH(CONCATENATE(L$118,"_",$A162),lu_DataCode,0))</f>
        <v>1070.8499999999999</v>
      </c>
      <c r="M162" s="1" t="e">
        <f t="shared" ca="1" si="38"/>
        <v>#N/A</v>
      </c>
      <c r="N162" s="1" t="e">
        <f t="shared" ca="1" si="38"/>
        <v>#N/A</v>
      </c>
      <c r="O162" s="1" t="e">
        <f t="shared" ca="1" si="38"/>
        <v>#N/A</v>
      </c>
      <c r="P162" s="1">
        <f t="shared" ca="1" si="38"/>
        <v>13</v>
      </c>
      <c r="Q162" s="1">
        <f t="shared" ca="1" si="38"/>
        <v>9060</v>
      </c>
      <c r="R162" s="1" t="e">
        <f t="shared" ca="1" si="38"/>
        <v>#N/A</v>
      </c>
      <c r="S162" s="1">
        <f t="shared" ca="1" si="38"/>
        <v>844.7</v>
      </c>
      <c r="T162" s="1">
        <f t="shared" ca="1" si="38"/>
        <v>78</v>
      </c>
      <c r="U162" s="1" t="e">
        <f t="shared" ca="1" si="38"/>
        <v>#N/A</v>
      </c>
      <c r="X162" s="1">
        <f t="shared" ref="X162:AF165" ca="1" si="39">IF(ISNUMBER(L162),L162,"")</f>
        <v>1070.8499999999999</v>
      </c>
      <c r="Y162" s="1" t="str">
        <f t="shared" ca="1" si="39"/>
        <v/>
      </c>
      <c r="Z162" s="1" t="str">
        <f t="shared" ca="1" si="39"/>
        <v/>
      </c>
      <c r="AA162" s="1" t="str">
        <f t="shared" ca="1" si="39"/>
        <v/>
      </c>
      <c r="AB162" s="1">
        <f t="shared" ca="1" si="39"/>
        <v>13</v>
      </c>
      <c r="AC162" s="1">
        <f t="shared" ca="1" si="39"/>
        <v>9060</v>
      </c>
      <c r="AD162" s="1" t="str">
        <f t="shared" ca="1" si="39"/>
        <v/>
      </c>
      <c r="AE162" s="1">
        <f t="shared" ca="1" si="39"/>
        <v>844.7</v>
      </c>
      <c r="AF162" s="1">
        <f t="shared" ca="1" si="39"/>
        <v>78</v>
      </c>
    </row>
    <row r="163" spans="1:32" x14ac:dyDescent="0.2">
      <c r="A163" s="49" t="s">
        <v>63</v>
      </c>
      <c r="B163" s="1">
        <f>MATCH(A163,tblIndicators!$B$2:$B$107,0)</f>
        <v>16</v>
      </c>
      <c r="C163" s="1">
        <f>INDEX(tblIndicators!G$2:G$109,$B163)</f>
        <v>0</v>
      </c>
      <c r="D163" s="1" t="str">
        <f>INDEX(tblIndicators!O$2:O$109,$B163)</f>
        <v>Primary network</v>
      </c>
      <c r="E163" s="1" t="str">
        <f>INDEX(tblIndicators!P$2:P$109,$B163)</f>
        <v>km</v>
      </c>
      <c r="F163" s="1" t="str">
        <f>CONCATENATE($F$2,"_",$A163)</f>
        <v>NAC_AR_1_ROAD03</v>
      </c>
      <c r="G163" s="1">
        <f>MATCH(F163,lu_DataCode,0)</f>
        <v>319</v>
      </c>
      <c r="H163" s="22">
        <f ca="1">IF(ISNUMBER(G163),INDEX(OFFSET(lu_DataCode,0,4),$G163),0)</f>
        <v>38548.71</v>
      </c>
      <c r="I163" s="1">
        <f ca="1">IF(ISNUMBER(G163),INDEX(OFFSET(lu_DataCode,0,3),$G163),"")</f>
        <v>2012</v>
      </c>
      <c r="J163" s="22">
        <f ca="1">IF(ISERROR(AVERAGE(X163:AG163)),"-",AVERAGE(X163:AG163))</f>
        <v>28397.938624999999</v>
      </c>
      <c r="L163" s="1">
        <f t="shared" ca="1" si="38"/>
        <v>38548.71</v>
      </c>
      <c r="M163" s="1" t="e">
        <f t="shared" ca="1" si="38"/>
        <v>#N/A</v>
      </c>
      <c r="N163" s="1">
        <f t="shared" ca="1" si="38"/>
        <v>374</v>
      </c>
      <c r="O163" s="1">
        <f t="shared" ca="1" si="38"/>
        <v>573</v>
      </c>
      <c r="P163" s="1">
        <f t="shared" ca="1" si="38"/>
        <v>16054</v>
      </c>
      <c r="Q163" s="1">
        <f t="shared" ca="1" si="38"/>
        <v>119807.1</v>
      </c>
      <c r="R163" s="1">
        <f t="shared" ca="1" si="38"/>
        <v>26884.61</v>
      </c>
      <c r="S163" s="1">
        <f t="shared" ca="1" si="38"/>
        <v>17423</v>
      </c>
      <c r="T163" s="1">
        <f t="shared" ca="1" si="38"/>
        <v>7519.0889999999999</v>
      </c>
      <c r="U163" s="1">
        <f t="shared" ca="1" si="38"/>
        <v>8873</v>
      </c>
      <c r="X163" s="1">
        <f t="shared" ca="1" si="39"/>
        <v>38548.71</v>
      </c>
      <c r="Y163" s="1" t="str">
        <f t="shared" ca="1" si="39"/>
        <v/>
      </c>
      <c r="Z163" s="1">
        <f t="shared" ca="1" si="39"/>
        <v>374</v>
      </c>
      <c r="AA163" s="1">
        <f t="shared" ca="1" si="39"/>
        <v>573</v>
      </c>
      <c r="AB163" s="1">
        <f t="shared" ca="1" si="39"/>
        <v>16054</v>
      </c>
      <c r="AC163" s="1">
        <f t="shared" ca="1" si="39"/>
        <v>119807.1</v>
      </c>
      <c r="AD163" s="1">
        <f t="shared" ca="1" si="39"/>
        <v>26884.61</v>
      </c>
      <c r="AE163" s="1">
        <f t="shared" ca="1" si="39"/>
        <v>17423</v>
      </c>
      <c r="AF163" s="1">
        <f t="shared" ca="1" si="39"/>
        <v>7519.0889999999999</v>
      </c>
    </row>
    <row r="164" spans="1:32" x14ac:dyDescent="0.2">
      <c r="A164" s="49" t="s">
        <v>65</v>
      </c>
      <c r="B164" s="1">
        <f>MATCH(A164,tblIndicators!$B$2:$B$107,0)</f>
        <v>17</v>
      </c>
      <c r="C164" s="1">
        <f>INDEX(tblIndicators!G$2:G$109,$B164)</f>
        <v>0</v>
      </c>
      <c r="D164" s="1" t="str">
        <f>INDEX(tblIndicators!O$2:O$109,$B164)</f>
        <v>Secondary network</v>
      </c>
      <c r="E164" s="1" t="str">
        <f>INDEX(tblIndicators!P$2:P$109,$B164)</f>
        <v>km</v>
      </c>
      <c r="F164" s="1" t="str">
        <f>CONCATENATE($F$2,"_",$A164)</f>
        <v>NAC_AR_1_ROAD04</v>
      </c>
      <c r="G164" s="1">
        <f>MATCH(F164,lu_DataCode,0)</f>
        <v>341</v>
      </c>
      <c r="H164" s="22">
        <f ca="1">IF(ISNUMBER(G164),INDEX(OFFSET(lu_DataCode,0,4),$G164),0)</f>
        <v>189073</v>
      </c>
      <c r="I164" s="1">
        <f ca="1">IF(ISNUMBER(G164),INDEX(OFFSET(lu_DataCode,0,3),$G164),"")</f>
        <v>2012</v>
      </c>
      <c r="J164" s="22">
        <f ca="1">IF(ISERROR(AVERAGE(X164:AG164)),"-",AVERAGE(X164:AG164))</f>
        <v>74754.998749999999</v>
      </c>
      <c r="L164" s="1">
        <f t="shared" ca="1" si="38"/>
        <v>189073</v>
      </c>
      <c r="M164" s="1" t="e">
        <f t="shared" ca="1" si="38"/>
        <v>#N/A</v>
      </c>
      <c r="N164" s="1">
        <f t="shared" ca="1" si="38"/>
        <v>222</v>
      </c>
      <c r="O164" s="1">
        <f t="shared" ca="1" si="38"/>
        <v>765</v>
      </c>
      <c r="P164" s="1">
        <f t="shared" ca="1" si="38"/>
        <v>24531</v>
      </c>
      <c r="Q164" s="1">
        <f t="shared" ca="1" si="38"/>
        <v>255040</v>
      </c>
      <c r="R164" s="1">
        <f t="shared" ca="1" si="38"/>
        <v>50557.99</v>
      </c>
      <c r="S164" s="1">
        <f t="shared" ca="1" si="38"/>
        <v>43327</v>
      </c>
      <c r="T164" s="1">
        <f t="shared" ca="1" si="38"/>
        <v>34524</v>
      </c>
      <c r="U164" s="1">
        <f t="shared" ca="1" si="38"/>
        <v>12350</v>
      </c>
      <c r="X164" s="1">
        <f t="shared" ca="1" si="39"/>
        <v>189073</v>
      </c>
      <c r="Y164" s="1" t="str">
        <f t="shared" ca="1" si="39"/>
        <v/>
      </c>
      <c r="Z164" s="1">
        <f t="shared" ca="1" si="39"/>
        <v>222</v>
      </c>
      <c r="AA164" s="1">
        <f t="shared" ca="1" si="39"/>
        <v>765</v>
      </c>
      <c r="AB164" s="1">
        <f t="shared" ca="1" si="39"/>
        <v>24531</v>
      </c>
      <c r="AC164" s="1">
        <f t="shared" ca="1" si="39"/>
        <v>255040</v>
      </c>
      <c r="AD164" s="1">
        <f t="shared" ca="1" si="39"/>
        <v>50557.99</v>
      </c>
      <c r="AE164" s="1">
        <f t="shared" ca="1" si="39"/>
        <v>43327</v>
      </c>
      <c r="AF164" s="1">
        <f t="shared" ca="1" si="39"/>
        <v>34524</v>
      </c>
    </row>
    <row r="165" spans="1:32" x14ac:dyDescent="0.2">
      <c r="A165" s="49" t="s">
        <v>67</v>
      </c>
      <c r="B165" s="1">
        <f>MATCH(A165,tblIndicators!$B$2:$B$107,0)</f>
        <v>18</v>
      </c>
      <c r="C165" s="1">
        <f>INDEX(tblIndicators!G$2:G$109,$B165)</f>
        <v>0</v>
      </c>
      <c r="D165" s="1" t="str">
        <f>INDEX(tblIndicators!O$2:O$109,$B165)</f>
        <v>Other networks</v>
      </c>
      <c r="E165" s="1" t="str">
        <f>INDEX(tblIndicators!P$2:P$109,$B165)</f>
        <v>km</v>
      </c>
      <c r="F165" s="1" t="str">
        <f>CONCATENATE($F$2,"_",$A165)</f>
        <v>NAC_AR_1_ROAD05</v>
      </c>
      <c r="G165" s="1">
        <f>MATCH(F165,lu_DataCode,0)</f>
        <v>361</v>
      </c>
      <c r="H165" s="22">
        <f ca="1">IF(ISNUMBER(G165),INDEX(OFFSET(lu_DataCode,0,4),$G165),0)</f>
        <v>400000</v>
      </c>
      <c r="I165" s="1">
        <f ca="1">IF(ISNUMBER(G165),INDEX(OFFSET(lu_DataCode,0,3),$G165),"")</f>
        <v>2012</v>
      </c>
      <c r="J165" s="22">
        <f ca="1">IF(ISERROR(AVERAGE(X165:AG165)),"-",AVERAGE(X165:AG165))</f>
        <v>277127.22928571427</v>
      </c>
      <c r="L165" s="1">
        <f t="shared" ca="1" si="38"/>
        <v>400000</v>
      </c>
      <c r="M165" s="1" t="e">
        <f t="shared" ca="1" si="38"/>
        <v>#N/A</v>
      </c>
      <c r="N165" s="1">
        <f t="shared" ca="1" si="38"/>
        <v>974</v>
      </c>
      <c r="O165" s="1">
        <f t="shared" ca="1" si="38"/>
        <v>1943</v>
      </c>
      <c r="P165" s="1">
        <f t="shared" ca="1" si="38"/>
        <v>40822</v>
      </c>
      <c r="Q165" s="1">
        <f t="shared" ca="1" si="38"/>
        <v>1339126.8999999999</v>
      </c>
      <c r="R165" s="1" t="e">
        <f t="shared" ca="1" si="38"/>
        <v>#N/A</v>
      </c>
      <c r="S165" s="1">
        <f t="shared" ca="1" si="38"/>
        <v>154196</v>
      </c>
      <c r="T165" s="1">
        <f t="shared" ca="1" si="38"/>
        <v>2828.7049999999999</v>
      </c>
      <c r="U165" s="1">
        <f t="shared" ca="1" si="38"/>
        <v>22539</v>
      </c>
      <c r="X165" s="1">
        <f t="shared" ca="1" si="39"/>
        <v>400000</v>
      </c>
      <c r="Y165" s="1" t="str">
        <f t="shared" ca="1" si="39"/>
        <v/>
      </c>
      <c r="Z165" s="1">
        <f t="shared" ca="1" si="39"/>
        <v>974</v>
      </c>
      <c r="AA165" s="1">
        <f t="shared" ca="1" si="39"/>
        <v>1943</v>
      </c>
      <c r="AB165" s="1">
        <f t="shared" ca="1" si="39"/>
        <v>40822</v>
      </c>
      <c r="AC165" s="1">
        <f t="shared" ca="1" si="39"/>
        <v>1339126.8999999999</v>
      </c>
      <c r="AD165" s="1" t="str">
        <f t="shared" ca="1" si="39"/>
        <v/>
      </c>
      <c r="AE165" s="1">
        <f t="shared" ca="1" si="39"/>
        <v>154196</v>
      </c>
      <c r="AF165" s="1">
        <f t="shared" ca="1" si="39"/>
        <v>2828.7049999999999</v>
      </c>
    </row>
    <row r="167" spans="1:32" ht="15.75" x14ac:dyDescent="0.25">
      <c r="B167" s="15" t="s">
        <v>506</v>
      </c>
    </row>
    <row r="168" spans="1:32" x14ac:dyDescent="0.2">
      <c r="A168" s="49" t="s">
        <v>331</v>
      </c>
      <c r="B168" s="1">
        <f>MATCH(A168,tblIndicators!$B$2:$B$107,0)</f>
        <v>34</v>
      </c>
      <c r="C168" s="1">
        <f>INDEX(tblIndicators!G$2:G$109,$B168)</f>
        <v>1</v>
      </c>
      <c r="D168" s="1" t="str">
        <f>INDEX(tblIndicators!O$2:O$109,$B168)</f>
        <v>Estimated CO2 emissions road transport</v>
      </c>
      <c r="E168" s="1" t="str">
        <f>INDEX(tblIndicators!P$2:P$109,$B168)</f>
        <v>tons</v>
      </c>
      <c r="F168" s="1" t="str">
        <f>CONCATENATE($F$2,"_",$A168)</f>
        <v>NAC_AR_1_ROAD23</v>
      </c>
      <c r="G168" s="1">
        <f>MATCH(F168,lu_DataCode,0)</f>
        <v>663</v>
      </c>
      <c r="H168" s="22">
        <f ca="1">IF(ISNUMBER(G168),INDEX(OFFSET(lu_DataCode,0,4),$G168),"-")</f>
        <v>51157190</v>
      </c>
      <c r="I168" s="1">
        <f ca="1">IF(ISNUMBER(G168),INDEX(OFFSET(lu_DataCode,0,3),$G168),"")</f>
        <v>2012</v>
      </c>
      <c r="J168" s="22">
        <f ca="1">IF(ISERROR(AVERAGE(X168:AG168)),"-",AVERAGE(X168:AG168))</f>
        <v>37248029.777777776</v>
      </c>
      <c r="L168" s="1">
        <f t="shared" ref="L168:U169" ca="1" si="40">INDEX(OFFSET(lu_DataCode,0,4),MATCH(CONCATENATE(L$118,"_",$A168),lu_DataCode,0))</f>
        <v>51157190</v>
      </c>
      <c r="M168" s="1">
        <f t="shared" ca="1" si="40"/>
        <v>660448</v>
      </c>
      <c r="N168" s="1">
        <f t="shared" ca="1" si="40"/>
        <v>410900</v>
      </c>
      <c r="O168" s="1">
        <f t="shared" ca="1" si="40"/>
        <v>525410</v>
      </c>
      <c r="P168" s="1">
        <f t="shared" ca="1" si="40"/>
        <v>6168610</v>
      </c>
      <c r="Q168" s="1">
        <f t="shared" ca="1" si="40"/>
        <v>206775060</v>
      </c>
      <c r="R168" s="1">
        <f t="shared" ca="1" si="40"/>
        <v>30725490</v>
      </c>
      <c r="S168" s="1">
        <f t="shared" ca="1" si="40"/>
        <v>33360410</v>
      </c>
      <c r="T168" s="1">
        <f t="shared" ca="1" si="40"/>
        <v>5448750</v>
      </c>
      <c r="U168" s="1">
        <f t="shared" ca="1" si="40"/>
        <v>18795540</v>
      </c>
      <c r="X168" s="1">
        <f t="shared" ref="X168:AF169" ca="1" si="41">IF(ISNUMBER(L168),L168,"")</f>
        <v>51157190</v>
      </c>
      <c r="Y168" s="1">
        <f t="shared" ca="1" si="41"/>
        <v>660448</v>
      </c>
      <c r="Z168" s="1">
        <f t="shared" ca="1" si="41"/>
        <v>410900</v>
      </c>
      <c r="AA168" s="1">
        <f t="shared" ca="1" si="41"/>
        <v>525410</v>
      </c>
      <c r="AB168" s="1">
        <f t="shared" ca="1" si="41"/>
        <v>6168610</v>
      </c>
      <c r="AC168" s="1">
        <f t="shared" ca="1" si="41"/>
        <v>206775060</v>
      </c>
      <c r="AD168" s="1">
        <f t="shared" ca="1" si="41"/>
        <v>30725490</v>
      </c>
      <c r="AE168" s="1">
        <f t="shared" ca="1" si="41"/>
        <v>33360410</v>
      </c>
      <c r="AF168" s="1">
        <f t="shared" ca="1" si="41"/>
        <v>5448750</v>
      </c>
    </row>
    <row r="169" spans="1:32" x14ac:dyDescent="0.2">
      <c r="A169" s="49" t="s">
        <v>362</v>
      </c>
      <c r="B169" s="1">
        <f>MATCH(A169,tblIndicators!$B$2:$B$107,0)</f>
        <v>55</v>
      </c>
      <c r="C169" s="1">
        <f>INDEX(tblIndicators!G$2:G$109,$B169)</f>
        <v>1</v>
      </c>
      <c r="D169" s="1" t="str">
        <f>INDEX(tblIndicators!O$2:O$109,$B169)</f>
        <v>Estimated CO2 emissions rail freight</v>
      </c>
      <c r="E169" s="1" t="str">
        <f>INDEX(tblIndicators!P$2:P$109,$B169)</f>
        <v>tons</v>
      </c>
      <c r="F169" s="1" t="str">
        <f>CONCATENATE($F$2,"_",$A169)</f>
        <v>NAC_AR_1_RAIL14</v>
      </c>
      <c r="G169" s="1" t="e">
        <f>MATCH(F169,lu_DataCode,0)</f>
        <v>#N/A</v>
      </c>
      <c r="H169" s="22" t="str">
        <f ca="1">IF(ISNUMBER(G169),INDEX(OFFSET(lu_DataCode,0,4),$G169),"-")</f>
        <v>-</v>
      </c>
      <c r="I169" s="1" t="str">
        <f ca="1">IF(ISNUMBER(G169),INDEX(OFFSET(lu_DataCode,0,3),$G169),"")</f>
        <v/>
      </c>
      <c r="J169" s="22" t="str">
        <f ca="1">IF(ISERROR(AVERAGE(X169:AG169)),"-",AVERAGE(X169:AG169))</f>
        <v>-</v>
      </c>
      <c r="L169" s="1" t="e">
        <f t="shared" ca="1" si="40"/>
        <v>#N/A</v>
      </c>
      <c r="M169" s="1" t="e">
        <f t="shared" ca="1" si="40"/>
        <v>#N/A</v>
      </c>
      <c r="N169" s="1" t="e">
        <f t="shared" ca="1" si="40"/>
        <v>#N/A</v>
      </c>
      <c r="O169" s="1" t="e">
        <f t="shared" ca="1" si="40"/>
        <v>#N/A</v>
      </c>
      <c r="P169" s="1" t="e">
        <f t="shared" ca="1" si="40"/>
        <v>#N/A</v>
      </c>
      <c r="Q169" s="1" t="e">
        <f t="shared" ca="1" si="40"/>
        <v>#N/A</v>
      </c>
      <c r="R169" s="1" t="e">
        <f t="shared" ca="1" si="40"/>
        <v>#N/A</v>
      </c>
      <c r="S169" s="1" t="e">
        <f t="shared" ca="1" si="40"/>
        <v>#N/A</v>
      </c>
      <c r="T169" s="1" t="e">
        <f t="shared" ca="1" si="40"/>
        <v>#N/A</v>
      </c>
      <c r="U169" s="1" t="e">
        <f t="shared" ca="1" si="40"/>
        <v>#N/A</v>
      </c>
      <c r="X169" s="1" t="str">
        <f t="shared" ca="1" si="41"/>
        <v/>
      </c>
      <c r="Y169" s="1" t="str">
        <f t="shared" ca="1" si="41"/>
        <v/>
      </c>
      <c r="Z169" s="1" t="str">
        <f t="shared" ca="1" si="41"/>
        <v/>
      </c>
      <c r="AA169" s="1" t="str">
        <f t="shared" ca="1" si="41"/>
        <v/>
      </c>
      <c r="AB169" s="1" t="str">
        <f t="shared" ca="1" si="41"/>
        <v/>
      </c>
      <c r="AC169" s="1" t="str">
        <f t="shared" ca="1" si="41"/>
        <v/>
      </c>
      <c r="AD169" s="1" t="str">
        <f t="shared" ca="1" si="41"/>
        <v/>
      </c>
      <c r="AE169" s="1" t="str">
        <f t="shared" ca="1" si="41"/>
        <v/>
      </c>
      <c r="AF169" s="1" t="str">
        <f t="shared" ca="1" si="41"/>
        <v/>
      </c>
    </row>
  </sheetData>
  <phoneticPr fontId="12" type="noConversion"/>
  <pageMargins left="0.7" right="0.7" top="0.75" bottom="0.75" header="0.3" footer="0.3"/>
  <pageSetup orientation="portrait" r:id="rId1"/>
  <headerFooter>
    <oddHeader>&amp;LFreight Transport and Logistics Yearbook 2014, IDB</oddHeader>
    <oddFooter>&amp;LFreight Transport and Logistics Regional Observatory</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pageSetUpPr fitToPage="1"/>
  </sheetPr>
  <dimension ref="A1:L63"/>
  <sheetViews>
    <sheetView showGridLines="0" showRowColHeaders="0" workbookViewId="0">
      <pane ySplit="2" topLeftCell="A3" activePane="bottomLeft" state="frozen"/>
      <selection pane="bottomLeft"/>
    </sheetView>
  </sheetViews>
  <sheetFormatPr defaultColWidth="9.140625" defaultRowHeight="15" x14ac:dyDescent="0.25"/>
  <cols>
    <col min="1" max="1" width="4.85546875" customWidth="1"/>
    <col min="2" max="3" width="12.7109375" customWidth="1"/>
    <col min="4" max="4" width="15.28515625" customWidth="1"/>
    <col min="5" max="5" width="21.7109375" customWidth="1"/>
    <col min="6" max="6" width="12.7109375" customWidth="1"/>
    <col min="7" max="7" width="3.7109375" customWidth="1"/>
    <col min="8" max="8" width="3.7109375" hidden="1" customWidth="1"/>
    <col min="9" max="9" width="9.85546875" customWidth="1"/>
    <col min="10" max="10" width="6.42578125" customWidth="1"/>
    <col min="11" max="11" width="51.28515625" customWidth="1"/>
    <col min="12" max="12" width="3.7109375" customWidth="1"/>
  </cols>
  <sheetData>
    <row r="1" spans="1:12" ht="29.1" customHeight="1" x14ac:dyDescent="0.3">
      <c r="A1" s="127" t="str">
        <f>UPPER(tblText!$A$15)</f>
        <v>COUNTRY SUMMARY</v>
      </c>
      <c r="B1" s="127"/>
      <c r="C1" s="127"/>
      <c r="D1" s="127"/>
      <c r="E1" s="127"/>
      <c r="F1" s="127"/>
      <c r="G1" s="127"/>
      <c r="H1" s="127"/>
      <c r="I1" s="127"/>
      <c r="J1" s="127"/>
      <c r="K1" s="127"/>
      <c r="L1" s="127"/>
    </row>
    <row r="2" spans="1:12" ht="22.5" customHeight="1" x14ac:dyDescent="0.3">
      <c r="A2" s="124"/>
      <c r="B2" s="124" t="str">
        <f>UPPER(tblText!$A$24)</f>
        <v>SELECT COUNTRY</v>
      </c>
      <c r="C2" s="124"/>
      <c r="D2" s="124"/>
      <c r="E2" s="124"/>
      <c r="F2" s="124"/>
      <c r="G2" s="124"/>
      <c r="H2" s="124"/>
      <c r="I2" s="124"/>
      <c r="J2" s="124"/>
      <c r="K2" s="124"/>
      <c r="L2" s="124"/>
    </row>
    <row r="3" spans="1:12" ht="18.75" customHeight="1" x14ac:dyDescent="0.3">
      <c r="A3" s="116"/>
      <c r="B3" s="116"/>
      <c r="C3" s="116"/>
      <c r="D3" s="116"/>
      <c r="E3" s="116"/>
      <c r="F3" s="116"/>
      <c r="G3" s="116"/>
      <c r="H3" s="116"/>
      <c r="I3" s="116"/>
      <c r="J3" s="116"/>
      <c r="K3" s="116"/>
      <c r="L3" s="116"/>
    </row>
    <row r="4" spans="1:12" ht="31.15" x14ac:dyDescent="0.6">
      <c r="A4" s="116"/>
      <c r="B4" s="149" t="str">
        <f>iCtryDataTable!$D$2</f>
        <v>Argentina</v>
      </c>
      <c r="C4" s="149"/>
      <c r="D4" s="149"/>
      <c r="E4" s="149"/>
      <c r="F4" s="149"/>
      <c r="G4" s="149"/>
      <c r="H4" s="149"/>
      <c r="I4" s="149"/>
      <c r="J4" s="149"/>
      <c r="K4" s="149"/>
      <c r="L4" s="116"/>
    </row>
    <row r="5" spans="1:12" ht="14.45" x14ac:dyDescent="0.3">
      <c r="A5" s="116"/>
      <c r="B5" s="116"/>
      <c r="C5" s="116"/>
      <c r="D5" s="116"/>
      <c r="E5" s="116"/>
      <c r="F5" s="116"/>
      <c r="G5" s="116"/>
      <c r="H5" s="116"/>
      <c r="I5" s="116"/>
      <c r="J5" s="116"/>
      <c r="K5" s="116"/>
      <c r="L5" s="116"/>
    </row>
    <row r="6" spans="1:12" ht="27" customHeight="1" x14ac:dyDescent="0.3">
      <c r="A6" s="116"/>
      <c r="B6" s="164"/>
      <c r="C6" s="164"/>
      <c r="D6" s="164"/>
      <c r="E6" s="164"/>
      <c r="F6" s="166" t="str">
        <f>UPPER(uxbWorks!$D$30)</f>
        <v>ARGENTINA</v>
      </c>
      <c r="G6" s="166"/>
      <c r="H6" s="166"/>
      <c r="I6" s="165" t="str">
        <f>UPPER(tblText!$A$68)</f>
        <v>REGIONAL AVERAGE</v>
      </c>
      <c r="J6" s="116"/>
      <c r="K6" s="192" t="str">
        <f>CONCATENATE(iCtryDataTable!$B$146,", ",iCtryDataTable!$B$150)</f>
        <v>Import / Exports, ton '000</v>
      </c>
      <c r="L6" s="116"/>
    </row>
    <row r="7" spans="1:12" ht="16.149999999999999" x14ac:dyDescent="0.3">
      <c r="A7" s="116"/>
      <c r="B7" s="167" t="str">
        <f>iCtryDataTable!D119</f>
        <v>Transport sector  % GDP</v>
      </c>
      <c r="C7" s="167"/>
      <c r="D7" s="167"/>
      <c r="E7" s="168" t="str">
        <f>iCtryDataTable!E119</f>
        <v>%</v>
      </c>
      <c r="F7" s="178">
        <f ca="1">iCtryDataTable!H119</f>
        <v>7.2048221837913999</v>
      </c>
      <c r="G7" s="197">
        <v>1</v>
      </c>
      <c r="H7" s="170" t="str">
        <f ca="1">IF(iCtryDataTable!K119=0,"",iCtryDataTable!K119)</f>
        <v>National Accounts methods.  Annual frequency. ISIC I.</v>
      </c>
      <c r="I7" s="169">
        <f ca="1">iCtryDataTable!J119</f>
        <v>6.3152153031169815</v>
      </c>
      <c r="J7" s="116"/>
      <c r="K7" s="204"/>
      <c r="L7" s="116"/>
    </row>
    <row r="8" spans="1:12" ht="16.149999999999999" x14ac:dyDescent="0.3">
      <c r="A8" s="116"/>
      <c r="B8" s="171" t="str">
        <f>iCtryDataTable!D120</f>
        <v>Population</v>
      </c>
      <c r="C8" s="171"/>
      <c r="D8" s="171"/>
      <c r="E8" s="172" t="str">
        <f>iCtryDataTable!E120</f>
        <v>millions</v>
      </c>
      <c r="F8" s="179">
        <f ca="1">iCtryDataTable!H120</f>
        <v>41.116745999999999</v>
      </c>
      <c r="G8" s="197">
        <v>2</v>
      </c>
      <c r="H8" s="174" t="str">
        <f ca="1">IF(iCtryDataTable!K120=0,"",iCtryDataTable!K120)</f>
        <v>Based on data extrapolation from years 2008-2011. World Bank estimations and national census.  Annual frequency.</v>
      </c>
      <c r="I8" s="173">
        <f ca="1">iCtryDataTable!J120</f>
        <v>22.464685918607231</v>
      </c>
      <c r="J8" s="116"/>
      <c r="K8" s="203"/>
      <c r="L8" s="116"/>
    </row>
    <row r="9" spans="1:12" ht="16.149999999999999" x14ac:dyDescent="0.3">
      <c r="A9" s="116"/>
      <c r="B9" s="171" t="str">
        <f>iCtryDataTable!D121</f>
        <v>Land area</v>
      </c>
      <c r="C9" s="171"/>
      <c r="D9" s="171"/>
      <c r="E9" s="172" t="str">
        <f>iCtryDataTable!E121</f>
        <v>sq km</v>
      </c>
      <c r="F9" s="180">
        <f ca="1">iCtryDataTable!H121</f>
        <v>2780400</v>
      </c>
      <c r="G9" s="197">
        <v>3</v>
      </c>
      <c r="H9" s="174" t="str">
        <f ca="1">IF(iCtryDataTable!K121=0,"",iCtryDataTable!K121)</f>
        <v>World Bank estimations and national census. Annual frequency.</v>
      </c>
      <c r="I9" s="175">
        <f ca="1">iCtryDataTable!J121</f>
        <v>780792.65384615387</v>
      </c>
      <c r="J9" s="116"/>
      <c r="K9" s="203"/>
      <c r="L9" s="116"/>
    </row>
    <row r="10" spans="1:12" ht="16.149999999999999" x14ac:dyDescent="0.3">
      <c r="A10" s="116"/>
      <c r="B10" s="171" t="str">
        <f>iCtryDataTable!D122</f>
        <v>Gross Domestic Product (GDP)</v>
      </c>
      <c r="C10" s="171"/>
      <c r="D10" s="171"/>
      <c r="E10" s="172" t="str">
        <f>iCtryDataTable!E122</f>
        <v>US$ (billions)</v>
      </c>
      <c r="F10" s="181">
        <f ca="1">iCtryDataTable!H122</f>
        <v>474.81200000000001</v>
      </c>
      <c r="G10" s="197">
        <v>4</v>
      </c>
      <c r="H10" s="174" t="str">
        <f ca="1">IF(iCtryDataTable!K122=0,"",iCtryDataTable!K122)</f>
        <v>International Monetary Fund data collection. Annual frequency.</v>
      </c>
      <c r="I10" s="176">
        <f ca="1">iCtryDataTable!J122</f>
        <v>221.75136756899582</v>
      </c>
      <c r="J10" s="116"/>
      <c r="K10" s="203"/>
      <c r="L10" s="116"/>
    </row>
    <row r="11" spans="1:12" ht="16.149999999999999" x14ac:dyDescent="0.3">
      <c r="A11" s="116"/>
      <c r="B11" s="171" t="str">
        <f>iCtryDataTable!D123</f>
        <v>GDP / capita</v>
      </c>
      <c r="C11" s="171"/>
      <c r="D11" s="171"/>
      <c r="E11" s="172" t="str">
        <f>iCtryDataTable!E123</f>
        <v>US$/capita</v>
      </c>
      <c r="F11" s="180">
        <f ca="1">iCtryDataTable!H123</f>
        <v>11547.898269965235</v>
      </c>
      <c r="G11" s="197">
        <v>5</v>
      </c>
      <c r="H11" s="174" t="str">
        <f ca="1">IF(iCtryDataTable!K123=0,"",iCtryDataTable!K123)</f>
        <v>Calculation</v>
      </c>
      <c r="I11" s="175">
        <f ca="1">iCtryDataTable!J123</f>
        <v>8532.9917157480086</v>
      </c>
      <c r="J11" s="116"/>
      <c r="K11" s="203"/>
      <c r="L11" s="116"/>
    </row>
    <row r="12" spans="1:12" ht="16.149999999999999" x14ac:dyDescent="0.3">
      <c r="A12" s="116"/>
      <c r="B12" s="171" t="str">
        <f>iCtryDataTable!D124</f>
        <v>Retail price diesel oil</v>
      </c>
      <c r="C12" s="171"/>
      <c r="D12" s="171"/>
      <c r="E12" s="172" t="str">
        <f>iCtryDataTable!E124</f>
        <v>US$/liter</v>
      </c>
      <c r="F12" s="181">
        <f ca="1">iCtryDataTable!H124</f>
        <v>1.2584342111729701</v>
      </c>
      <c r="G12" s="197">
        <v>6</v>
      </c>
      <c r="H12" s="174" t="str">
        <f ca="1">IF(iCtryDataTable!K124=0,"",iCtryDataTable!K124)</f>
        <v>Based on data extrapolation from years 2008-2011. Annual frequency.</v>
      </c>
      <c r="I12" s="176">
        <f ca="1">iCtryDataTable!J124</f>
        <v>1.2906070307007755</v>
      </c>
      <c r="J12" s="116"/>
      <c r="K12" s="203"/>
      <c r="L12" s="116"/>
    </row>
    <row r="13" spans="1:12" ht="16.149999999999999" x14ac:dyDescent="0.3">
      <c r="A13" s="116"/>
      <c r="B13" s="171" t="str">
        <f>iCtryDataTable!D125</f>
        <v>Retail price gasoline</v>
      </c>
      <c r="C13" s="171"/>
      <c r="D13" s="171"/>
      <c r="E13" s="172" t="str">
        <f>iCtryDataTable!E125</f>
        <v>US$/liter</v>
      </c>
      <c r="F13" s="181">
        <f ca="1">iCtryDataTable!H125</f>
        <v>1.4601380499469501</v>
      </c>
      <c r="G13" s="197"/>
      <c r="H13" s="174" t="str">
        <f ca="1">IF(iCtryDataTable!K125=0,"",iCtryDataTable!K125)</f>
        <v/>
      </c>
      <c r="I13" s="176">
        <f ca="1">iCtryDataTable!J125</f>
        <v>1.4124989549569273</v>
      </c>
      <c r="J13" s="116"/>
      <c r="K13" s="203"/>
      <c r="L13" s="116"/>
    </row>
    <row r="14" spans="1:12" ht="16.149999999999999" x14ac:dyDescent="0.3">
      <c r="A14" s="116"/>
      <c r="B14" s="171" t="str">
        <f>iCtryDataTable!D126</f>
        <v>Total vehicles / 1000 inhabitants</v>
      </c>
      <c r="C14" s="171"/>
      <c r="D14" s="171"/>
      <c r="E14" s="172" t="str">
        <f>iCtryDataTable!E126</f>
        <v>vehicles/1,000 inhabitants</v>
      </c>
      <c r="F14" s="179">
        <f ca="1">iCtryDataTable!H126</f>
        <v>279.12101799106381</v>
      </c>
      <c r="G14" s="197">
        <v>5</v>
      </c>
      <c r="H14" s="174" t="str">
        <f ca="1">IF(iCtryDataTable!K126=0,"",iCtryDataTable!K126)</f>
        <v>Calculation</v>
      </c>
      <c r="I14" s="173">
        <f ca="1">iCtryDataTable!J126</f>
        <v>222.31874076421022</v>
      </c>
      <c r="J14" s="116"/>
      <c r="K14" s="203"/>
      <c r="L14" s="116"/>
    </row>
    <row r="15" spans="1:12" ht="16.149999999999999" x14ac:dyDescent="0.3">
      <c r="A15" s="116"/>
      <c r="B15" s="171" t="str">
        <f>iCtryDataTable!D127</f>
        <v>Heavy vehicles / 1000 inhabitants</v>
      </c>
      <c r="C15" s="171"/>
      <c r="D15" s="171"/>
      <c r="E15" s="172" t="str">
        <f>iCtryDataTable!E127</f>
        <v>vehicles/1,000 inhabitants</v>
      </c>
      <c r="F15" s="181">
        <f ca="1">iCtryDataTable!H127</f>
        <v>14.433924318816475</v>
      </c>
      <c r="G15" s="197">
        <v>5</v>
      </c>
      <c r="H15" s="174" t="str">
        <f ca="1">IF(iCtryDataTable!K127=0,"",iCtryDataTable!K127)</f>
        <v>Calculation</v>
      </c>
      <c r="I15" s="176">
        <f ca="1">iCtryDataTable!J127</f>
        <v>18.034190187020382</v>
      </c>
      <c r="J15" s="116"/>
      <c r="K15" s="203"/>
      <c r="L15" s="116"/>
    </row>
    <row r="16" spans="1:12" ht="16.149999999999999" x14ac:dyDescent="0.3">
      <c r="A16" s="116"/>
      <c r="B16" s="171" t="str">
        <f>iCtryDataTable!D128</f>
        <v>Diesel oil consumption / capita</v>
      </c>
      <c r="C16" s="171"/>
      <c r="D16" s="171"/>
      <c r="E16" s="172" t="str">
        <f>iCtryDataTable!E128</f>
        <v>barrels/capita/year</v>
      </c>
      <c r="F16" s="181">
        <f ca="1">iCtryDataTable!H128</f>
        <v>1.7262951693696773</v>
      </c>
      <c r="G16" s="197">
        <v>5</v>
      </c>
      <c r="H16" s="174" t="str">
        <f ca="1">IF(iCtryDataTable!K128=0,"",iCtryDataTable!K128)</f>
        <v>Calculation</v>
      </c>
      <c r="I16" s="176">
        <f ca="1">iCtryDataTable!J128</f>
        <v>1.279786325415474</v>
      </c>
      <c r="J16" s="116"/>
      <c r="K16" s="203"/>
      <c r="L16" s="116"/>
    </row>
    <row r="17" spans="1:12" ht="16.149999999999999" x14ac:dyDescent="0.3">
      <c r="A17" s="116"/>
      <c r="B17" s="171" t="str">
        <f>iCtryDataTable!D129</f>
        <v>Gasoline consumption / capita</v>
      </c>
      <c r="C17" s="171"/>
      <c r="D17" s="171"/>
      <c r="E17" s="172" t="str">
        <f>iCtryDataTable!E129</f>
        <v>barrels/capita/year</v>
      </c>
      <c r="F17" s="181">
        <f ca="1">iCtryDataTable!H129</f>
        <v>0.93716973614594901</v>
      </c>
      <c r="G17" s="197">
        <v>5</v>
      </c>
      <c r="H17" s="174" t="str">
        <f ca="1">IF(iCtryDataTable!K129=0,"",iCtryDataTable!K129)</f>
        <v>Calculation</v>
      </c>
      <c r="I17" s="176">
        <f ca="1">iCtryDataTable!J129</f>
        <v>1.3243197832489668</v>
      </c>
      <c r="J17" s="116"/>
      <c r="K17" s="203"/>
      <c r="L17" s="116"/>
    </row>
    <row r="18" spans="1:12" ht="16.149999999999999" x14ac:dyDescent="0.3">
      <c r="A18" s="116"/>
      <c r="B18" s="171" t="str">
        <f>iCtryDataTable!D130</f>
        <v>Road density (area)</v>
      </c>
      <c r="C18" s="171"/>
      <c r="D18" s="171"/>
      <c r="E18" s="172" t="str">
        <f>iCtryDataTable!E130</f>
        <v>km/km2</v>
      </c>
      <c r="F18" s="182">
        <f ca="1">iCtryDataTable!H130</f>
        <v>0.22611586822039997</v>
      </c>
      <c r="G18" s="197">
        <v>5</v>
      </c>
      <c r="H18" s="174" t="str">
        <f ca="1">IF(iCtryDataTable!K130=0,"",iCtryDataTable!K130)</f>
        <v>Calculation</v>
      </c>
      <c r="I18" s="177">
        <f ca="1">iCtryDataTable!J130</f>
        <v>0.46121544543441956</v>
      </c>
      <c r="J18" s="116"/>
      <c r="K18" s="203"/>
      <c r="L18" s="116"/>
    </row>
    <row r="19" spans="1:12" ht="16.149999999999999" x14ac:dyDescent="0.3">
      <c r="A19" s="116"/>
      <c r="B19" s="171" t="str">
        <f>iCtryDataTable!D131</f>
        <v>Road density (population)</v>
      </c>
      <c r="C19" s="171"/>
      <c r="D19" s="171"/>
      <c r="E19" s="172" t="str">
        <f>iCtryDataTable!E131</f>
        <v>km/1,000 inhabitants</v>
      </c>
      <c r="F19" s="179">
        <f ca="1">iCtryDataTable!H131</f>
        <v>15.290425949563229</v>
      </c>
      <c r="G19" s="197">
        <v>5</v>
      </c>
      <c r="H19" s="174" t="str">
        <f ca="1">IF(iCtryDataTable!K131=0,"",iCtryDataTable!K131)</f>
        <v>Calculation</v>
      </c>
      <c r="I19" s="173">
        <f ca="1">iCtryDataTable!J131</f>
        <v>5.420711980726761</v>
      </c>
      <c r="J19" s="116"/>
      <c r="K19" s="203"/>
      <c r="L19" s="116"/>
    </row>
    <row r="20" spans="1:12" ht="24" customHeight="1" x14ac:dyDescent="0.3">
      <c r="A20" s="116"/>
      <c r="B20" s="116"/>
      <c r="C20" s="116"/>
      <c r="D20" s="116"/>
      <c r="E20" s="116"/>
      <c r="F20" s="116"/>
      <c r="G20" s="116"/>
      <c r="H20" s="116"/>
      <c r="I20" s="116"/>
      <c r="J20" s="116"/>
      <c r="K20" s="116"/>
      <c r="L20" s="116"/>
    </row>
    <row r="21" spans="1:12" s="52" customFormat="1" ht="22.5" customHeight="1" x14ac:dyDescent="0.3">
      <c r="A21" s="138"/>
      <c r="B21" s="205" t="str">
        <f>iCtryDataTable!D18</f>
        <v>ROAD TRANSPORTATION</v>
      </c>
      <c r="C21" s="205"/>
      <c r="D21" s="205"/>
      <c r="E21" s="205"/>
      <c r="F21" s="205"/>
      <c r="G21" s="205"/>
      <c r="H21" s="198"/>
      <c r="I21" s="116"/>
      <c r="J21" s="116"/>
      <c r="K21" s="192" t="str">
        <f>CONCATENATE(iCtryDataTable!$B$160,", ",iCtryDataTable!$B$161)</f>
        <v>Road network by road type, km</v>
      </c>
      <c r="L21" s="138"/>
    </row>
    <row r="22" spans="1:12" ht="16.149999999999999" x14ac:dyDescent="0.3">
      <c r="A22" s="116"/>
      <c r="B22" s="167" t="str">
        <f>iCtryDataTable!D40</f>
        <v>Domestic road freight productivity</v>
      </c>
      <c r="C22" s="167"/>
      <c r="D22" s="167"/>
      <c r="E22" s="168" t="str">
        <f>iCtryDataTable!E40</f>
        <v>million t-km</v>
      </c>
      <c r="F22" s="193">
        <f ca="1">iCtryDataTable!J40</f>
        <v>335105</v>
      </c>
      <c r="G22" s="197"/>
      <c r="H22" s="167" t="str">
        <f ca="1">IF(iCtryDataTable!K40=0,"",(iCtryDataTable!K40))</f>
        <v/>
      </c>
      <c r="I22" s="116"/>
      <c r="J22" s="116"/>
      <c r="K22" s="201"/>
      <c r="L22" s="116"/>
    </row>
    <row r="23" spans="1:12" ht="17.25" x14ac:dyDescent="0.25">
      <c r="A23" s="116"/>
      <c r="B23" s="167" t="str">
        <f>iCtryDataTable!D41</f>
        <v>Domestic road freight carried</v>
      </c>
      <c r="C23" s="167"/>
      <c r="D23" s="167"/>
      <c r="E23" s="168" t="str">
        <f>iCtryDataTable!E41</f>
        <v>tons</v>
      </c>
      <c r="F23" s="194">
        <f ca="1">iCtryDataTable!J41</f>
        <v>670211000</v>
      </c>
      <c r="G23" s="197"/>
      <c r="H23" s="167" t="str">
        <f ca="1">IF(iCtryDataTable!K41=0,"",(iCtryDataTable!K41))</f>
        <v/>
      </c>
      <c r="I23" s="116"/>
      <c r="J23" s="116"/>
      <c r="K23" s="53"/>
      <c r="L23" s="116"/>
    </row>
    <row r="24" spans="1:12" ht="17.25" x14ac:dyDescent="0.25">
      <c r="A24" s="116"/>
      <c r="B24" s="167" t="str">
        <f>iCtryDataTable!D28</f>
        <v>Fleet average age</v>
      </c>
      <c r="C24" s="167"/>
      <c r="D24" s="167"/>
      <c r="E24" s="168" t="str">
        <f>iCtryDataTable!E28</f>
        <v>years</v>
      </c>
      <c r="F24" s="194">
        <f ca="1">iCtryDataTable!J28</f>
        <v>13.4</v>
      </c>
      <c r="G24" s="197">
        <v>7</v>
      </c>
      <c r="H24" s="167" t="str">
        <f ca="1">IF(iCtryDataTable!K28=0,"",(iCtryDataTable!K28))</f>
        <v>Data corresponds to year 2005.</v>
      </c>
      <c r="I24" s="116"/>
      <c r="J24" s="116"/>
      <c r="K24" s="53"/>
      <c r="L24" s="116"/>
    </row>
    <row r="25" spans="1:12" ht="17.25" x14ac:dyDescent="0.25">
      <c r="A25" s="116"/>
      <c r="B25" s="167" t="str">
        <f>iCtryDataTable!D29</f>
        <v>Number of trailers</v>
      </c>
      <c r="C25" s="167"/>
      <c r="D25" s="167"/>
      <c r="E25" s="168" t="str">
        <f>iCtryDataTable!E29</f>
        <v>#</v>
      </c>
      <c r="F25" s="194">
        <f ca="1">iCtryDataTable!J29</f>
        <v>62578</v>
      </c>
      <c r="G25" s="197">
        <v>7</v>
      </c>
      <c r="H25" s="167" t="str">
        <f ca="1">IF(iCtryDataTable!K29=0,"",(iCtryDataTable!K29))</f>
        <v>Data corresponds to year 2005.</v>
      </c>
      <c r="I25" s="116"/>
      <c r="J25" s="116"/>
      <c r="K25" s="53"/>
      <c r="L25" s="116"/>
    </row>
    <row r="26" spans="1:12" ht="17.25" x14ac:dyDescent="0.25">
      <c r="A26" s="116"/>
      <c r="B26" s="167" t="str">
        <f>iCtryDataTable!D25</f>
        <v>Heavy vehicles</v>
      </c>
      <c r="C26" s="167"/>
      <c r="D26" s="167"/>
      <c r="E26" s="168" t="str">
        <f>iCtryDataTable!E25</f>
        <v># vehicles</v>
      </c>
      <c r="F26" s="194">
        <f ca="1">iCtryDataTable!J25</f>
        <v>593476</v>
      </c>
      <c r="G26" s="197">
        <v>8</v>
      </c>
      <c r="H26" s="167" t="str">
        <f ca="1">IF(iCtryDataTable!K25=0,"",(iCtryDataTable!K25))</f>
        <v>Data collected annually. Trucks do not include semitrailers.</v>
      </c>
      <c r="I26" s="116"/>
      <c r="J26" s="116"/>
      <c r="K26" s="53"/>
      <c r="L26" s="116"/>
    </row>
    <row r="27" spans="1:12" ht="17.25" x14ac:dyDescent="0.25">
      <c r="A27" s="116"/>
      <c r="B27" s="167" t="str">
        <f>iCtryDataTable!D45</f>
        <v>Empty hauls</v>
      </c>
      <c r="C27" s="167"/>
      <c r="D27" s="167"/>
      <c r="E27" s="168" t="str">
        <f>iCtryDataTable!E45</f>
        <v>%</v>
      </c>
      <c r="F27" s="194">
        <f ca="1">iCtryDataTable!J45</f>
        <v>54</v>
      </c>
      <c r="G27" s="197"/>
      <c r="H27" s="167" t="str">
        <f ca="1">IF(iCtryDataTable!K45=0,"",(iCtryDataTable!K45))</f>
        <v/>
      </c>
      <c r="I27" s="116"/>
      <c r="J27" s="116"/>
      <c r="K27" s="53"/>
      <c r="L27" s="116"/>
    </row>
    <row r="28" spans="1:12" ht="17.25" x14ac:dyDescent="0.25">
      <c r="A28" s="116"/>
      <c r="B28" s="167" t="str">
        <f>iCtryDataTable!D46</f>
        <v>Average road freight tariff</v>
      </c>
      <c r="C28" s="167"/>
      <c r="D28" s="167"/>
      <c r="E28" s="168" t="str">
        <f>iCtryDataTable!E46</f>
        <v>US$/t-km (40 ft cont)</v>
      </c>
      <c r="F28" s="195">
        <f ca="1">iCtryDataTable!J46</f>
        <v>0.10107135637760301</v>
      </c>
      <c r="G28" s="197">
        <v>9</v>
      </c>
      <c r="H28" s="167" t="str">
        <f ca="1">IF(iCtryDataTable!K46=0,"",(iCtryDataTable!K46))</f>
        <v>Transport rate from the port of Buenos Aires to the city of Zarate (150km)</v>
      </c>
      <c r="I28" s="116"/>
      <c r="J28" s="116"/>
      <c r="K28" s="53"/>
      <c r="L28" s="116"/>
    </row>
    <row r="29" spans="1:12" ht="17.25" x14ac:dyDescent="0.25">
      <c r="A29" s="116"/>
      <c r="B29" s="206" t="str">
        <f>iCtryDataTable!D34</f>
        <v>Direct employment surface transportation</v>
      </c>
      <c r="C29" s="206"/>
      <c r="D29" s="206"/>
      <c r="E29" s="207" t="str">
        <f>iCtryDataTable!E34</f>
        <v># of employees</v>
      </c>
      <c r="F29" s="196">
        <f ca="1">iCtryDataTable!J34</f>
        <v>500000</v>
      </c>
      <c r="G29" s="208"/>
      <c r="H29" s="50" t="str">
        <f ca="1">IF(iCtryDataTable!K34=0,"",(iCtryDataTable!K34))</f>
        <v/>
      </c>
      <c r="I29" s="116"/>
      <c r="J29" s="116"/>
      <c r="K29" s="53"/>
      <c r="L29" s="116"/>
    </row>
    <row r="30" spans="1:12" ht="22.5" customHeight="1" x14ac:dyDescent="0.25">
      <c r="A30" s="116"/>
      <c r="B30" s="205" t="str">
        <f>iCtryDataTable!D47</f>
        <v>RAILWAY TRANSPORTATION</v>
      </c>
      <c r="C30" s="205"/>
      <c r="D30" s="205"/>
      <c r="E30" s="205" t="str">
        <f>iCtryDataTable!E47</f>
        <v/>
      </c>
      <c r="F30" s="205" t="str">
        <f>iCtryDataTable!J47</f>
        <v/>
      </c>
      <c r="G30" s="205"/>
      <c r="H30" s="198"/>
      <c r="I30" s="116"/>
      <c r="J30" s="116" t="str">
        <f ca="1">IF(iCtryDataTable!K47=0,"",(iCtryDataTable!K47))</f>
        <v/>
      </c>
      <c r="K30" s="202"/>
      <c r="L30" s="116"/>
    </row>
    <row r="31" spans="1:12" ht="17.25" x14ac:dyDescent="0.25">
      <c r="A31" s="116"/>
      <c r="B31" s="167" t="str">
        <f>iCtryDataTable!D48</f>
        <v>Railway network</v>
      </c>
      <c r="C31" s="167"/>
      <c r="D31" s="167"/>
      <c r="E31" s="168" t="str">
        <f>iCtryDataTable!E48</f>
        <v>km</v>
      </c>
      <c r="F31" s="193">
        <f ca="1">iCtryDataTable!J48</f>
        <v>18181</v>
      </c>
      <c r="G31" s="197">
        <v>10</v>
      </c>
      <c r="H31" s="167" t="str">
        <f ca="1">IF(iCtryDataTable!K48=0,"",(iCtryDataTable!K48))</f>
        <v>Data corresponds to year 2011.</v>
      </c>
      <c r="I31" s="116"/>
      <c r="J31" s="116"/>
      <c r="L31" s="116"/>
    </row>
    <row r="32" spans="1:12" ht="17.25" x14ac:dyDescent="0.25">
      <c r="A32" s="116"/>
      <c r="B32" s="167" t="str">
        <f>iCtryDataTable!D51</f>
        <v>Total locomotives</v>
      </c>
      <c r="C32" s="167"/>
      <c r="D32" s="167"/>
      <c r="E32" s="168" t="str">
        <f>iCtryDataTable!E51</f>
        <v># locomotives</v>
      </c>
      <c r="F32" s="193">
        <f ca="1">iCtryDataTable!J51</f>
        <v>294</v>
      </c>
      <c r="G32" s="197"/>
      <c r="H32" s="167" t="str">
        <f ca="1">IF(iCtryDataTable!K51=0,"",(iCtryDataTable!K51))</f>
        <v/>
      </c>
      <c r="I32" s="116"/>
      <c r="J32" s="116"/>
      <c r="L32" s="116"/>
    </row>
    <row r="33" spans="1:12" ht="17.25" x14ac:dyDescent="0.25">
      <c r="A33" s="116"/>
      <c r="B33" s="167" t="str">
        <f>iCtryDataTable!D109</f>
        <v>Rail traffic density</v>
      </c>
      <c r="C33" s="167"/>
      <c r="D33" s="167"/>
      <c r="E33" s="168" t="str">
        <f>iCtryDataTable!E109</f>
        <v>million t-km/km</v>
      </c>
      <c r="F33" s="199">
        <f ca="1">iCtryDataTable!J109</f>
        <v>1.2118603481656672E-3</v>
      </c>
      <c r="G33" s="197">
        <v>5</v>
      </c>
      <c r="H33" s="167" t="str">
        <f ca="1">IF(iCtryDataTable!K109=0,"",(iCtryDataTable!K109))</f>
        <v>Calculation</v>
      </c>
      <c r="I33" s="116"/>
      <c r="J33" s="116"/>
      <c r="K33" s="116"/>
      <c r="L33" s="116"/>
    </row>
    <row r="34" spans="1:12" ht="17.25" x14ac:dyDescent="0.25">
      <c r="A34" s="116"/>
      <c r="B34" s="167" t="str">
        <f>iCtryDataTable!D61</f>
        <v>Rail freight -productivity</v>
      </c>
      <c r="C34" s="167"/>
      <c r="D34" s="167"/>
      <c r="E34" s="168" t="str">
        <f>iCtryDataTable!E61</f>
        <v>million t-km</v>
      </c>
      <c r="F34" s="193">
        <f ca="1">iCtryDataTable!J61</f>
        <v>10582.95994386</v>
      </c>
      <c r="G34" s="197">
        <v>11</v>
      </c>
      <c r="H34" s="167" t="str">
        <f ca="1">IF(iCtryDataTable!K61=0,"",(iCtryDataTable!K61))</f>
        <v>CNRT collects data from the companies annually.</v>
      </c>
      <c r="I34" s="116"/>
      <c r="J34" s="116"/>
      <c r="K34" s="192" t="str">
        <f>CONCATENATE(iCtryDataTable!$B$153,", ",iCtryDataTable!$B$154)</f>
        <v>Freight carried (domestic), million ton km</v>
      </c>
      <c r="L34" s="116"/>
    </row>
    <row r="35" spans="1:12" ht="17.25" x14ac:dyDescent="0.25">
      <c r="A35" s="116"/>
      <c r="B35" s="167" t="str">
        <f>iCtryDataTable!D62</f>
        <v>Total rail freight</v>
      </c>
      <c r="C35" s="167"/>
      <c r="D35" s="167"/>
      <c r="E35" s="168" t="str">
        <f>iCtryDataTable!E62</f>
        <v>tons</v>
      </c>
      <c r="F35" s="193">
        <f ca="1">iCtryDataTable!J62</f>
        <v>22032832.989999998</v>
      </c>
      <c r="G35" s="197">
        <v>11</v>
      </c>
      <c r="H35" s="167" t="str">
        <f ca="1">IF(iCtryDataTable!K62=0,"",(iCtryDataTable!K62))</f>
        <v>CNRT collects data from the companies annually.</v>
      </c>
      <c r="I35" s="116"/>
      <c r="J35" s="116"/>
      <c r="L35" s="116"/>
    </row>
    <row r="36" spans="1:12" ht="17.25" x14ac:dyDescent="0.25">
      <c r="A36" s="116"/>
      <c r="B36" s="206" t="str">
        <f>iCtryDataTable!D63</f>
        <v>Annual train engine producvity</v>
      </c>
      <c r="C36" s="206"/>
      <c r="D36" s="206"/>
      <c r="E36" s="207" t="str">
        <f>iCtryDataTable!E63</f>
        <v>t·km/year</v>
      </c>
      <c r="F36" s="196">
        <f ca="1">iCtryDataTable!J63</f>
        <v>35996462.3940816</v>
      </c>
      <c r="G36" s="208">
        <v>11</v>
      </c>
      <c r="H36" s="167" t="str">
        <f ca="1">IF(iCtryDataTable!K63=0,"",(iCtryDataTable!K63))</f>
        <v>CNRT collects data from the companies annually.</v>
      </c>
      <c r="I36" s="116"/>
      <c r="J36" s="116"/>
      <c r="K36" s="53"/>
      <c r="L36" s="116"/>
    </row>
    <row r="37" spans="1:12" ht="22.5" customHeight="1" x14ac:dyDescent="0.25">
      <c r="A37" s="116"/>
      <c r="B37" s="205" t="str">
        <f>iCtryDataTable!D66</f>
        <v xml:space="preserve">AIR TRANSPORTATION </v>
      </c>
      <c r="C37" s="205"/>
      <c r="D37" s="205"/>
      <c r="E37" s="205" t="str">
        <f>iCtryDataTable!E66</f>
        <v/>
      </c>
      <c r="F37" s="205" t="str">
        <f>iCtryDataTable!J66</f>
        <v/>
      </c>
      <c r="G37" s="205"/>
      <c r="H37" s="198"/>
      <c r="I37" s="116"/>
      <c r="J37" s="116" t="str">
        <f ca="1">IF(iCtryDataTable!K66=0,"",(iCtryDataTable!K66))</f>
        <v/>
      </c>
      <c r="L37" s="116"/>
    </row>
    <row r="38" spans="1:12" ht="17.25" x14ac:dyDescent="0.25">
      <c r="A38" s="116"/>
      <c r="B38" s="167" t="str">
        <f>iCtryDataTable!D67</f>
        <v>International airports with cargo terminal facilities</v>
      </c>
      <c r="C38" s="167"/>
      <c r="D38" s="167"/>
      <c r="E38" s="168" t="str">
        <f>iCtryDataTable!E67</f>
        <v># airports</v>
      </c>
      <c r="F38" s="193">
        <f ca="1">iCtryDataTable!J67</f>
        <v>18</v>
      </c>
      <c r="G38" s="197">
        <v>12</v>
      </c>
      <c r="H38" s="167" t="str">
        <f ca="1">IF(iCtryDataTable!K67=0,"",(iCtryDataTable!K67))</f>
        <v>M Pistarini, Comodoro R Salomon, El Calafate, Formosa, E Mosconi, T. Noel, F. Gabrielli, Guzman, N. Fernandez, Gral S Martin, Pte Peron, Taravella, Resistencia, Islas Malvinas, M. de Guemes, Matienzo, Ushuaia, J Newbery</v>
      </c>
      <c r="I38" s="116"/>
      <c r="J38" s="116"/>
      <c r="K38" s="53"/>
      <c r="L38" s="116"/>
    </row>
    <row r="39" spans="1:12" ht="17.25" x14ac:dyDescent="0.25">
      <c r="A39" s="116"/>
      <c r="B39" s="167" t="str">
        <f>iCtryDataTable!D71</f>
        <v>Domestic air freight</v>
      </c>
      <c r="C39" s="167"/>
      <c r="D39" s="167"/>
      <c r="E39" s="168" t="str">
        <f>iCtryDataTable!E71</f>
        <v>tons</v>
      </c>
      <c r="F39" s="193">
        <f ca="1">iCtryDataTable!J71</f>
        <v>9901.2800000000007</v>
      </c>
      <c r="G39" s="197">
        <v>13</v>
      </c>
      <c r="H39" s="167" t="str">
        <f ca="1">IF(iCtryDataTable!K71=0,"",(iCtryDataTable!K71))</f>
        <v>INDEC collects the data annually.</v>
      </c>
      <c r="I39" s="116"/>
      <c r="J39" s="116"/>
      <c r="K39" s="53"/>
      <c r="L39" s="116"/>
    </row>
    <row r="40" spans="1:12" ht="17.25" x14ac:dyDescent="0.25">
      <c r="A40" s="116"/>
      <c r="B40" s="206" t="str">
        <f>iCtryDataTable!D72</f>
        <v>International air freight</v>
      </c>
      <c r="C40" s="206"/>
      <c r="D40" s="206"/>
      <c r="E40" s="207" t="str">
        <f>iCtryDataTable!E72</f>
        <v>tons</v>
      </c>
      <c r="F40" s="196">
        <f ca="1">iCtryDataTable!J72</f>
        <v>245748.56</v>
      </c>
      <c r="G40" s="208">
        <v>13</v>
      </c>
      <c r="H40" s="167" t="str">
        <f ca="1">IF(iCtryDataTable!K72=0,"",(iCtryDataTable!K72))</f>
        <v>INDEC collects the data annually.</v>
      </c>
      <c r="I40" s="116"/>
      <c r="J40" s="116"/>
      <c r="K40" s="53"/>
      <c r="L40" s="116"/>
    </row>
    <row r="41" spans="1:12" ht="22.5" customHeight="1" x14ac:dyDescent="0.25">
      <c r="A41" s="116"/>
      <c r="B41" s="205" t="str">
        <f>iCtryDataTable!D74</f>
        <v xml:space="preserve">WATER TRANSPORTATION </v>
      </c>
      <c r="C41" s="205"/>
      <c r="D41" s="205"/>
      <c r="E41" s="205" t="str">
        <f>iCtryDataTable!E74</f>
        <v/>
      </c>
      <c r="F41" s="205" t="str">
        <f>iCtryDataTable!J74</f>
        <v/>
      </c>
      <c r="G41" s="205"/>
      <c r="H41" s="198"/>
      <c r="I41" s="116"/>
      <c r="J41" s="116" t="str">
        <f ca="1">IF(iCtryDataTable!K74=0,"",(iCtryDataTable!K74))</f>
        <v/>
      </c>
      <c r="K41" s="202"/>
      <c r="L41" s="116"/>
    </row>
    <row r="42" spans="1:12" ht="17.25" x14ac:dyDescent="0.25">
      <c r="A42" s="116"/>
      <c r="B42" s="167" t="str">
        <f>iCtryDataTable!D84</f>
        <v>Port container traffic</v>
      </c>
      <c r="C42" s="167"/>
      <c r="D42" s="167"/>
      <c r="E42" s="168" t="str">
        <f>iCtryDataTable!E84</f>
        <v>TEU</v>
      </c>
      <c r="F42" s="193">
        <f ca="1">iCtryDataTable!J84</f>
        <v>1852160</v>
      </c>
      <c r="G42" s="197"/>
      <c r="H42" s="167" t="str">
        <f ca="1">IF(iCtryDataTable!K84=0,"",(iCtryDataTable!K84))</f>
        <v/>
      </c>
      <c r="I42" s="116"/>
      <c r="J42" s="116"/>
      <c r="K42" s="53"/>
      <c r="L42" s="116"/>
    </row>
    <row r="43" spans="1:12" ht="17.25" x14ac:dyDescent="0.25">
      <c r="A43" s="116"/>
      <c r="B43" s="167" t="str">
        <f>iCtryDataTable!D75</f>
        <v>Maximum draft in container terminal</v>
      </c>
      <c r="C43" s="167"/>
      <c r="D43" s="167"/>
      <c r="E43" s="168" t="str">
        <f>iCtryDataTable!E75</f>
        <v>feet</v>
      </c>
      <c r="F43" s="193">
        <f ca="1">iCtryDataTable!J75</f>
        <v>32.808398950131199</v>
      </c>
      <c r="G43" s="197">
        <v>14</v>
      </c>
      <c r="H43" s="167" t="str">
        <f ca="1">IF(iCtryDataTable!K75=0,"",(iCtryDataTable!K75))</f>
        <v>Port of Buenos Aires.</v>
      </c>
      <c r="I43" s="116"/>
      <c r="J43" s="116"/>
      <c r="K43" s="53"/>
      <c r="L43" s="116"/>
    </row>
    <row r="44" spans="1:12" ht="17.25" x14ac:dyDescent="0.25">
      <c r="A44" s="116"/>
      <c r="B44" s="167" t="str">
        <f>iCtryDataTable!D81</f>
        <v>Exports port traffic</v>
      </c>
      <c r="C44" s="167"/>
      <c r="D44" s="167"/>
      <c r="E44" s="168" t="str">
        <f>iCtryDataTable!E81</f>
        <v>tons</v>
      </c>
      <c r="F44" s="193">
        <f ca="1">iCtryDataTable!J81</f>
        <v>94187195.261287004</v>
      </c>
      <c r="G44" s="197"/>
      <c r="H44" s="167" t="str">
        <f ca="1">IF(iCtryDataTable!K81=0,"",(iCtryDataTable!K81))</f>
        <v/>
      </c>
      <c r="I44" s="116"/>
      <c r="J44" s="116"/>
      <c r="K44" s="53"/>
      <c r="L44" s="116"/>
    </row>
    <row r="45" spans="1:12" ht="17.25" x14ac:dyDescent="0.25">
      <c r="A45" s="116"/>
      <c r="B45" s="167" t="str">
        <f>iCtryDataTable!D82</f>
        <v>Imports port traffic</v>
      </c>
      <c r="C45" s="167"/>
      <c r="D45" s="167"/>
      <c r="E45" s="168" t="str">
        <f>iCtryDataTable!E82</f>
        <v>tons</v>
      </c>
      <c r="F45" s="193">
        <f ca="1">iCtryDataTable!J82</f>
        <v>36662289.182351999</v>
      </c>
      <c r="G45" s="197"/>
      <c r="H45" s="167" t="str">
        <f ca="1">IF(iCtryDataTable!K82=0,"",(iCtryDataTable!K82))</f>
        <v/>
      </c>
      <c r="I45" s="116"/>
      <c r="J45" s="116"/>
      <c r="K45" s="53"/>
      <c r="L45" s="116"/>
    </row>
    <row r="46" spans="1:12" ht="17.25" x14ac:dyDescent="0.25">
      <c r="A46" s="116"/>
      <c r="B46" s="167" t="str">
        <f>iCtryDataTable!D88</f>
        <v>Liner shipping connectivity index</v>
      </c>
      <c r="C46" s="167"/>
      <c r="D46" s="167"/>
      <c r="E46" s="168" t="str">
        <f>iCtryDataTable!E88</f>
        <v>2004=100</v>
      </c>
      <c r="F46" s="193">
        <f ca="1">iCtryDataTable!J88</f>
        <v>34.208993786699999</v>
      </c>
      <c r="G46" s="197">
        <v>15</v>
      </c>
      <c r="H46" s="167" t="str">
        <f ca="1">IF(iCtryDataTable!K88=0,"",(iCtryDataTable!K88))</f>
        <v>UNCTAD calculates the index annually.</v>
      </c>
      <c r="I46" s="116"/>
      <c r="J46" s="116"/>
      <c r="K46" s="53"/>
      <c r="L46" s="116"/>
    </row>
    <row r="47" spans="1:12" ht="17.25" customHeight="1" x14ac:dyDescent="0.25">
      <c r="A47" s="116"/>
      <c r="B47" s="116"/>
      <c r="C47" s="116"/>
      <c r="D47" s="116"/>
      <c r="E47" s="116"/>
      <c r="F47" s="116"/>
      <c r="G47" s="116"/>
      <c r="H47" s="116"/>
      <c r="I47" s="116"/>
      <c r="J47" s="116"/>
      <c r="K47" s="116"/>
      <c r="L47" s="116"/>
    </row>
    <row r="48" spans="1:12" x14ac:dyDescent="0.25">
      <c r="A48" s="116"/>
      <c r="B48" s="200" t="s">
        <v>3523</v>
      </c>
      <c r="C48" s="116"/>
      <c r="D48" s="116"/>
      <c r="E48" s="116"/>
      <c r="F48" s="116"/>
      <c r="G48" s="116"/>
      <c r="H48" s="116"/>
      <c r="I48" s="116"/>
      <c r="J48" s="116"/>
      <c r="K48" s="116"/>
      <c r="L48" s="116"/>
    </row>
    <row r="49" spans="1:12" x14ac:dyDescent="0.25">
      <c r="A49" s="116"/>
      <c r="B49" s="200" t="s">
        <v>3524</v>
      </c>
      <c r="C49" s="116"/>
      <c r="D49" s="116"/>
      <c r="E49" s="116"/>
      <c r="F49" s="116"/>
      <c r="G49" s="116"/>
      <c r="H49" s="116"/>
      <c r="I49" s="116"/>
      <c r="J49" s="116"/>
      <c r="K49" s="116"/>
      <c r="L49" s="116"/>
    </row>
    <row r="50" spans="1:12" x14ac:dyDescent="0.25">
      <c r="A50" s="116"/>
      <c r="B50" s="200" t="s">
        <v>3525</v>
      </c>
      <c r="C50" s="116"/>
      <c r="D50" s="116"/>
      <c r="E50" s="116"/>
      <c r="F50" s="116"/>
      <c r="G50" s="116"/>
      <c r="H50" s="116"/>
      <c r="I50" s="116"/>
      <c r="J50" s="116"/>
      <c r="K50" s="116"/>
      <c r="L50" s="116"/>
    </row>
    <row r="51" spans="1:12" x14ac:dyDescent="0.25">
      <c r="A51" s="116"/>
      <c r="B51" s="200" t="s">
        <v>3526</v>
      </c>
      <c r="C51" s="116"/>
      <c r="D51" s="116"/>
      <c r="E51" s="116"/>
      <c r="F51" s="116"/>
      <c r="G51" s="116"/>
      <c r="H51" s="116"/>
      <c r="I51" s="116"/>
      <c r="J51" s="116"/>
      <c r="K51" s="116"/>
      <c r="L51" s="116"/>
    </row>
    <row r="52" spans="1:12" x14ac:dyDescent="0.25">
      <c r="A52" s="116"/>
      <c r="B52" s="200" t="s">
        <v>3527</v>
      </c>
      <c r="C52" s="116"/>
      <c r="D52" s="116"/>
      <c r="E52" s="116"/>
      <c r="F52" s="116"/>
      <c r="G52" s="116"/>
      <c r="H52" s="116"/>
      <c r="I52" s="116"/>
      <c r="J52" s="116"/>
      <c r="K52" s="116"/>
      <c r="L52" s="116"/>
    </row>
    <row r="53" spans="1:12" x14ac:dyDescent="0.25">
      <c r="A53" s="116"/>
      <c r="B53" s="200" t="s">
        <v>3528</v>
      </c>
      <c r="C53" s="116"/>
      <c r="D53" s="116"/>
      <c r="E53" s="116"/>
      <c r="F53" s="116"/>
      <c r="G53" s="116"/>
      <c r="H53" s="116"/>
      <c r="I53" s="116"/>
      <c r="J53" s="116"/>
      <c r="K53" s="116"/>
      <c r="L53" s="116"/>
    </row>
    <row r="54" spans="1:12" x14ac:dyDescent="0.25">
      <c r="A54" s="116"/>
      <c r="B54" s="200" t="s">
        <v>3529</v>
      </c>
      <c r="C54" s="116"/>
      <c r="D54" s="116"/>
      <c r="E54" s="116"/>
      <c r="F54" s="116"/>
      <c r="G54" s="116"/>
      <c r="H54" s="116"/>
      <c r="I54" s="116"/>
      <c r="J54" s="116"/>
      <c r="K54" s="116"/>
      <c r="L54" s="116"/>
    </row>
    <row r="55" spans="1:12" x14ac:dyDescent="0.25">
      <c r="A55" s="116"/>
      <c r="B55" s="200" t="s">
        <v>3530</v>
      </c>
      <c r="C55" s="116"/>
      <c r="D55" s="116"/>
      <c r="E55" s="116"/>
      <c r="F55" s="116"/>
      <c r="G55" s="116"/>
      <c r="H55" s="116"/>
      <c r="I55" s="116"/>
      <c r="J55" s="116"/>
      <c r="K55" s="116"/>
      <c r="L55" s="116"/>
    </row>
    <row r="56" spans="1:12" x14ac:dyDescent="0.25">
      <c r="A56" s="116"/>
      <c r="B56" s="200" t="s">
        <v>3531</v>
      </c>
      <c r="C56" s="116"/>
      <c r="D56" s="116"/>
      <c r="E56" s="116"/>
      <c r="F56" s="116"/>
      <c r="G56" s="116"/>
      <c r="H56" s="116"/>
      <c r="I56" s="116"/>
      <c r="J56" s="116"/>
      <c r="K56" s="116"/>
      <c r="L56" s="116"/>
    </row>
    <row r="57" spans="1:12" x14ac:dyDescent="0.25">
      <c r="A57" s="116"/>
      <c r="B57" s="200" t="s">
        <v>3532</v>
      </c>
      <c r="C57" s="116"/>
      <c r="D57" s="116"/>
      <c r="E57" s="116"/>
      <c r="F57" s="116"/>
      <c r="G57" s="116"/>
      <c r="H57" s="116"/>
      <c r="I57" s="116"/>
      <c r="J57" s="116"/>
      <c r="K57" s="116"/>
      <c r="L57" s="116"/>
    </row>
    <row r="58" spans="1:12" x14ac:dyDescent="0.25">
      <c r="A58" s="116"/>
      <c r="B58" s="200" t="s">
        <v>3533</v>
      </c>
      <c r="C58" s="116"/>
      <c r="D58" s="116"/>
      <c r="E58" s="116"/>
      <c r="F58" s="116"/>
      <c r="G58" s="116"/>
      <c r="H58" s="116"/>
      <c r="I58" s="116"/>
      <c r="J58" s="116"/>
      <c r="K58" s="116"/>
      <c r="L58" s="116"/>
    </row>
    <row r="59" spans="1:12" x14ac:dyDescent="0.25">
      <c r="A59" s="116"/>
      <c r="B59" s="200" t="s">
        <v>3534</v>
      </c>
      <c r="C59" s="116"/>
      <c r="D59" s="116"/>
      <c r="E59" s="116"/>
      <c r="F59" s="116"/>
      <c r="G59" s="116"/>
      <c r="H59" s="116"/>
      <c r="I59" s="116"/>
      <c r="J59" s="116"/>
      <c r="K59" s="116"/>
      <c r="L59" s="116"/>
    </row>
    <row r="60" spans="1:12" x14ac:dyDescent="0.25">
      <c r="A60" s="116"/>
      <c r="B60" s="200" t="s">
        <v>3535</v>
      </c>
      <c r="C60" s="116"/>
      <c r="D60" s="116"/>
      <c r="E60" s="116"/>
      <c r="F60" s="116"/>
      <c r="G60" s="116"/>
      <c r="H60" s="116"/>
      <c r="I60" s="116"/>
      <c r="J60" s="116"/>
      <c r="K60" s="116"/>
      <c r="L60" s="116"/>
    </row>
    <row r="61" spans="1:12" x14ac:dyDescent="0.25">
      <c r="A61" s="116"/>
      <c r="B61" s="200" t="s">
        <v>3536</v>
      </c>
      <c r="C61" s="116"/>
      <c r="D61" s="116"/>
      <c r="E61" s="116"/>
      <c r="F61" s="116"/>
      <c r="G61" s="116"/>
      <c r="H61" s="116"/>
      <c r="I61" s="116"/>
      <c r="J61" s="116"/>
      <c r="K61" s="116"/>
      <c r="L61" s="116"/>
    </row>
    <row r="62" spans="1:12" x14ac:dyDescent="0.25">
      <c r="A62" s="116"/>
      <c r="B62" s="200" t="s">
        <v>3537</v>
      </c>
      <c r="C62" s="116"/>
      <c r="D62" s="116"/>
      <c r="E62" s="116"/>
      <c r="F62" s="116"/>
      <c r="G62" s="116"/>
      <c r="H62" s="116"/>
      <c r="I62" s="116"/>
      <c r="J62" s="116"/>
      <c r="K62" s="116"/>
      <c r="L62" s="116"/>
    </row>
    <row r="63" spans="1:12" x14ac:dyDescent="0.25">
      <c r="A63" s="116"/>
      <c r="B63" s="200"/>
      <c r="C63" s="116"/>
      <c r="D63" s="116"/>
      <c r="E63" s="116"/>
      <c r="F63" s="116"/>
      <c r="G63" s="116"/>
      <c r="H63" s="116"/>
      <c r="I63" s="116"/>
      <c r="J63" s="116"/>
      <c r="K63" s="116"/>
      <c r="L63" s="116"/>
    </row>
  </sheetData>
  <sheetProtection sheet="1" objects="1" scenarios="1"/>
  <phoneticPr fontId="12" type="noConversion"/>
  <pageMargins left="0.70866141732283472" right="0.70866141732283472" top="0.74803149606299213" bottom="0.74803149606299213" header="0.31496062992125984" footer="0.31496062992125984"/>
  <pageSetup scale="58" orientation="portrait" r:id="rId1"/>
  <headerFooter>
    <oddHeader>&amp;LFreight Transport and Logistics Yearbook 2014, IDB</oddHeader>
    <oddFooter>&amp;LFreight Transport and Logistics Regional Observatory</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29057" r:id="rId4" name="Drop Down 1">
              <controlPr defaultSize="0" autoLine="0" autoPict="0" macro="[0]!Country_Summary_Country_Change">
                <anchor moveWithCells="1">
                  <from>
                    <xdr:col>2</xdr:col>
                    <xdr:colOff>276225</xdr:colOff>
                    <xdr:row>1</xdr:row>
                    <xdr:rowOff>28575</xdr:rowOff>
                  </from>
                  <to>
                    <xdr:col>4</xdr:col>
                    <xdr:colOff>171450</xdr:colOff>
                    <xdr:row>1</xdr:row>
                    <xdr:rowOff>190500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L113"/>
  <sheetViews>
    <sheetView showGridLines="0" showRowColHeaders="0" workbookViewId="0">
      <pane ySplit="6" topLeftCell="A7" activePane="bottomLeft" state="frozen"/>
      <selection activeCell="O14" sqref="O13:O14"/>
      <selection pane="bottomLeft"/>
    </sheetView>
  </sheetViews>
  <sheetFormatPr defaultColWidth="9.140625" defaultRowHeight="15" x14ac:dyDescent="0.25"/>
  <cols>
    <col min="1" max="1" width="1.28515625" customWidth="1"/>
    <col min="2" max="3" width="3.85546875" hidden="1" customWidth="1"/>
    <col min="4" max="4" width="4.42578125" hidden="1" customWidth="1"/>
    <col min="5" max="5" width="46.7109375" bestFit="1" customWidth="1"/>
    <col min="6" max="6" width="26.7109375" bestFit="1" customWidth="1"/>
    <col min="7" max="7" width="16.5703125" style="40" customWidth="1"/>
    <col min="8" max="8" width="2.7109375" style="40" customWidth="1"/>
    <col min="9" max="9" width="47.5703125" customWidth="1"/>
    <col min="10" max="10" width="1.85546875" customWidth="1"/>
    <col min="11" max="11" width="50.7109375" customWidth="1"/>
    <col min="12" max="12" width="1.42578125" customWidth="1"/>
  </cols>
  <sheetData>
    <row r="1" spans="1:12" ht="29.1" customHeight="1" x14ac:dyDescent="0.3">
      <c r="A1" s="127" t="str">
        <f>UPPER(tblText!$A$16)</f>
        <v>COUNTRY DATASHEET</v>
      </c>
      <c r="B1" s="127"/>
      <c r="C1" s="127"/>
      <c r="D1" s="127"/>
      <c r="E1" s="127"/>
      <c r="F1" s="127"/>
      <c r="G1" s="127"/>
      <c r="H1" s="127"/>
      <c r="I1" s="127"/>
      <c r="J1" s="127"/>
      <c r="K1" s="127"/>
      <c r="L1" s="127"/>
    </row>
    <row r="2" spans="1:12" ht="22.5" customHeight="1" x14ac:dyDescent="0.3">
      <c r="A2" s="124"/>
      <c r="B2" s="124"/>
      <c r="C2" s="124"/>
      <c r="D2" s="124"/>
      <c r="E2" s="124" t="str">
        <f>UPPER(tblText!$A$24)</f>
        <v>SELECT COUNTRY</v>
      </c>
      <c r="F2" s="124"/>
      <c r="G2" s="124"/>
      <c r="H2" s="124"/>
      <c r="I2" s="124"/>
      <c r="J2" s="124"/>
      <c r="K2" s="124"/>
      <c r="L2" s="124"/>
    </row>
    <row r="3" spans="1:12" ht="9.75" customHeight="1" x14ac:dyDescent="0.3">
      <c r="A3" s="116"/>
      <c r="B3" s="116"/>
      <c r="C3" s="116"/>
      <c r="D3" s="116"/>
      <c r="E3" s="116"/>
      <c r="F3" s="116"/>
      <c r="G3" s="116"/>
      <c r="H3" s="116"/>
      <c r="I3" s="116"/>
      <c r="J3" s="116"/>
      <c r="K3" s="116"/>
      <c r="L3" s="116"/>
    </row>
    <row r="4" spans="1:12" ht="31.15" x14ac:dyDescent="0.6">
      <c r="A4" s="116"/>
      <c r="E4" s="149" t="str">
        <f>iCtryDataTable!$D$2</f>
        <v>Argentina</v>
      </c>
      <c r="F4" s="146"/>
      <c r="G4" s="147"/>
      <c r="H4" s="147"/>
      <c r="I4" s="146"/>
      <c r="J4" s="146"/>
      <c r="K4" s="146"/>
      <c r="L4" s="116"/>
    </row>
    <row r="5" spans="1:12" ht="14.45" x14ac:dyDescent="0.3">
      <c r="A5" s="116"/>
      <c r="B5" s="116"/>
      <c r="C5" s="116"/>
      <c r="D5" s="116"/>
      <c r="E5" s="116"/>
      <c r="F5" s="116"/>
      <c r="G5" s="116"/>
      <c r="H5" s="116"/>
      <c r="I5" s="116"/>
      <c r="J5" s="116"/>
      <c r="K5" s="116"/>
      <c r="L5" s="116"/>
    </row>
    <row r="6" spans="1:12" ht="15.95" customHeight="1" x14ac:dyDescent="0.3">
      <c r="A6" s="116"/>
      <c r="E6" s="249" t="str">
        <f>tblText!$A$46</f>
        <v>Indicator</v>
      </c>
      <c r="F6" s="249" t="str">
        <f>tblText!$A$45</f>
        <v>Unit</v>
      </c>
      <c r="G6" s="152"/>
      <c r="H6" s="144"/>
      <c r="I6" s="249" t="str">
        <f>tblText!$A$42</f>
        <v>Source</v>
      </c>
      <c r="J6" s="249"/>
      <c r="K6" s="249" t="str">
        <f>tblText!$A$43</f>
        <v>Notes</v>
      </c>
      <c r="L6" s="116"/>
    </row>
    <row r="7" spans="1:12" ht="33" customHeight="1" x14ac:dyDescent="0.3">
      <c r="A7" s="116"/>
      <c r="B7">
        <f>iCtryDataTable!C6</f>
        <v>0</v>
      </c>
      <c r="C7" t="str">
        <f>iCtryDataTable!G6</f>
        <v/>
      </c>
      <c r="D7" s="1" t="str">
        <f>IF(OR(C7=0,C7=""),"#,##0",CONCATENATE("#,##0.",REPT("0",C7)))</f>
        <v>#,##0</v>
      </c>
      <c r="E7" s="224" t="str">
        <f>iCtryDataTable!D6</f>
        <v>GENERAL INDICATORS</v>
      </c>
      <c r="F7" s="151" t="str">
        <f>iCtryDataTable!E6</f>
        <v/>
      </c>
      <c r="G7" s="153" t="str">
        <f>iCtryDataTable!J6</f>
        <v/>
      </c>
      <c r="H7" s="151"/>
      <c r="I7" s="151" t="str">
        <f ca="1">iCtryDataTable!L6</f>
        <v/>
      </c>
      <c r="J7" s="151"/>
      <c r="K7" s="151" t="str">
        <f ca="1">IF(iCtryDataTable!K6=0,"",(iCtryDataTable!K6))</f>
        <v/>
      </c>
      <c r="L7" s="116"/>
    </row>
    <row r="8" spans="1:12" ht="27.6" customHeight="1" x14ac:dyDescent="0.3">
      <c r="A8" s="116"/>
      <c r="B8">
        <f>iCtryDataTable!C7</f>
        <v>1</v>
      </c>
      <c r="C8">
        <f>iCtryDataTable!G7</f>
        <v>2</v>
      </c>
      <c r="D8" s="1" t="str">
        <f t="shared" ref="D8:D71" si="0">IF(OR(C8=0,C8=""),"#,##0",CONCATENATE("#,##0.",REPT("0",C8)))</f>
        <v>#,##0.00</v>
      </c>
      <c r="E8" s="216" t="str">
        <f>iCtryDataTable!D7</f>
        <v>Transport sector  % GDP</v>
      </c>
      <c r="F8" s="217" t="str">
        <f>iCtryDataTable!E7</f>
        <v>%</v>
      </c>
      <c r="G8" s="218">
        <f ca="1">iCtryDataTable!J7</f>
        <v>7.2048221837913999</v>
      </c>
      <c r="H8" s="140"/>
      <c r="I8" s="150" t="str">
        <f ca="1">iCtryDataTable!L7</f>
        <v>Instituto Nacional de Estadística y Censos (INDEC)</v>
      </c>
      <c r="J8" s="150"/>
      <c r="K8" s="150" t="str">
        <f ca="1">IF(iCtryDataTable!K7=0,"",(iCtryDataTable!K7))</f>
        <v>National Accounts methods.  Annual frequency. ISIC I.</v>
      </c>
      <c r="L8" s="116"/>
    </row>
    <row r="9" spans="1:12" ht="39.6" customHeight="1" x14ac:dyDescent="0.3">
      <c r="A9" s="116"/>
      <c r="B9">
        <f>iCtryDataTable!C8</f>
        <v>1</v>
      </c>
      <c r="C9">
        <f>iCtryDataTable!G8</f>
        <v>1</v>
      </c>
      <c r="D9" s="1" t="str">
        <f t="shared" si="0"/>
        <v>#,##0.0</v>
      </c>
      <c r="E9" s="216" t="str">
        <f>iCtryDataTable!D8</f>
        <v>Population</v>
      </c>
      <c r="F9" s="217" t="str">
        <f>iCtryDataTable!E8</f>
        <v>millions</v>
      </c>
      <c r="G9" s="219">
        <f ca="1">iCtryDataTable!J8</f>
        <v>41.116745999999999</v>
      </c>
      <c r="H9" s="141"/>
      <c r="I9" s="150" t="str">
        <f ca="1">iCtryDataTable!L8</f>
        <v>Indicadores de Desarrollo Mundial (WDI)</v>
      </c>
      <c r="J9" s="150"/>
      <c r="K9" s="150" t="str">
        <f ca="1">IF(iCtryDataTable!K8=0,"",(iCtryDataTable!K8))</f>
        <v>Based on data extrapolation from years 2008-2011. World Bank estimations and national census.  Annual frequency.</v>
      </c>
      <c r="L9" s="116"/>
    </row>
    <row r="10" spans="1:12" ht="39.6" customHeight="1" x14ac:dyDescent="0.3">
      <c r="A10" s="116"/>
      <c r="B10">
        <f>iCtryDataTable!C9</f>
        <v>1</v>
      </c>
      <c r="C10">
        <f>iCtryDataTable!G9</f>
        <v>0</v>
      </c>
      <c r="D10" s="1" t="str">
        <f t="shared" si="0"/>
        <v>#,##0</v>
      </c>
      <c r="E10" s="216" t="str">
        <f>iCtryDataTable!D9</f>
        <v>Land area</v>
      </c>
      <c r="F10" s="217" t="str">
        <f>iCtryDataTable!E9</f>
        <v>sq km</v>
      </c>
      <c r="G10" s="220">
        <f ca="1">iCtryDataTable!J9</f>
        <v>2780400</v>
      </c>
      <c r="H10" s="142"/>
      <c r="I10" s="150" t="str">
        <f ca="1">iCtryDataTable!L9</f>
        <v>Indicadores de Desarrollo Mundial (WDI)</v>
      </c>
      <c r="J10" s="150"/>
      <c r="K10" s="150" t="str">
        <f ca="1">IF(iCtryDataTable!K9=0,"",(iCtryDataTable!K9))</f>
        <v>World Bank estimations and national census. Annual frequency.</v>
      </c>
      <c r="L10" s="116"/>
    </row>
    <row r="11" spans="1:12" ht="39.6" customHeight="1" x14ac:dyDescent="0.3">
      <c r="A11" s="116"/>
      <c r="B11">
        <f>iCtryDataTable!C10</f>
        <v>1</v>
      </c>
      <c r="C11">
        <f>iCtryDataTable!G10</f>
        <v>1</v>
      </c>
      <c r="D11" s="1" t="str">
        <f t="shared" si="0"/>
        <v>#,##0.0</v>
      </c>
      <c r="E11" s="216" t="str">
        <f>iCtryDataTable!D10</f>
        <v>Gross Domestic Product (GDP)</v>
      </c>
      <c r="F11" s="217" t="str">
        <f>iCtryDataTable!E10</f>
        <v>US$ (billions)</v>
      </c>
      <c r="G11" s="219">
        <f ca="1">iCtryDataTable!J10</f>
        <v>474.81200000000001</v>
      </c>
      <c r="H11" s="141"/>
      <c r="I11" s="150" t="str">
        <f ca="1">iCtryDataTable!L10</f>
        <v>Fondo Monetario Internacional (FMI)</v>
      </c>
      <c r="J11" s="150"/>
      <c r="K11" s="150" t="str">
        <f ca="1">IF(iCtryDataTable!K10=0,"",(iCtryDataTable!K10))</f>
        <v>International Monetary Fund data collection. Annual frequency.</v>
      </c>
      <c r="L11" s="116"/>
    </row>
    <row r="12" spans="1:12" ht="27.6" customHeight="1" x14ac:dyDescent="0.3">
      <c r="A12" s="116"/>
      <c r="B12">
        <f>iCtryDataTable!C11</f>
        <v>1</v>
      </c>
      <c r="C12">
        <f>iCtryDataTable!G11</f>
        <v>1</v>
      </c>
      <c r="D12" s="1" t="str">
        <f t="shared" si="0"/>
        <v>#,##0.0</v>
      </c>
      <c r="E12" s="216" t="str">
        <f>iCtryDataTable!D11</f>
        <v>GDP-PPP</v>
      </c>
      <c r="F12" s="217" t="str">
        <f>iCtryDataTable!E11</f>
        <v>US$ (billions)</v>
      </c>
      <c r="G12" s="219">
        <f ca="1">iCtryDataTable!J11</f>
        <v>746.92700000000002</v>
      </c>
      <c r="H12" s="141"/>
      <c r="I12" s="150" t="str">
        <f ca="1">iCtryDataTable!L11</f>
        <v>Fondo Monetario Internacional (FMI)</v>
      </c>
      <c r="J12" s="150"/>
      <c r="K12" s="150" t="str">
        <f ca="1">IF(iCtryDataTable!K11=0,"",(iCtryDataTable!K11))</f>
        <v/>
      </c>
      <c r="L12" s="116"/>
    </row>
    <row r="13" spans="1:12" ht="53.45" customHeight="1" x14ac:dyDescent="0.3">
      <c r="A13" s="116"/>
      <c r="B13">
        <f>iCtryDataTable!C12</f>
        <v>1</v>
      </c>
      <c r="C13">
        <f>iCtryDataTable!G12</f>
        <v>1</v>
      </c>
      <c r="D13" s="1" t="str">
        <f t="shared" si="0"/>
        <v>#,##0.0</v>
      </c>
      <c r="E13" s="216" t="str">
        <f>iCtryDataTable!D12</f>
        <v>Transport service imports</v>
      </c>
      <c r="F13" s="217" t="str">
        <f>iCtryDataTable!E12</f>
        <v>US$ (billions)</v>
      </c>
      <c r="G13" s="219">
        <f ca="1">iCtryDataTable!J12</f>
        <v>5.3750454000000003</v>
      </c>
      <c r="H13" s="141"/>
      <c r="I13" s="150" t="str">
        <f ca="1">iCtryDataTable!L12</f>
        <v>Fondo Monetario Internacional (FMI)</v>
      </c>
      <c r="J13" s="150"/>
      <c r="K13" s="150" t="str">
        <f ca="1">IF(iCtryDataTable!K12=0,"",(iCtryDataTable!K12))</f>
        <v>Based on data extrapolation from years 2008-2011. International Monetary Fund data collection. Annual frequency.</v>
      </c>
      <c r="L13" s="116"/>
    </row>
    <row r="14" spans="1:12" ht="53.45" customHeight="1" x14ac:dyDescent="0.3">
      <c r="A14" s="116"/>
      <c r="B14">
        <f>iCtryDataTable!C13</f>
        <v>1</v>
      </c>
      <c r="C14">
        <f>iCtryDataTable!G13</f>
        <v>1</v>
      </c>
      <c r="D14" s="1" t="str">
        <f t="shared" si="0"/>
        <v>#,##0.0</v>
      </c>
      <c r="E14" s="216" t="str">
        <f>iCtryDataTable!D13</f>
        <v>Transport service exports</v>
      </c>
      <c r="F14" s="217" t="str">
        <f>iCtryDataTable!E13</f>
        <v>US$ (billions)</v>
      </c>
      <c r="G14" s="219">
        <f ca="1">iCtryDataTable!J13</f>
        <v>2.4069547999999998</v>
      </c>
      <c r="H14" s="141"/>
      <c r="I14" s="150" t="str">
        <f ca="1">iCtryDataTable!L13</f>
        <v>Fondo Monetario Internacional (FMI)</v>
      </c>
      <c r="J14" s="150"/>
      <c r="K14" s="150" t="str">
        <f ca="1">IF(iCtryDataTable!K13=0,"",(iCtryDataTable!K13))</f>
        <v>Based on data extrapolation from years 2008-2011. International Monetary Fund data collection. Annual frequency.</v>
      </c>
      <c r="L14" s="116"/>
    </row>
    <row r="15" spans="1:12" ht="27.6" customHeight="1" x14ac:dyDescent="0.3">
      <c r="A15" s="116"/>
      <c r="B15">
        <f>iCtryDataTable!C14</f>
        <v>1</v>
      </c>
      <c r="C15">
        <f>iCtryDataTable!G14</f>
        <v>1</v>
      </c>
      <c r="D15" s="1" t="str">
        <f t="shared" si="0"/>
        <v>#,##0.0</v>
      </c>
      <c r="E15" s="216" t="str">
        <f>iCtryDataTable!D14</f>
        <v>Value of exports</v>
      </c>
      <c r="F15" s="217" t="str">
        <f>iCtryDataTable!E14</f>
        <v>US$ (billions)</v>
      </c>
      <c r="G15" s="219">
        <f ca="1">iCtryDataTable!J14</f>
        <v>81.903149600000006</v>
      </c>
      <c r="H15" s="141"/>
      <c r="I15" s="150" t="str">
        <f ca="1">iCtryDataTable!L14</f>
        <v>Fondo Monetario Internacional (FMI)</v>
      </c>
      <c r="J15" s="150"/>
      <c r="K15" s="150" t="str">
        <f ca="1">IF(iCtryDataTable!K14=0,"",(iCtryDataTable!K14))</f>
        <v/>
      </c>
      <c r="L15" s="116"/>
    </row>
    <row r="16" spans="1:12" ht="27.6" customHeight="1" x14ac:dyDescent="0.3">
      <c r="A16" s="116"/>
      <c r="B16">
        <f>iCtryDataTable!C15</f>
        <v>1</v>
      </c>
      <c r="C16">
        <f>iCtryDataTable!G15</f>
        <v>0</v>
      </c>
      <c r="D16" s="1" t="str">
        <f t="shared" si="0"/>
        <v>#,##0</v>
      </c>
      <c r="E16" s="216" t="str">
        <f>iCtryDataTable!D15</f>
        <v>Volume of exports</v>
      </c>
      <c r="F16" s="217" t="str">
        <f>iCtryDataTable!E15</f>
        <v>ton</v>
      </c>
      <c r="G16" s="220">
        <f ca="1">iCtryDataTable!J15</f>
        <v>100244570.502</v>
      </c>
      <c r="H16" s="142"/>
      <c r="I16" s="150" t="str">
        <f ca="1">iCtryDataTable!L15</f>
        <v>COMTRADE</v>
      </c>
      <c r="J16" s="150"/>
      <c r="K16" s="150" t="str">
        <f ca="1">IF(iCtryDataTable!K15=0,"",(iCtryDataTable!K15))</f>
        <v/>
      </c>
      <c r="L16" s="116"/>
    </row>
    <row r="17" spans="1:12" ht="27.6" customHeight="1" x14ac:dyDescent="0.25">
      <c r="A17" s="116"/>
      <c r="B17">
        <f>iCtryDataTable!C16</f>
        <v>1</v>
      </c>
      <c r="C17">
        <f>iCtryDataTable!G16</f>
        <v>1</v>
      </c>
      <c r="D17" s="1" t="str">
        <f t="shared" si="0"/>
        <v>#,##0.0</v>
      </c>
      <c r="E17" s="216" t="str">
        <f>iCtryDataTable!D16</f>
        <v>Value of imports</v>
      </c>
      <c r="F17" s="217" t="str">
        <f>iCtryDataTable!E16</f>
        <v>US$ (billions)</v>
      </c>
      <c r="G17" s="219">
        <f ca="1">iCtryDataTable!J16</f>
        <v>65.773621199999994</v>
      </c>
      <c r="H17" s="141"/>
      <c r="I17" s="150" t="str">
        <f ca="1">iCtryDataTable!L16</f>
        <v>Fondo Monetario Internacional (FMI)</v>
      </c>
      <c r="J17" s="150"/>
      <c r="K17" s="150" t="str">
        <f ca="1">IF(iCtryDataTable!K16=0,"",(iCtryDataTable!K16))</f>
        <v/>
      </c>
      <c r="L17" s="116"/>
    </row>
    <row r="18" spans="1:12" ht="27.6" customHeight="1" x14ac:dyDescent="0.25">
      <c r="A18" s="116"/>
      <c r="B18">
        <f>iCtryDataTable!C17</f>
        <v>1</v>
      </c>
      <c r="C18">
        <f>iCtryDataTable!G17</f>
        <v>0</v>
      </c>
      <c r="D18" s="1" t="str">
        <f t="shared" si="0"/>
        <v>#,##0</v>
      </c>
      <c r="E18" s="216" t="str">
        <f>iCtryDataTable!D17</f>
        <v>Volume of imports</v>
      </c>
      <c r="F18" s="217" t="str">
        <f>iCtryDataTable!E17</f>
        <v>tons</v>
      </c>
      <c r="G18" s="220">
        <f ca="1">iCtryDataTable!J17</f>
        <v>33687227.989</v>
      </c>
      <c r="H18" s="142"/>
      <c r="I18" s="150" t="str">
        <f ca="1">iCtryDataTable!L17</f>
        <v>COMTRADE</v>
      </c>
      <c r="J18" s="150"/>
      <c r="K18" s="150" t="str">
        <f ca="1">IF(iCtryDataTable!K17=0,"",(iCtryDataTable!K17))</f>
        <v/>
      </c>
      <c r="L18" s="116"/>
    </row>
    <row r="19" spans="1:12" ht="33" customHeight="1" x14ac:dyDescent="0.25">
      <c r="A19" s="116"/>
      <c r="B19">
        <f>iCtryDataTable!C18</f>
        <v>0</v>
      </c>
      <c r="C19" t="str">
        <f>iCtryDataTable!G18</f>
        <v/>
      </c>
      <c r="D19" s="1" t="str">
        <f t="shared" si="0"/>
        <v>#,##0</v>
      </c>
      <c r="E19" s="224" t="str">
        <f>iCtryDataTable!D18</f>
        <v>ROAD TRANSPORTATION</v>
      </c>
      <c r="F19" s="151" t="str">
        <f>iCtryDataTable!E18</f>
        <v/>
      </c>
      <c r="G19" s="153" t="str">
        <f>iCtryDataTable!J18</f>
        <v/>
      </c>
      <c r="H19" s="151"/>
      <c r="I19" s="151" t="str">
        <f ca="1">iCtryDataTable!L18</f>
        <v/>
      </c>
      <c r="J19" s="151"/>
      <c r="K19" s="151" t="str">
        <f ca="1">IF(iCtryDataTable!K18=0,"",(iCtryDataTable!K18))</f>
        <v/>
      </c>
      <c r="L19" s="116"/>
    </row>
    <row r="20" spans="1:12" ht="27.6" customHeight="1" x14ac:dyDescent="0.25">
      <c r="A20" s="116"/>
      <c r="B20">
        <f>iCtryDataTable!C19</f>
        <v>1</v>
      </c>
      <c r="C20">
        <f>iCtryDataTable!G19</f>
        <v>0</v>
      </c>
      <c r="D20" s="1" t="str">
        <f t="shared" si="0"/>
        <v>#,##0</v>
      </c>
      <c r="E20" s="216" t="str">
        <f>iCtryDataTable!D19</f>
        <v>Road network</v>
      </c>
      <c r="F20" s="217" t="str">
        <f>iCtryDataTable!E19</f>
        <v>km</v>
      </c>
      <c r="G20" s="220">
        <f ca="1">iCtryDataTable!J19</f>
        <v>628692.56000000006</v>
      </c>
      <c r="H20" s="142"/>
      <c r="I20" s="150" t="str">
        <f ca="1">iCtryDataTable!L19</f>
        <v>Dirección Nacional de Vialidad (DNV)</v>
      </c>
      <c r="J20" s="150"/>
      <c r="K20" s="150" t="str">
        <f ca="1">IF(iCtryDataTable!K19=0,"",(iCtryDataTable!K19))</f>
        <v/>
      </c>
      <c r="L20" s="116"/>
    </row>
    <row r="21" spans="1:12" ht="27.6" customHeight="1" x14ac:dyDescent="0.25">
      <c r="A21" s="116"/>
      <c r="B21">
        <f>iCtryDataTable!C20</f>
        <v>1</v>
      </c>
      <c r="C21">
        <f>iCtryDataTable!G20</f>
        <v>0</v>
      </c>
      <c r="D21" s="1" t="str">
        <f t="shared" si="0"/>
        <v>#,##0</v>
      </c>
      <c r="E21" s="216" t="str">
        <f>iCtryDataTable!D20</f>
        <v>Freeways</v>
      </c>
      <c r="F21" s="217" t="str">
        <f>iCtryDataTable!E20</f>
        <v>km</v>
      </c>
      <c r="G21" s="220">
        <f ca="1">iCtryDataTable!J20</f>
        <v>1070.8499999999999</v>
      </c>
      <c r="H21" s="142"/>
      <c r="I21" s="150" t="str">
        <f ca="1">iCtryDataTable!L20</f>
        <v>Dirección Nacional de Vialidad (DNV)</v>
      </c>
      <c r="J21" s="150"/>
      <c r="K21" s="150" t="str">
        <f ca="1">IF(iCtryDataTable!K20=0,"",(iCtryDataTable!K20))</f>
        <v>Annual report by the National Roads Directorate.</v>
      </c>
      <c r="L21" s="116"/>
    </row>
    <row r="22" spans="1:12" ht="27.6" customHeight="1" x14ac:dyDescent="0.25">
      <c r="A22" s="116"/>
      <c r="B22">
        <f>iCtryDataTable!C21</f>
        <v>1</v>
      </c>
      <c r="C22">
        <f>iCtryDataTable!G21</f>
        <v>0</v>
      </c>
      <c r="D22" s="1" t="str">
        <f t="shared" si="0"/>
        <v>#,##0</v>
      </c>
      <c r="E22" s="216" t="str">
        <f>iCtryDataTable!D21</f>
        <v>Primary network</v>
      </c>
      <c r="F22" s="217" t="str">
        <f>iCtryDataTable!E21</f>
        <v>km</v>
      </c>
      <c r="G22" s="220">
        <f ca="1">iCtryDataTable!J21</f>
        <v>38548.71</v>
      </c>
      <c r="H22" s="142"/>
      <c r="I22" s="150" t="str">
        <f ca="1">iCtryDataTable!L21</f>
        <v>Dirección Nacional de Vialidad (DNV)</v>
      </c>
      <c r="J22" s="150"/>
      <c r="K22" s="150" t="str">
        <f ca="1">IF(iCtryDataTable!K21=0,"",(iCtryDataTable!K21))</f>
        <v>Annual report by the National Roads Directorate.</v>
      </c>
      <c r="L22" s="116"/>
    </row>
    <row r="23" spans="1:12" ht="27.6" customHeight="1" x14ac:dyDescent="0.25">
      <c r="A23" s="116"/>
      <c r="B23">
        <f>iCtryDataTable!C22</f>
        <v>1</v>
      </c>
      <c r="C23">
        <f>iCtryDataTable!G22</f>
        <v>0</v>
      </c>
      <c r="D23" s="1" t="str">
        <f t="shared" si="0"/>
        <v>#,##0</v>
      </c>
      <c r="E23" s="216" t="str">
        <f>iCtryDataTable!D22</f>
        <v>Secondary network</v>
      </c>
      <c r="F23" s="217" t="str">
        <f>iCtryDataTable!E22</f>
        <v>km</v>
      </c>
      <c r="G23" s="220">
        <f ca="1">iCtryDataTable!J22</f>
        <v>189073</v>
      </c>
      <c r="H23" s="142"/>
      <c r="I23" s="150" t="str">
        <f ca="1">iCtryDataTable!L22</f>
        <v>Dirección Nacional de Vialidad (DNV)</v>
      </c>
      <c r="J23" s="150"/>
      <c r="K23" s="150" t="str">
        <f ca="1">IF(iCtryDataTable!K22=0,"",(iCtryDataTable!K22))</f>
        <v>Data corresponds to year 2011.</v>
      </c>
      <c r="L23" s="116"/>
    </row>
    <row r="24" spans="1:12" ht="27.6" customHeight="1" x14ac:dyDescent="0.25">
      <c r="A24" s="116"/>
      <c r="B24">
        <f>iCtryDataTable!C23</f>
        <v>1</v>
      </c>
      <c r="C24">
        <f>iCtryDataTable!G23</f>
        <v>0</v>
      </c>
      <c r="D24" s="1" t="str">
        <f t="shared" si="0"/>
        <v>#,##0</v>
      </c>
      <c r="E24" s="216" t="str">
        <f>iCtryDataTable!D23</f>
        <v>Other networks</v>
      </c>
      <c r="F24" s="217" t="str">
        <f>iCtryDataTable!E23</f>
        <v>km</v>
      </c>
      <c r="G24" s="220">
        <f ca="1">iCtryDataTable!J23</f>
        <v>400000</v>
      </c>
      <c r="H24" s="142"/>
      <c r="I24" s="150" t="str">
        <f ca="1">iCtryDataTable!L23</f>
        <v>Dirección Nacional de Vialidad (DNV)</v>
      </c>
      <c r="J24" s="150"/>
      <c r="K24" s="150" t="str">
        <f ca="1">IF(iCtryDataTable!K23=0,"",(iCtryDataTable!K23))</f>
        <v>Data corresponds to year 2011.</v>
      </c>
      <c r="L24" s="116"/>
    </row>
    <row r="25" spans="1:12" ht="39.6" customHeight="1" x14ac:dyDescent="0.25">
      <c r="A25" s="116"/>
      <c r="B25">
        <f>iCtryDataTable!C24</f>
        <v>1</v>
      </c>
      <c r="C25">
        <f>iCtryDataTable!G24</f>
        <v>1</v>
      </c>
      <c r="D25" s="1" t="str">
        <f t="shared" si="0"/>
        <v>#,##0.0</v>
      </c>
      <c r="E25" s="216" t="str">
        <f>iCtryDataTable!D24</f>
        <v>Paved network</v>
      </c>
      <c r="F25" s="217" t="str">
        <f>iCtryDataTable!E24</f>
        <v>% of total</v>
      </c>
      <c r="G25" s="219">
        <f ca="1">iCtryDataTable!J24</f>
        <v>34.4</v>
      </c>
      <c r="H25" s="141"/>
      <c r="I25" s="150" t="str">
        <f ca="1">iCtryDataTable!L24</f>
        <v>Banco Interamericano de Desarrollo</v>
      </c>
      <c r="J25" s="150"/>
      <c r="K25" s="150" t="str">
        <f ca="1">IF(iCtryDataTable!K24=0,"",(iCtryDataTable!K24))</f>
        <v>Data corresponds to year 2011. Data does not take into account "other networks".</v>
      </c>
      <c r="L25" s="116"/>
    </row>
    <row r="26" spans="1:12" ht="27.6" customHeight="1" x14ac:dyDescent="0.25">
      <c r="A26" s="116"/>
      <c r="B26">
        <f>iCtryDataTable!C25</f>
        <v>1</v>
      </c>
      <c r="C26">
        <f>iCtryDataTable!G25</f>
        <v>0</v>
      </c>
      <c r="D26" s="1" t="str">
        <f t="shared" si="0"/>
        <v>#,##0</v>
      </c>
      <c r="E26" s="216" t="str">
        <f>iCtryDataTable!D25</f>
        <v>Heavy vehicles</v>
      </c>
      <c r="F26" s="217" t="str">
        <f>iCtryDataTable!E25</f>
        <v># vehicles</v>
      </c>
      <c r="G26" s="220">
        <f ca="1">iCtryDataTable!J25</f>
        <v>593476</v>
      </c>
      <c r="H26" s="142"/>
      <c r="I26" s="150" t="str">
        <f ca="1">iCtryDataTable!L25</f>
        <v>Asociación de Fábricas de Automotores (ADEFA)</v>
      </c>
      <c r="J26" s="150"/>
      <c r="K26" s="150" t="str">
        <f ca="1">IF(iCtryDataTable!K25=0,"",(iCtryDataTable!K25))</f>
        <v>Data collected annually. Trucks do not include semitrailers.</v>
      </c>
      <c r="L26" s="116"/>
    </row>
    <row r="27" spans="1:12" ht="27.6" customHeight="1" x14ac:dyDescent="0.25">
      <c r="A27" s="116"/>
      <c r="B27">
        <f>iCtryDataTable!C26</f>
        <v>1</v>
      </c>
      <c r="C27">
        <f>iCtryDataTable!G26</f>
        <v>0</v>
      </c>
      <c r="D27" s="1" t="str">
        <f t="shared" si="0"/>
        <v>#,##0</v>
      </c>
      <c r="E27" s="216" t="str">
        <f>iCtryDataTable!D26</f>
        <v>Light trucks under 3.5 ton</v>
      </c>
      <c r="F27" s="217" t="str">
        <f>iCtryDataTable!E26</f>
        <v># vehicles</v>
      </c>
      <c r="G27" s="220">
        <f ca="1">iCtryDataTable!J26</f>
        <v>433237.48</v>
      </c>
      <c r="H27" s="142"/>
      <c r="I27" s="150" t="str">
        <f ca="1">iCtryDataTable!L26</f>
        <v>Banco Interamericano de Desarrollo, estimación propia</v>
      </c>
      <c r="J27" s="150"/>
      <c r="K27" s="150" t="str">
        <f ca="1">IF(iCtryDataTable!K26=0,"",(iCtryDataTable!K26))</f>
        <v/>
      </c>
      <c r="L27" s="116"/>
    </row>
    <row r="28" spans="1:12" ht="27.6" customHeight="1" x14ac:dyDescent="0.25">
      <c r="A28" s="116"/>
      <c r="B28">
        <f>iCtryDataTable!C27</f>
        <v>1</v>
      </c>
      <c r="C28">
        <f>iCtryDataTable!G27</f>
        <v>0</v>
      </c>
      <c r="D28" s="1" t="str">
        <f t="shared" si="0"/>
        <v>#,##0</v>
      </c>
      <c r="E28" s="216" t="str">
        <f>iCtryDataTable!D27</f>
        <v>Heavy trucks over 3.5 ton</v>
      </c>
      <c r="F28" s="217" t="str">
        <f>iCtryDataTable!E27</f>
        <v># vehicles</v>
      </c>
      <c r="G28" s="220">
        <f ca="1">iCtryDataTable!J27</f>
        <v>160238.51999999999</v>
      </c>
      <c r="H28" s="142"/>
      <c r="I28" s="150" t="str">
        <f ca="1">iCtryDataTable!L27</f>
        <v>Banco Interamericano de Desarrollo, estimación propia</v>
      </c>
      <c r="J28" s="150"/>
      <c r="K28" s="150" t="str">
        <f ca="1">IF(iCtryDataTable!K27=0,"",(iCtryDataTable!K27))</f>
        <v/>
      </c>
      <c r="L28" s="116"/>
    </row>
    <row r="29" spans="1:12" ht="39.6" customHeight="1" x14ac:dyDescent="0.25">
      <c r="A29" s="116"/>
      <c r="B29">
        <f>iCtryDataTable!C28</f>
        <v>1</v>
      </c>
      <c r="C29">
        <f>iCtryDataTable!G28</f>
        <v>1</v>
      </c>
      <c r="D29" s="1" t="str">
        <f t="shared" si="0"/>
        <v>#,##0.0</v>
      </c>
      <c r="E29" s="216" t="str">
        <f>iCtryDataTable!D28</f>
        <v>Fleet average age</v>
      </c>
      <c r="F29" s="217" t="str">
        <f>iCtryDataTable!E28</f>
        <v>years</v>
      </c>
      <c r="G29" s="219">
        <f ca="1">iCtryDataTable!J28</f>
        <v>13.4</v>
      </c>
      <c r="H29" s="141"/>
      <c r="I29" s="150" t="str">
        <f ca="1">iCtryDataTable!L28</f>
        <v>Univ. Tecnológica Nacional, Unidad C3T. 2005. El transporte automotor de cargas en la Argentina</v>
      </c>
      <c r="J29" s="150"/>
      <c r="K29" s="150" t="str">
        <f ca="1">IF(iCtryDataTable!K28=0,"",(iCtryDataTable!K28))</f>
        <v>Data corresponds to year 2005.</v>
      </c>
      <c r="L29" s="116"/>
    </row>
    <row r="30" spans="1:12" ht="39.6" customHeight="1" x14ac:dyDescent="0.25">
      <c r="A30" s="116"/>
      <c r="B30">
        <f>iCtryDataTable!C29</f>
        <v>1</v>
      </c>
      <c r="C30">
        <f>iCtryDataTable!G29</f>
        <v>0</v>
      </c>
      <c r="D30" s="1" t="str">
        <f t="shared" si="0"/>
        <v>#,##0</v>
      </c>
      <c r="E30" s="216" t="str">
        <f>iCtryDataTable!D29</f>
        <v>Number of trailers</v>
      </c>
      <c r="F30" s="217" t="str">
        <f>iCtryDataTable!E29</f>
        <v>#</v>
      </c>
      <c r="G30" s="220">
        <f ca="1">iCtryDataTable!J29</f>
        <v>62578</v>
      </c>
      <c r="H30" s="142"/>
      <c r="I30" s="150" t="str">
        <f ca="1">iCtryDataTable!L29</f>
        <v>Univ. Tecnológica Nacional, Unidad C3T. 2005. El transporte automotor de cargas en la Argentina</v>
      </c>
      <c r="J30" s="150"/>
      <c r="K30" s="150" t="str">
        <f ca="1">IF(iCtryDataTable!K29=0,"",(iCtryDataTable!K29))</f>
        <v>Data corresponds to year 2005.</v>
      </c>
      <c r="L30" s="116"/>
    </row>
    <row r="31" spans="1:12" ht="27.6" customHeight="1" x14ac:dyDescent="0.25">
      <c r="A31" s="116"/>
      <c r="B31">
        <f>iCtryDataTable!C30</f>
        <v>1</v>
      </c>
      <c r="C31">
        <f>iCtryDataTable!G30</f>
        <v>0</v>
      </c>
      <c r="D31" s="1" t="str">
        <f t="shared" si="0"/>
        <v>#,##0</v>
      </c>
      <c r="E31" s="216" t="str">
        <f>iCtryDataTable!D30</f>
        <v>Total vehicles</v>
      </c>
      <c r="F31" s="217" t="str">
        <f>iCtryDataTable!E30</f>
        <v># vehicles</v>
      </c>
      <c r="G31" s="220">
        <f ca="1">iCtryDataTable!J30</f>
        <v>11476548</v>
      </c>
      <c r="H31" s="142"/>
      <c r="I31" s="150" t="str">
        <f ca="1">iCtryDataTable!L30</f>
        <v>Asociación de Fábricas de Automotores (ADEFA)</v>
      </c>
      <c r="J31" s="150"/>
      <c r="K31" s="150" t="str">
        <f ca="1">IF(iCtryDataTable!K30=0,"",(iCtryDataTable!K30))</f>
        <v/>
      </c>
      <c r="L31" s="116"/>
    </row>
    <row r="32" spans="1:12" ht="27.6" customHeight="1" x14ac:dyDescent="0.25">
      <c r="A32" s="116"/>
      <c r="B32">
        <f>iCtryDataTable!C31</f>
        <v>1</v>
      </c>
      <c r="C32">
        <f>iCtryDataTable!G31</f>
        <v>0</v>
      </c>
      <c r="D32" s="1" t="str">
        <f t="shared" si="0"/>
        <v>#,##0</v>
      </c>
      <c r="E32" s="216" t="str">
        <f>iCtryDataTable!D31</f>
        <v>Number of motor carrier operators</v>
      </c>
      <c r="F32" s="217" t="str">
        <f>iCtryDataTable!E31</f>
        <v># operators</v>
      </c>
      <c r="G32" s="220">
        <f ca="1">iCtryDataTable!J31</f>
        <v>43963</v>
      </c>
      <c r="H32" s="142"/>
      <c r="I32" s="150" t="str">
        <f ca="1">iCtryDataTable!L31</f>
        <v>Asociación de Fábricas de Automotores (ADEFA)</v>
      </c>
      <c r="J32" s="150"/>
      <c r="K32" s="150" t="str">
        <f ca="1">IF(iCtryDataTable!K31=0,"",(iCtryDataTable!K31))</f>
        <v>Data corresponds to year 2005.</v>
      </c>
      <c r="L32" s="116"/>
    </row>
    <row r="33" spans="1:12" ht="27.6" customHeight="1" x14ac:dyDescent="0.25">
      <c r="A33" s="116"/>
      <c r="B33">
        <f>iCtryDataTable!C32</f>
        <v>1</v>
      </c>
      <c r="C33">
        <f>iCtryDataTable!G32</f>
        <v>0</v>
      </c>
      <c r="D33" s="1" t="str">
        <f t="shared" si="0"/>
        <v>#,##0</v>
      </c>
      <c r="E33" s="216" t="str">
        <f>iCtryDataTable!D32</f>
        <v>Motor carrier operators with 1-2 units</v>
      </c>
      <c r="F33" s="217" t="str">
        <f>iCtryDataTable!E32</f>
        <v># operators</v>
      </c>
      <c r="G33" s="220">
        <f ca="1">iCtryDataTable!J32</f>
        <v>37963</v>
      </c>
      <c r="H33" s="142"/>
      <c r="I33" s="150" t="str">
        <f ca="1">iCtryDataTable!L32</f>
        <v>Asociación de Fábricas de Automotores (ADEFA)</v>
      </c>
      <c r="J33" s="150"/>
      <c r="K33" s="150" t="str">
        <f ca="1">IF(iCtryDataTable!K32=0,"",(iCtryDataTable!K32))</f>
        <v/>
      </c>
      <c r="L33" s="116"/>
    </row>
    <row r="34" spans="1:12" ht="27.6" customHeight="1" x14ac:dyDescent="0.25">
      <c r="A34" s="116"/>
      <c r="B34">
        <f>iCtryDataTable!C33</f>
        <v>1</v>
      </c>
      <c r="C34">
        <f>iCtryDataTable!G33</f>
        <v>1</v>
      </c>
      <c r="D34" s="1" t="str">
        <f t="shared" si="0"/>
        <v>#,##0.0</v>
      </c>
      <c r="E34" s="216" t="str">
        <f>iCtryDataTable!D33</f>
        <v>Average number of vehicles per operator</v>
      </c>
      <c r="F34" s="217" t="str">
        <f>iCtryDataTable!E33</f>
        <v># vehicles</v>
      </c>
      <c r="G34" s="219">
        <f ca="1">iCtryDataTable!J33</f>
        <v>6.2</v>
      </c>
      <c r="H34" s="141"/>
      <c r="I34" s="150" t="str">
        <f ca="1">iCtryDataTable!L33</f>
        <v>Asociación de Fábricas de Automotores (ADEFA)</v>
      </c>
      <c r="J34" s="150"/>
      <c r="K34" s="150" t="str">
        <f ca="1">IF(iCtryDataTable!K33=0,"",(iCtryDataTable!K33))</f>
        <v>Data corresponds to year 2005.</v>
      </c>
      <c r="L34" s="116"/>
    </row>
    <row r="35" spans="1:12" ht="39.6" customHeight="1" x14ac:dyDescent="0.25">
      <c r="A35" s="116"/>
      <c r="B35">
        <f>iCtryDataTable!C34</f>
        <v>1</v>
      </c>
      <c r="C35">
        <f>iCtryDataTable!G34</f>
        <v>0</v>
      </c>
      <c r="D35" s="1" t="str">
        <f t="shared" si="0"/>
        <v>#,##0</v>
      </c>
      <c r="E35" s="216" t="str">
        <f>iCtryDataTable!D34</f>
        <v>Direct employment surface transportation</v>
      </c>
      <c r="F35" s="217" t="str">
        <f>iCtryDataTable!E34</f>
        <v># of employees</v>
      </c>
      <c r="G35" s="220">
        <f ca="1">iCtryDataTable!J34</f>
        <v>500000</v>
      </c>
      <c r="H35" s="142"/>
      <c r="I35" s="150" t="str">
        <f ca="1">iCtryDataTable!L34</f>
        <v>Univ. Tecnológica Nacional, Unidad C3T. 2005. El transporte automotor de cargas en la Argentina</v>
      </c>
      <c r="J35" s="150"/>
      <c r="K35" s="150" t="str">
        <f ca="1">IF(iCtryDataTable!K34=0,"",(iCtryDataTable!K34))</f>
        <v/>
      </c>
      <c r="L35" s="116"/>
    </row>
    <row r="36" spans="1:12" ht="27.6" customHeight="1" x14ac:dyDescent="0.25">
      <c r="A36" s="116"/>
      <c r="B36">
        <f>iCtryDataTable!C35</f>
        <v>1</v>
      </c>
      <c r="C36">
        <f>iCtryDataTable!G35</f>
        <v>0</v>
      </c>
      <c r="D36" s="1" t="str">
        <f t="shared" si="0"/>
        <v>#,##0</v>
      </c>
      <c r="E36" s="216" t="str">
        <f>iCtryDataTable!D35</f>
        <v>Annual diesel oil consumption</v>
      </c>
      <c r="F36" s="217" t="str">
        <f>iCtryDataTable!E35</f>
        <v>thousands of barrels</v>
      </c>
      <c r="G36" s="220">
        <f ca="1">iCtryDataTable!J35</f>
        <v>70979.64</v>
      </c>
      <c r="H36" s="142"/>
      <c r="I36" s="150" t="str">
        <f ca="1">iCtryDataTable!L35</f>
        <v>Organización Latinoamericana de Energía (OLADE)</v>
      </c>
      <c r="J36" s="150"/>
      <c r="K36" s="150" t="str">
        <f ca="1">IF(iCtryDataTable!K35=0,"",(iCtryDataTable!K35))</f>
        <v/>
      </c>
      <c r="L36" s="116"/>
    </row>
    <row r="37" spans="1:12" ht="27.6" customHeight="1" x14ac:dyDescent="0.25">
      <c r="A37" s="116"/>
      <c r="B37">
        <f>iCtryDataTable!C36</f>
        <v>1</v>
      </c>
      <c r="C37">
        <f>iCtryDataTable!G36</f>
        <v>0</v>
      </c>
      <c r="D37" s="1" t="str">
        <f t="shared" si="0"/>
        <v>#,##0</v>
      </c>
      <c r="E37" s="216" t="str">
        <f>iCtryDataTable!D36</f>
        <v>Annual gasoline comsumption</v>
      </c>
      <c r="F37" s="217" t="str">
        <f>iCtryDataTable!E36</f>
        <v>thousands of barrels</v>
      </c>
      <c r="G37" s="220">
        <f ca="1">iCtryDataTable!J36</f>
        <v>38533.370000000003</v>
      </c>
      <c r="H37" s="142"/>
      <c r="I37" s="150" t="str">
        <f ca="1">iCtryDataTable!L36</f>
        <v>Organización Latinoamericana de Energía (OLADE)</v>
      </c>
      <c r="J37" s="150"/>
      <c r="K37" s="150" t="str">
        <f ca="1">IF(iCtryDataTable!K36=0,"",(iCtryDataTable!K36))</f>
        <v/>
      </c>
      <c r="L37" s="116"/>
    </row>
    <row r="38" spans="1:12" ht="39.6" customHeight="1" x14ac:dyDescent="0.25">
      <c r="A38" s="116"/>
      <c r="B38">
        <f>iCtryDataTable!C37</f>
        <v>1</v>
      </c>
      <c r="C38">
        <f>iCtryDataTable!G37</f>
        <v>2</v>
      </c>
      <c r="D38" s="1" t="str">
        <f t="shared" si="0"/>
        <v>#,##0.00</v>
      </c>
      <c r="E38" s="216" t="str">
        <f>iCtryDataTable!D37</f>
        <v>Retail price diesel oil</v>
      </c>
      <c r="F38" s="217" t="str">
        <f>iCtryDataTable!E37</f>
        <v>US$/liter</v>
      </c>
      <c r="G38" s="218">
        <f ca="1">iCtryDataTable!J37</f>
        <v>1.2584342111729701</v>
      </c>
      <c r="H38" s="140"/>
      <c r="I38" s="150" t="str">
        <f ca="1">iCtryDataTable!L37</f>
        <v>Comisión Económica para América Latina y el Caribe (CEPAL)</v>
      </c>
      <c r="J38" s="150"/>
      <c r="K38" s="150" t="str">
        <f ca="1">IF(iCtryDataTable!K37=0,"",(iCtryDataTable!K37))</f>
        <v>Based on data extrapolation from years 2008-2011. Annual frequency.</v>
      </c>
      <c r="L38" s="116"/>
    </row>
    <row r="39" spans="1:12" ht="39.6" customHeight="1" x14ac:dyDescent="0.25">
      <c r="A39" s="116"/>
      <c r="B39">
        <f>iCtryDataTable!C38</f>
        <v>1</v>
      </c>
      <c r="C39">
        <f>iCtryDataTable!G38</f>
        <v>2</v>
      </c>
      <c r="D39" s="1" t="str">
        <f t="shared" si="0"/>
        <v>#,##0.00</v>
      </c>
      <c r="E39" s="216" t="str">
        <f>iCtryDataTable!D38</f>
        <v>Retail price gasoline</v>
      </c>
      <c r="F39" s="217" t="str">
        <f>iCtryDataTable!E38</f>
        <v>US$/liter</v>
      </c>
      <c r="G39" s="218">
        <f ca="1">iCtryDataTable!J38</f>
        <v>1.4601380499469501</v>
      </c>
      <c r="H39" s="140"/>
      <c r="I39" s="150" t="str">
        <f ca="1">iCtryDataTable!L38</f>
        <v>Comisión Económica para América Latina y el Caribe (CEPAL)</v>
      </c>
      <c r="J39" s="150"/>
      <c r="K39" s="150" t="str">
        <f ca="1">IF(iCtryDataTable!K38=0,"",(iCtryDataTable!K38))</f>
        <v/>
      </c>
      <c r="L39" s="116"/>
    </row>
    <row r="40" spans="1:12" ht="39.6" customHeight="1" x14ac:dyDescent="0.25">
      <c r="A40" s="116"/>
      <c r="B40">
        <f>iCtryDataTable!C39</f>
        <v>1</v>
      </c>
      <c r="C40">
        <f>iCtryDataTable!G39</f>
        <v>1</v>
      </c>
      <c r="D40" s="1" t="str">
        <f t="shared" si="0"/>
        <v>#,##0.0</v>
      </c>
      <c r="E40" s="216" t="str">
        <f>iCtryDataTable!D39</f>
        <v>Estimated CO2 emissions road transport</v>
      </c>
      <c r="F40" s="217" t="str">
        <f>iCtryDataTable!E39</f>
        <v>tons</v>
      </c>
      <c r="G40" s="219">
        <f ca="1">iCtryDataTable!J39</f>
        <v>51157190</v>
      </c>
      <c r="H40" s="141"/>
      <c r="I40" s="150" t="str">
        <f ca="1">iCtryDataTable!L39</f>
        <v>Organización Latinoamericana de Energía (OLADE)</v>
      </c>
      <c r="J40" s="150"/>
      <c r="K40" s="150" t="str">
        <f ca="1">IF(iCtryDataTable!K39=0,"",(iCtryDataTable!K39))</f>
        <v>Based on data extrapolation from years 2008-2011. Data collected annually.</v>
      </c>
      <c r="L40" s="116"/>
    </row>
    <row r="41" spans="1:12" ht="27.6" customHeight="1" x14ac:dyDescent="0.25">
      <c r="A41" s="116"/>
      <c r="B41">
        <f>iCtryDataTable!C40</f>
        <v>1</v>
      </c>
      <c r="C41">
        <f>iCtryDataTable!G40</f>
        <v>0</v>
      </c>
      <c r="D41" s="1" t="str">
        <f t="shared" si="0"/>
        <v>#,##0</v>
      </c>
      <c r="E41" s="216" t="str">
        <f>iCtryDataTable!D40</f>
        <v>Domestic road freight productivity</v>
      </c>
      <c r="F41" s="217" t="str">
        <f>iCtryDataTable!E40</f>
        <v>million t-km</v>
      </c>
      <c r="G41" s="220">
        <f ca="1">iCtryDataTable!J40</f>
        <v>335105</v>
      </c>
      <c r="H41" s="142"/>
      <c r="I41" s="150" t="str">
        <f ca="1">iCtryDataTable!L40</f>
        <v>Banco Interamericano de Desarrollo</v>
      </c>
      <c r="J41" s="150"/>
      <c r="K41" s="150" t="str">
        <f ca="1">IF(iCtryDataTable!K40=0,"",(iCtryDataTable!K40))</f>
        <v/>
      </c>
      <c r="L41" s="116"/>
    </row>
    <row r="42" spans="1:12" ht="27.6" customHeight="1" x14ac:dyDescent="0.25">
      <c r="A42" s="116"/>
      <c r="B42">
        <f>iCtryDataTable!C41</f>
        <v>1</v>
      </c>
      <c r="C42">
        <f>iCtryDataTable!G41</f>
        <v>0</v>
      </c>
      <c r="D42" s="1" t="str">
        <f t="shared" si="0"/>
        <v>#,##0</v>
      </c>
      <c r="E42" s="216" t="str">
        <f>iCtryDataTable!D41</f>
        <v>Domestic road freight carried</v>
      </c>
      <c r="F42" s="217" t="str">
        <f>iCtryDataTable!E41</f>
        <v>tons</v>
      </c>
      <c r="G42" s="220">
        <f ca="1">iCtryDataTable!J41</f>
        <v>670211000</v>
      </c>
      <c r="H42" s="142"/>
      <c r="I42" s="150" t="str">
        <f ca="1">iCtryDataTable!L41</f>
        <v>Banco Interamericano de Desarrollo</v>
      </c>
      <c r="J42" s="150"/>
      <c r="K42" s="150" t="str">
        <f ca="1">IF(iCtryDataTable!K41=0,"",(iCtryDataTable!K41))</f>
        <v/>
      </c>
      <c r="L42" s="116"/>
    </row>
    <row r="43" spans="1:12" ht="27.6" customHeight="1" x14ac:dyDescent="0.25">
      <c r="A43" s="116"/>
      <c r="B43">
        <f>iCtryDataTable!C42</f>
        <v>1</v>
      </c>
      <c r="C43">
        <f>iCtryDataTable!G42</f>
        <v>1</v>
      </c>
      <c r="D43" s="1" t="str">
        <f t="shared" si="0"/>
        <v>#,##0.0</v>
      </c>
      <c r="E43" s="216" t="str">
        <f>iCtryDataTable!D42</f>
        <v>Median distance</v>
      </c>
      <c r="F43" s="217" t="str">
        <f>iCtryDataTable!E42</f>
        <v>km</v>
      </c>
      <c r="G43" s="219">
        <f ca="1">iCtryDataTable!J42</f>
        <v>500</v>
      </c>
      <c r="H43" s="141"/>
      <c r="I43" s="150" t="str">
        <f ca="1">iCtryDataTable!L42</f>
        <v>Banco Interamericano de Desarrollo, encuestas a firmas</v>
      </c>
      <c r="J43" s="150"/>
      <c r="K43" s="150" t="str">
        <f ca="1">IF(iCtryDataTable!K42=0,"",(iCtryDataTable!K42))</f>
        <v/>
      </c>
      <c r="L43" s="116"/>
    </row>
    <row r="44" spans="1:12" ht="27.6" customHeight="1" x14ac:dyDescent="0.25">
      <c r="A44" s="116"/>
      <c r="B44">
        <f>iCtryDataTable!C43</f>
        <v>1</v>
      </c>
      <c r="C44">
        <f>iCtryDataTable!G43</f>
        <v>0</v>
      </c>
      <c r="D44" s="1" t="str">
        <f t="shared" si="0"/>
        <v>#,##0</v>
      </c>
      <c r="E44" s="216" t="str">
        <f>iCtryDataTable!D43</f>
        <v>Freight vehicle traffic -productivity</v>
      </c>
      <c r="F44" s="217" t="str">
        <f>iCtryDataTable!E43</f>
        <v>vehic·km</v>
      </c>
      <c r="G44" s="220" t="str">
        <f ca="1">iCtryDataTable!J43</f>
        <v>-</v>
      </c>
      <c r="H44" s="142"/>
      <c r="I44" s="150" t="str">
        <f ca="1">iCtryDataTable!L43</f>
        <v/>
      </c>
      <c r="J44" s="150"/>
      <c r="K44" s="150" t="str">
        <f ca="1">IF(iCtryDataTable!K43=0,"",(iCtryDataTable!K43))</f>
        <v/>
      </c>
      <c r="L44" s="116"/>
    </row>
    <row r="45" spans="1:12" ht="39.6" customHeight="1" x14ac:dyDescent="0.25">
      <c r="A45" s="116"/>
      <c r="B45">
        <f>iCtryDataTable!C44</f>
        <v>1</v>
      </c>
      <c r="C45">
        <f>iCtryDataTable!G44</f>
        <v>0</v>
      </c>
      <c r="D45" s="1" t="str">
        <f t="shared" si="0"/>
        <v>#,##0</v>
      </c>
      <c r="E45" s="216" t="str">
        <f>iCtryDataTable!D44</f>
        <v>Annual average distance per vehicle</v>
      </c>
      <c r="F45" s="217" t="str">
        <f>iCtryDataTable!E44</f>
        <v>km/year</v>
      </c>
      <c r="G45" s="220">
        <f ca="1">iCtryDataTable!J44</f>
        <v>116000</v>
      </c>
      <c r="H45" s="142"/>
      <c r="I45" s="150" t="str">
        <f ca="1">iCtryDataTable!L44</f>
        <v>Banco Interamericano de Desarrollo. 2014. Transporte automotor de carga en Argentina (próxima publicación)</v>
      </c>
      <c r="J45" s="150"/>
      <c r="K45" s="150" t="str">
        <f ca="1">IF(iCtryDataTable!K44=0,"",(iCtryDataTable!K44))</f>
        <v>Data corresponds to year 2011.</v>
      </c>
      <c r="L45" s="116"/>
    </row>
    <row r="46" spans="1:12" ht="27.6" customHeight="1" x14ac:dyDescent="0.25">
      <c r="A46" s="116"/>
      <c r="B46">
        <f>iCtryDataTable!C45</f>
        <v>1</v>
      </c>
      <c r="C46">
        <f>iCtryDataTable!G45</f>
        <v>1</v>
      </c>
      <c r="D46" s="1" t="str">
        <f t="shared" si="0"/>
        <v>#,##0.0</v>
      </c>
      <c r="E46" s="216" t="str">
        <f>iCtryDataTable!D45</f>
        <v>Empty hauls</v>
      </c>
      <c r="F46" s="217" t="str">
        <f>iCtryDataTable!E45</f>
        <v>%</v>
      </c>
      <c r="G46" s="219">
        <f ca="1">iCtryDataTable!J45</f>
        <v>54</v>
      </c>
      <c r="H46" s="141"/>
      <c r="I46" s="150" t="str">
        <f ca="1">iCtryDataTable!L45</f>
        <v>Banco Interamericano de Desarrollo</v>
      </c>
      <c r="J46" s="150"/>
      <c r="K46" s="150" t="str">
        <f ca="1">IF(iCtryDataTable!K45=0,"",(iCtryDataTable!K45))</f>
        <v/>
      </c>
      <c r="L46" s="116"/>
    </row>
    <row r="47" spans="1:12" ht="39.6" customHeight="1" x14ac:dyDescent="0.25">
      <c r="A47" s="116"/>
      <c r="B47">
        <f>iCtryDataTable!C46</f>
        <v>1</v>
      </c>
      <c r="C47">
        <f>iCtryDataTable!G46</f>
        <v>2</v>
      </c>
      <c r="D47" s="1" t="str">
        <f t="shared" si="0"/>
        <v>#,##0.00</v>
      </c>
      <c r="E47" s="216" t="str">
        <f>iCtryDataTable!D46</f>
        <v>Average road freight tariff</v>
      </c>
      <c r="F47" s="217" t="str">
        <f>iCtryDataTable!E46</f>
        <v>US$/t-km (40 ft cont)</v>
      </c>
      <c r="G47" s="218">
        <f ca="1">iCtryDataTable!J46</f>
        <v>0.10107135637760301</v>
      </c>
      <c r="H47" s="140"/>
      <c r="I47" s="150" t="str">
        <f ca="1">iCtryDataTable!L46</f>
        <v>Estimación, Banco Interamericano de Desarrollo</v>
      </c>
      <c r="J47" s="150"/>
      <c r="K47" s="150" t="str">
        <f ca="1">IF(iCtryDataTable!K46=0,"",(iCtryDataTable!K46))</f>
        <v>Transport rate from the port of Buenos Aires to the city of Zarate (150km)</v>
      </c>
      <c r="L47" s="116"/>
    </row>
    <row r="48" spans="1:12" ht="33" customHeight="1" x14ac:dyDescent="0.25">
      <c r="A48" s="116"/>
      <c r="B48">
        <f>iCtryDataTable!C47</f>
        <v>0</v>
      </c>
      <c r="C48" t="str">
        <f>iCtryDataTable!G47</f>
        <v/>
      </c>
      <c r="D48" s="1" t="str">
        <f t="shared" si="0"/>
        <v>#,##0</v>
      </c>
      <c r="E48" s="224" t="str">
        <f>iCtryDataTable!D47</f>
        <v>RAILWAY TRANSPORTATION</v>
      </c>
      <c r="F48" s="221" t="str">
        <f>iCtryDataTable!E47</f>
        <v/>
      </c>
      <c r="G48" s="222" t="str">
        <f>iCtryDataTable!J47</f>
        <v/>
      </c>
      <c r="H48" s="151"/>
      <c r="I48" s="151" t="str">
        <f ca="1">iCtryDataTable!L47</f>
        <v/>
      </c>
      <c r="J48" s="151"/>
      <c r="K48" s="151" t="str">
        <f ca="1">IF(iCtryDataTable!K47=0,"",(iCtryDataTable!K47))</f>
        <v/>
      </c>
      <c r="L48" s="116"/>
    </row>
    <row r="49" spans="1:12" ht="27.6" customHeight="1" x14ac:dyDescent="0.25">
      <c r="A49" s="116"/>
      <c r="B49">
        <f>iCtryDataTable!C48</f>
        <v>1</v>
      </c>
      <c r="C49">
        <f>iCtryDataTable!G48</f>
        <v>0</v>
      </c>
      <c r="D49" s="1" t="str">
        <f t="shared" si="0"/>
        <v>#,##0</v>
      </c>
      <c r="E49" s="216" t="str">
        <f>iCtryDataTable!D48</f>
        <v>Railway network</v>
      </c>
      <c r="F49" s="217" t="str">
        <f>iCtryDataTable!E48</f>
        <v>km</v>
      </c>
      <c r="G49" s="220">
        <f ca="1">iCtryDataTable!J48</f>
        <v>18181</v>
      </c>
      <c r="H49" s="142"/>
      <c r="I49" s="150" t="str">
        <f ca="1">iCtryDataTable!L48</f>
        <v>Comisión Nacional de Regulación del Transporte (CNRT)</v>
      </c>
      <c r="J49" s="150"/>
      <c r="K49" s="150" t="str">
        <f ca="1">IF(iCtryDataTable!K48=0,"",(iCtryDataTable!K48))</f>
        <v>Data corresponds to year 2011.</v>
      </c>
      <c r="L49" s="116"/>
    </row>
    <row r="50" spans="1:12" ht="27.6" customHeight="1" x14ac:dyDescent="0.25">
      <c r="A50" s="116"/>
      <c r="B50">
        <f>iCtryDataTable!C49</f>
        <v>1</v>
      </c>
      <c r="C50">
        <f>iCtryDataTable!G49</f>
        <v>0</v>
      </c>
      <c r="D50" s="1" t="str">
        <f t="shared" si="0"/>
        <v>#,##0</v>
      </c>
      <c r="E50" s="216" t="str">
        <f>iCtryDataTable!D49</f>
        <v>Railway network with two or more tracks</v>
      </c>
      <c r="F50" s="217" t="str">
        <f>iCtryDataTable!E49</f>
        <v>km</v>
      </c>
      <c r="G50" s="220" t="str">
        <f ca="1">iCtryDataTable!J49</f>
        <v>-</v>
      </c>
      <c r="H50" s="142"/>
      <c r="I50" s="150" t="str">
        <f ca="1">iCtryDataTable!L49</f>
        <v/>
      </c>
      <c r="J50" s="150"/>
      <c r="K50" s="150" t="str">
        <f ca="1">IF(iCtryDataTable!K49=0,"",(iCtryDataTable!K49))</f>
        <v/>
      </c>
      <c r="L50" s="116"/>
    </row>
    <row r="51" spans="1:12" ht="27.6" customHeight="1" x14ac:dyDescent="0.25">
      <c r="A51" s="116"/>
      <c r="B51">
        <f>iCtryDataTable!C50</f>
        <v>1</v>
      </c>
      <c r="C51">
        <f>iCtryDataTable!G50</f>
        <v>0</v>
      </c>
      <c r="D51" s="1" t="str">
        <f t="shared" si="0"/>
        <v>#,##0</v>
      </c>
      <c r="E51" s="216" t="str">
        <f>iCtryDataTable!D50</f>
        <v>Electrified railway network</v>
      </c>
      <c r="F51" s="217" t="str">
        <f>iCtryDataTable!E50</f>
        <v>km</v>
      </c>
      <c r="G51" s="220" t="str">
        <f ca="1">iCtryDataTable!J50</f>
        <v>-</v>
      </c>
      <c r="H51" s="142"/>
      <c r="I51" s="150" t="str">
        <f ca="1">iCtryDataTable!L50</f>
        <v/>
      </c>
      <c r="J51" s="150"/>
      <c r="K51" s="150" t="str">
        <f ca="1">IF(iCtryDataTable!K50=0,"",(iCtryDataTable!K50))</f>
        <v/>
      </c>
      <c r="L51" s="116"/>
    </row>
    <row r="52" spans="1:12" ht="27.6" customHeight="1" x14ac:dyDescent="0.25">
      <c r="A52" s="116"/>
      <c r="B52">
        <f>iCtryDataTable!C51</f>
        <v>1</v>
      </c>
      <c r="C52">
        <f>iCtryDataTable!G51</f>
        <v>0</v>
      </c>
      <c r="D52" s="1" t="str">
        <f t="shared" si="0"/>
        <v>#,##0</v>
      </c>
      <c r="E52" s="216" t="str">
        <f>iCtryDataTable!D51</f>
        <v>Total locomotives</v>
      </c>
      <c r="F52" s="217" t="str">
        <f>iCtryDataTable!E51</f>
        <v># locomotives</v>
      </c>
      <c r="G52" s="220">
        <f ca="1">iCtryDataTable!J51</f>
        <v>294</v>
      </c>
      <c r="H52" s="142"/>
      <c r="I52" s="150" t="str">
        <f ca="1">iCtryDataTable!L51</f>
        <v>Comisión Nacional de Regulación del Transporte (CNRT)</v>
      </c>
      <c r="J52" s="150"/>
      <c r="K52" s="150" t="str">
        <f ca="1">IF(iCtryDataTable!K51=0,"",(iCtryDataTable!K51))</f>
        <v/>
      </c>
      <c r="L52" s="116"/>
    </row>
    <row r="53" spans="1:12" ht="27.6" customHeight="1" x14ac:dyDescent="0.25">
      <c r="A53" s="116"/>
      <c r="B53">
        <f>iCtryDataTable!C52</f>
        <v>1</v>
      </c>
      <c r="C53">
        <f>iCtryDataTable!G52</f>
        <v>0</v>
      </c>
      <c r="D53" s="1" t="str">
        <f t="shared" si="0"/>
        <v>#,##0</v>
      </c>
      <c r="E53" s="216" t="str">
        <f>iCtryDataTable!D52</f>
        <v>Locomotives -freight train engine</v>
      </c>
      <c r="F53" s="217" t="str">
        <f>iCtryDataTable!E52</f>
        <v># locomotives</v>
      </c>
      <c r="G53" s="220" t="str">
        <f ca="1">iCtryDataTable!J52</f>
        <v>-</v>
      </c>
      <c r="H53" s="142"/>
      <c r="I53" s="150" t="str">
        <f ca="1">iCtryDataTable!L52</f>
        <v/>
      </c>
      <c r="J53" s="150"/>
      <c r="K53" s="150" t="str">
        <f ca="1">IF(iCtryDataTable!K52=0,"",(iCtryDataTable!K52))</f>
        <v/>
      </c>
      <c r="L53" s="116"/>
    </row>
    <row r="54" spans="1:12" ht="27.6" customHeight="1" x14ac:dyDescent="0.25">
      <c r="A54" s="116"/>
      <c r="B54">
        <f>iCtryDataTable!C53</f>
        <v>1</v>
      </c>
      <c r="C54">
        <f>iCtryDataTable!G53</f>
        <v>0</v>
      </c>
      <c r="D54" s="1" t="str">
        <f t="shared" si="0"/>
        <v>#,##0</v>
      </c>
      <c r="E54" s="216" t="str">
        <f>iCtryDataTable!D53</f>
        <v>Average power of freight locomotives</v>
      </c>
      <c r="F54" s="217" t="str">
        <f>iCtryDataTable!E53</f>
        <v>HP</v>
      </c>
      <c r="G54" s="220" t="str">
        <f ca="1">iCtryDataTable!J53</f>
        <v>-</v>
      </c>
      <c r="H54" s="142"/>
      <c r="I54" s="150" t="str">
        <f ca="1">iCtryDataTable!L53</f>
        <v/>
      </c>
      <c r="J54" s="150"/>
      <c r="K54" s="150" t="str">
        <f ca="1">IF(iCtryDataTable!K53=0,"",(iCtryDataTable!K53))</f>
        <v/>
      </c>
      <c r="L54" s="116"/>
    </row>
    <row r="55" spans="1:12" ht="27.6" customHeight="1" x14ac:dyDescent="0.25">
      <c r="A55" s="116"/>
      <c r="B55">
        <f>iCtryDataTable!C54</f>
        <v>1</v>
      </c>
      <c r="C55">
        <f>iCtryDataTable!G54</f>
        <v>0</v>
      </c>
      <c r="D55" s="1" t="str">
        <f t="shared" si="0"/>
        <v>#,##0</v>
      </c>
      <c r="E55" s="216" t="str">
        <f>iCtryDataTable!D54</f>
        <v>Freight cars</v>
      </c>
      <c r="F55" s="217" t="str">
        <f>iCtryDataTable!E54</f>
        <v># cars</v>
      </c>
      <c r="G55" s="220">
        <f ca="1">iCtryDataTable!J54</f>
        <v>15654.8</v>
      </c>
      <c r="H55" s="142"/>
      <c r="I55" s="150" t="str">
        <f ca="1">iCtryDataTable!L54</f>
        <v>Comisión Nacional de Regulación del Transporte (CNRT)</v>
      </c>
      <c r="J55" s="150"/>
      <c r="K55" s="150" t="str">
        <f ca="1">IF(iCtryDataTable!K54=0,"",(iCtryDataTable!K54))</f>
        <v/>
      </c>
      <c r="L55" s="116"/>
    </row>
    <row r="56" spans="1:12" ht="27.6" customHeight="1" x14ac:dyDescent="0.25">
      <c r="A56" s="116"/>
      <c r="B56">
        <f>iCtryDataTable!C55</f>
        <v>1</v>
      </c>
      <c r="C56">
        <f>iCtryDataTable!G55</f>
        <v>0</v>
      </c>
      <c r="D56" s="1" t="str">
        <f t="shared" si="0"/>
        <v>#,##0</v>
      </c>
      <c r="E56" s="216" t="str">
        <f>iCtryDataTable!D55</f>
        <v>Freight car fleet static capacity</v>
      </c>
      <c r="F56" s="217" t="str">
        <f>iCtryDataTable!E55</f>
        <v>ton</v>
      </c>
      <c r="G56" s="220" t="str">
        <f ca="1">iCtryDataTable!J55</f>
        <v>-</v>
      </c>
      <c r="H56" s="142"/>
      <c r="I56" s="150" t="str">
        <f ca="1">iCtryDataTable!L55</f>
        <v/>
      </c>
      <c r="J56" s="150"/>
      <c r="K56" s="150" t="str">
        <f ca="1">IF(iCtryDataTable!K55=0,"",(iCtryDataTable!K55))</f>
        <v/>
      </c>
      <c r="L56" s="116"/>
    </row>
    <row r="57" spans="1:12" ht="27.6" customHeight="1" x14ac:dyDescent="0.25">
      <c r="A57" s="116"/>
      <c r="B57">
        <f>iCtryDataTable!C56</f>
        <v>1</v>
      </c>
      <c r="C57">
        <f>iCtryDataTable!G56</f>
        <v>0</v>
      </c>
      <c r="D57" s="1" t="str">
        <f t="shared" si="0"/>
        <v>#,##0</v>
      </c>
      <c r="E57" s="216" t="str">
        <f>iCtryDataTable!D56</f>
        <v>Railway freight companies</v>
      </c>
      <c r="F57" s="217" t="str">
        <f>iCtryDataTable!E56</f>
        <v># companies</v>
      </c>
      <c r="G57" s="220">
        <f ca="1">iCtryDataTable!J56</f>
        <v>6</v>
      </c>
      <c r="H57" s="142"/>
      <c r="I57" s="150" t="str">
        <f ca="1">iCtryDataTable!L56</f>
        <v>Comisión Nacional de Regulación del Transporte (CNRT)</v>
      </c>
      <c r="J57" s="150"/>
      <c r="K57" s="150" t="str">
        <f ca="1">IF(iCtryDataTable!K56=0,"",(iCtryDataTable!K56))</f>
        <v>Annual frequency.</v>
      </c>
      <c r="L57" s="116"/>
    </row>
    <row r="58" spans="1:12" ht="40.9" customHeight="1" x14ac:dyDescent="0.25">
      <c r="A58" s="116"/>
      <c r="B58">
        <f>iCtryDataTable!C57</f>
        <v>1</v>
      </c>
      <c r="C58">
        <f>iCtryDataTable!G57</f>
        <v>0</v>
      </c>
      <c r="D58" s="1" t="str">
        <f t="shared" si="0"/>
        <v>#,##0</v>
      </c>
      <c r="E58" s="216" t="str">
        <f>iCtryDataTable!D57</f>
        <v>Direct employment in railway transportation rail freight</v>
      </c>
      <c r="F58" s="217" t="str">
        <f>iCtryDataTable!E57</f>
        <v># employees</v>
      </c>
      <c r="G58" s="220">
        <f ca="1">iCtryDataTable!J57</f>
        <v>7277</v>
      </c>
      <c r="H58" s="142"/>
      <c r="I58" s="150" t="str">
        <f ca="1">iCtryDataTable!L57</f>
        <v>Cuentas Nacionales</v>
      </c>
      <c r="J58" s="150"/>
      <c r="K58" s="150" t="str">
        <f ca="1">IF(iCtryDataTable!K57=0,"",(iCtryDataTable!K57))</f>
        <v/>
      </c>
      <c r="L58" s="116"/>
    </row>
    <row r="59" spans="1:12" ht="27.6" customHeight="1" x14ac:dyDescent="0.25">
      <c r="A59" s="116"/>
      <c r="B59">
        <f>iCtryDataTable!C58</f>
        <v>1</v>
      </c>
      <c r="C59">
        <f>iCtryDataTable!G58</f>
        <v>0</v>
      </c>
      <c r="D59" s="1" t="str">
        <f t="shared" si="0"/>
        <v>#,##0</v>
      </c>
      <c r="E59" s="216" t="str">
        <f>iCtryDataTable!D58</f>
        <v>Fuel consumption rail freight</v>
      </c>
      <c r="F59" s="217" t="str">
        <f>iCtryDataTable!E58</f>
        <v>lt</v>
      </c>
      <c r="G59" s="220">
        <f ca="1">iCtryDataTable!J58</f>
        <v>63738336000</v>
      </c>
      <c r="H59" s="142"/>
      <c r="I59" s="150" t="str">
        <f ca="1">iCtryDataTable!L58</f>
        <v>Comisión Nacional de Regulación del Transporte (CNRT)</v>
      </c>
      <c r="J59" s="150"/>
      <c r="K59" s="150" t="str">
        <f ca="1">IF(iCtryDataTable!K58=0,"",(iCtryDataTable!K58))</f>
        <v/>
      </c>
      <c r="L59" s="116"/>
    </row>
    <row r="60" spans="1:12" ht="27.6" customHeight="1" x14ac:dyDescent="0.25">
      <c r="A60" s="116"/>
      <c r="B60">
        <f>iCtryDataTable!C59</f>
        <v>1</v>
      </c>
      <c r="C60">
        <f>iCtryDataTable!G59</f>
        <v>0</v>
      </c>
      <c r="D60" s="1" t="str">
        <f t="shared" si="0"/>
        <v>#,##0</v>
      </c>
      <c r="E60" s="216" t="str">
        <f>iCtryDataTable!D59</f>
        <v>Electric power consumption rail freight</v>
      </c>
      <c r="F60" s="217" t="str">
        <f>iCtryDataTable!E59</f>
        <v>kWh</v>
      </c>
      <c r="G60" s="220" t="str">
        <f ca="1">iCtryDataTable!J59</f>
        <v>-</v>
      </c>
      <c r="H60" s="142"/>
      <c r="I60" s="150" t="str">
        <f ca="1">iCtryDataTable!L59</f>
        <v/>
      </c>
      <c r="J60" s="150"/>
      <c r="K60" s="150" t="str">
        <f ca="1">IF(iCtryDataTable!K59=0,"",(iCtryDataTable!K59))</f>
        <v/>
      </c>
      <c r="L60" s="116"/>
    </row>
    <row r="61" spans="1:12" ht="27.6" customHeight="1" x14ac:dyDescent="0.25">
      <c r="A61" s="116"/>
      <c r="B61">
        <f>iCtryDataTable!C60</f>
        <v>1</v>
      </c>
      <c r="C61">
        <f>iCtryDataTable!G60</f>
        <v>1</v>
      </c>
      <c r="D61" s="1" t="str">
        <f t="shared" si="0"/>
        <v>#,##0.0</v>
      </c>
      <c r="E61" s="216" t="str">
        <f>iCtryDataTable!D60</f>
        <v>Estimated CO2 emissions rail freight</v>
      </c>
      <c r="F61" s="217" t="str">
        <f>iCtryDataTable!E60</f>
        <v>tons</v>
      </c>
      <c r="G61" s="219" t="str">
        <f ca="1">iCtryDataTable!J60</f>
        <v>-</v>
      </c>
      <c r="H61" s="141"/>
      <c r="I61" s="150" t="str">
        <f ca="1">iCtryDataTable!L60</f>
        <v/>
      </c>
      <c r="J61" s="150"/>
      <c r="K61" s="150" t="str">
        <f ca="1">IF(iCtryDataTable!K60=0,"",(iCtryDataTable!K60))</f>
        <v/>
      </c>
      <c r="L61" s="116"/>
    </row>
    <row r="62" spans="1:12" ht="27.6" customHeight="1" x14ac:dyDescent="0.25">
      <c r="A62" s="116"/>
      <c r="B62">
        <f>iCtryDataTable!C61</f>
        <v>1</v>
      </c>
      <c r="C62">
        <f>iCtryDataTable!G61</f>
        <v>0</v>
      </c>
      <c r="D62" s="1" t="str">
        <f t="shared" si="0"/>
        <v>#,##0</v>
      </c>
      <c r="E62" s="216" t="str">
        <f>iCtryDataTable!D61</f>
        <v>Rail freight -productivity</v>
      </c>
      <c r="F62" s="217" t="str">
        <f>iCtryDataTable!E61</f>
        <v>million t-km</v>
      </c>
      <c r="G62" s="220">
        <f ca="1">iCtryDataTable!J61</f>
        <v>10582.95994386</v>
      </c>
      <c r="H62" s="142"/>
      <c r="I62" s="150" t="str">
        <f ca="1">iCtryDataTable!L61</f>
        <v>Comisión Nacional de Regulación del Transporte (CNRT)</v>
      </c>
      <c r="J62" s="150"/>
      <c r="K62" s="150" t="str">
        <f ca="1">IF(iCtryDataTable!K61=0,"",(iCtryDataTable!K61))</f>
        <v>CNRT collects data from the companies annually.</v>
      </c>
      <c r="L62" s="116"/>
    </row>
    <row r="63" spans="1:12" ht="27.6" customHeight="1" x14ac:dyDescent="0.25">
      <c r="A63" s="116"/>
      <c r="B63">
        <f>iCtryDataTable!C62</f>
        <v>1</v>
      </c>
      <c r="C63">
        <f>iCtryDataTable!G62</f>
        <v>0</v>
      </c>
      <c r="D63" s="1" t="str">
        <f t="shared" si="0"/>
        <v>#,##0</v>
      </c>
      <c r="E63" s="216" t="str">
        <f>iCtryDataTable!D62</f>
        <v>Total rail freight</v>
      </c>
      <c r="F63" s="217" t="str">
        <f>iCtryDataTable!E62</f>
        <v>tons</v>
      </c>
      <c r="G63" s="220">
        <f ca="1">iCtryDataTable!J62</f>
        <v>22032832.989999998</v>
      </c>
      <c r="H63" s="142"/>
      <c r="I63" s="150" t="str">
        <f ca="1">iCtryDataTable!L62</f>
        <v>Comisión Nacional de Regulación del Transporte (CNRT)</v>
      </c>
      <c r="J63" s="150"/>
      <c r="K63" s="150" t="str">
        <f ca="1">IF(iCtryDataTable!K62=0,"",(iCtryDataTable!K62))</f>
        <v>CNRT collects data from the companies annually.</v>
      </c>
      <c r="L63" s="116"/>
    </row>
    <row r="64" spans="1:12" ht="27.6" customHeight="1" x14ac:dyDescent="0.25">
      <c r="A64" s="116"/>
      <c r="B64">
        <f>iCtryDataTable!C63</f>
        <v>1</v>
      </c>
      <c r="C64">
        <f>iCtryDataTable!G63</f>
        <v>0</v>
      </c>
      <c r="D64" s="1" t="str">
        <f t="shared" si="0"/>
        <v>#,##0</v>
      </c>
      <c r="E64" s="216" t="str">
        <f>iCtryDataTable!D63</f>
        <v>Annual train engine producvity</v>
      </c>
      <c r="F64" s="217" t="str">
        <f>iCtryDataTable!E63</f>
        <v>t·km/year</v>
      </c>
      <c r="G64" s="220">
        <f ca="1">iCtryDataTable!J63</f>
        <v>35996462.3940816</v>
      </c>
      <c r="H64" s="142"/>
      <c r="I64" s="150" t="str">
        <f ca="1">iCtryDataTable!L63</f>
        <v>Comisión Nacional de Regulación del Transporte (CNRT)</v>
      </c>
      <c r="J64" s="150"/>
      <c r="K64" s="150" t="str">
        <f ca="1">IF(iCtryDataTable!K63=0,"",(iCtryDataTable!K63))</f>
        <v>CNRT collects data from the companies annually.</v>
      </c>
      <c r="L64" s="116"/>
    </row>
    <row r="65" spans="1:12" ht="27.6" customHeight="1" x14ac:dyDescent="0.25">
      <c r="A65" s="116"/>
      <c r="B65">
        <f>iCtryDataTable!C64</f>
        <v>1</v>
      </c>
      <c r="C65">
        <f>iCtryDataTable!G64</f>
        <v>0</v>
      </c>
      <c r="D65" s="1" t="str">
        <f t="shared" si="0"/>
        <v>#,##0</v>
      </c>
      <c r="E65" s="216" t="str">
        <f>iCtryDataTable!D64</f>
        <v>Freight car productivity</v>
      </c>
      <c r="F65" s="217" t="str">
        <f>iCtryDataTable!E64</f>
        <v>t·km/year</v>
      </c>
      <c r="G65" s="220">
        <f ca="1">iCtryDataTable!J64</f>
        <v>676020.130813553</v>
      </c>
      <c r="H65" s="142"/>
      <c r="I65" s="150" t="str">
        <f ca="1">iCtryDataTable!L64</f>
        <v>Comisión Nacional de Regulación del Transporte (CNRT)</v>
      </c>
      <c r="J65" s="150"/>
      <c r="K65" s="150" t="str">
        <f ca="1">IF(iCtryDataTable!K64=0,"",(iCtryDataTable!K64))</f>
        <v/>
      </c>
      <c r="L65" s="116"/>
    </row>
    <row r="66" spans="1:12" ht="27.6" customHeight="1" x14ac:dyDescent="0.25">
      <c r="A66" s="116"/>
      <c r="B66">
        <f>iCtryDataTable!C65</f>
        <v>1</v>
      </c>
      <c r="C66">
        <f>iCtryDataTable!G65</f>
        <v>2</v>
      </c>
      <c r="D66" s="1" t="str">
        <f t="shared" si="0"/>
        <v>#,##0.00</v>
      </c>
      <c r="E66" s="216" t="str">
        <f>iCtryDataTable!D65</f>
        <v>Average rail freight tariff</v>
      </c>
      <c r="F66" s="217" t="str">
        <f>iCtryDataTable!E65</f>
        <v>US$/t-km</v>
      </c>
      <c r="G66" s="218">
        <f ca="1">iCtryDataTable!J65</f>
        <v>4.0663030697026703E-2</v>
      </c>
      <c r="H66" s="140"/>
      <c r="I66" s="150" t="str">
        <f ca="1">iCtryDataTable!L65</f>
        <v>Comisión Nacional de Regulación del Transporte (CNRT)</v>
      </c>
      <c r="J66" s="150"/>
      <c r="K66" s="150" t="str">
        <f ca="1">IF(iCtryDataTable!K65=0,"",(iCtryDataTable!K65))</f>
        <v/>
      </c>
      <c r="L66" s="116"/>
    </row>
    <row r="67" spans="1:12" ht="33" customHeight="1" x14ac:dyDescent="0.25">
      <c r="A67" s="116"/>
      <c r="B67">
        <f>iCtryDataTable!C66</f>
        <v>0</v>
      </c>
      <c r="C67" t="str">
        <f>iCtryDataTable!G66</f>
        <v/>
      </c>
      <c r="D67" s="1" t="str">
        <f t="shared" si="0"/>
        <v>#,##0</v>
      </c>
      <c r="E67" s="224" t="str">
        <f>iCtryDataTable!D66</f>
        <v xml:space="preserve">AIR TRANSPORTATION </v>
      </c>
      <c r="F67" s="221" t="str">
        <f>iCtryDataTable!E66</f>
        <v/>
      </c>
      <c r="G67" s="222" t="str">
        <f>iCtryDataTable!J66</f>
        <v/>
      </c>
      <c r="H67" s="151"/>
      <c r="I67" s="151" t="str">
        <f ca="1">iCtryDataTable!L66</f>
        <v/>
      </c>
      <c r="J67" s="151"/>
      <c r="K67" s="151" t="str">
        <f ca="1">IF(iCtryDataTable!K66=0,"",(iCtryDataTable!K66))</f>
        <v/>
      </c>
      <c r="L67" s="116"/>
    </row>
    <row r="68" spans="1:12" ht="67.150000000000006" customHeight="1" x14ac:dyDescent="0.25">
      <c r="A68" s="116"/>
      <c r="B68">
        <f>iCtryDataTable!C67</f>
        <v>1</v>
      </c>
      <c r="C68">
        <f>iCtryDataTable!G67</f>
        <v>0</v>
      </c>
      <c r="D68" s="1" t="str">
        <f t="shared" si="0"/>
        <v>#,##0</v>
      </c>
      <c r="E68" s="216" t="str">
        <f>iCtryDataTable!D67</f>
        <v>International airports with cargo terminal facilities</v>
      </c>
      <c r="F68" s="217" t="str">
        <f>iCtryDataTable!E67</f>
        <v># airports</v>
      </c>
      <c r="G68" s="220">
        <f ca="1">iCtryDataTable!J67</f>
        <v>18</v>
      </c>
      <c r="H68" s="142"/>
      <c r="I68" s="150" t="str">
        <f ca="1">iCtryDataTable!L67</f>
        <v>Órgano Regulador del Sistema Nacional de Aeropuertos</v>
      </c>
      <c r="J68" s="150"/>
      <c r="K68" s="150" t="str">
        <f ca="1">IF(iCtryDataTable!K67=0,"",(iCtryDataTable!K67))</f>
        <v>M Pistarini, Comodoro R Salomon, El Calafate, Formosa, E Mosconi, T. Noel, F. Gabrielli, Guzman, N. Fernandez, Gral S Martin, Pte Peron, Taravella, Resistencia, Islas Malvinas, M. de Guemes, Matienzo, Ushuaia, J Newbery</v>
      </c>
      <c r="L68" s="116"/>
    </row>
    <row r="69" spans="1:12" ht="67.150000000000006" customHeight="1" x14ac:dyDescent="0.25">
      <c r="A69" s="116"/>
      <c r="B69">
        <f>iCtryDataTable!C68</f>
        <v>1</v>
      </c>
      <c r="C69">
        <f>iCtryDataTable!G68</f>
        <v>0</v>
      </c>
      <c r="D69" s="1" t="str">
        <f t="shared" si="0"/>
        <v>#,##0</v>
      </c>
      <c r="E69" s="216" t="str">
        <f>iCtryDataTable!D68</f>
        <v>Maximum aircraft approach category</v>
      </c>
      <c r="F69" s="217" t="str">
        <f>iCtryDataTable!E68</f>
        <v>FAA/OACI category</v>
      </c>
      <c r="G69" s="220">
        <f ca="1">iCtryDataTable!J68</f>
        <v>5</v>
      </c>
      <c r="H69" s="142"/>
      <c r="I69" s="150" t="str">
        <f ca="1">iCtryDataTable!L68</f>
        <v>Órgano Regulador del Sistema Nacional de Aeropuertos</v>
      </c>
      <c r="J69" s="150"/>
      <c r="K69" s="150" t="str">
        <f ca="1">IF(iCtryDataTable!K68=0,"",(iCtryDataTable!K68))</f>
        <v>M Pistarini, Comodoro R Salomon, El Calafate, Formosa, E Mosconi, T. Noel, F. Gabrielli, Guzman, N. Fernandez, Gral S Martin, Pte Peron, Taravella, Resistencia, Islas Malvinas, M. de Guemes, Matienzo, Ushuaia, J Newbery</v>
      </c>
      <c r="L69" s="116"/>
    </row>
    <row r="70" spans="1:12" ht="27.6" customHeight="1" x14ac:dyDescent="0.25">
      <c r="A70" s="116"/>
      <c r="B70">
        <f>iCtryDataTable!C69</f>
        <v>1</v>
      </c>
      <c r="C70">
        <f>iCtryDataTable!G69</f>
        <v>0</v>
      </c>
      <c r="D70" s="1" t="str">
        <f t="shared" si="0"/>
        <v>#,##0</v>
      </c>
      <c r="E70" s="216" t="str">
        <f>iCtryDataTable!D69</f>
        <v>Instrument approach available in international airports</v>
      </c>
      <c r="F70" s="217" t="str">
        <f>iCtryDataTable!E69</f>
        <v>yes=1/no=0</v>
      </c>
      <c r="G70" s="220">
        <f ca="1">iCtryDataTable!J69</f>
        <v>1</v>
      </c>
      <c r="H70" s="142"/>
      <c r="I70" s="150" t="str">
        <f ca="1">iCtryDataTable!L69</f>
        <v>Órgano Regulador del Sistema Nacional de Aeropuertos</v>
      </c>
      <c r="J70" s="150"/>
      <c r="K70" s="150" t="str">
        <f ca="1">IF(iCtryDataTable!K69=0,"",(iCtryDataTable!K69))</f>
        <v/>
      </c>
      <c r="L70" s="116"/>
    </row>
    <row r="71" spans="1:12" ht="67.150000000000006" customHeight="1" x14ac:dyDescent="0.25">
      <c r="A71" s="116"/>
      <c r="B71">
        <f>iCtryDataTable!C70</f>
        <v>1</v>
      </c>
      <c r="C71">
        <f>iCtryDataTable!G70</f>
        <v>0</v>
      </c>
      <c r="D71" s="1" t="str">
        <f t="shared" si="0"/>
        <v>#,##0</v>
      </c>
      <c r="E71" s="216" t="str">
        <f>iCtryDataTable!D70</f>
        <v>Cargo facilities area in international airports</v>
      </c>
      <c r="F71" s="217" t="str">
        <f>iCtryDataTable!E70</f>
        <v>sq m</v>
      </c>
      <c r="G71" s="220">
        <f ca="1">iCtryDataTable!J70</f>
        <v>60000</v>
      </c>
      <c r="H71" s="142"/>
      <c r="I71" s="150" t="str">
        <f ca="1">iCtryDataTable!L70</f>
        <v>Órgano Regulador del Sistema Nacional de Aeropuertos</v>
      </c>
      <c r="J71" s="150"/>
      <c r="K71" s="150" t="str">
        <f ca="1">IF(iCtryDataTable!K70=0,"",(iCtryDataTable!K70))</f>
        <v>M Pistarini, Comodoro R Salomon, El Calafate, Formosa, E Mosconi, T. Noel, F. Gabrielli, Guzman, N. Fernandez, Gral S Martin, Pte Peron, Taravella, Resistencia, Islas Malvinas, M. de Guemes, Matienzo, Ushuaia, J Newbery</v>
      </c>
      <c r="L71" s="116"/>
    </row>
    <row r="72" spans="1:12" ht="27.6" customHeight="1" x14ac:dyDescent="0.25">
      <c r="A72" s="116"/>
      <c r="B72">
        <f>iCtryDataTable!C71</f>
        <v>1</v>
      </c>
      <c r="C72">
        <f>iCtryDataTable!G71</f>
        <v>0</v>
      </c>
      <c r="D72" s="1" t="str">
        <f t="shared" ref="D72:D111" si="1">IF(OR(C72=0,C72=""),"#,##0",CONCATENATE("#,##0.",REPT("0",C72)))</f>
        <v>#,##0</v>
      </c>
      <c r="E72" s="216" t="str">
        <f>iCtryDataTable!D71</f>
        <v>Domestic air freight</v>
      </c>
      <c r="F72" s="217" t="str">
        <f>iCtryDataTable!E71</f>
        <v>tons</v>
      </c>
      <c r="G72" s="220">
        <f ca="1">iCtryDataTable!J71</f>
        <v>9901.2800000000007</v>
      </c>
      <c r="H72" s="142"/>
      <c r="I72" s="150" t="str">
        <f ca="1">iCtryDataTable!L71</f>
        <v>Instituto Nacional de Estadística y Censos (INDEC)</v>
      </c>
      <c r="J72" s="150"/>
      <c r="K72" s="150" t="str">
        <f ca="1">IF(iCtryDataTable!K71=0,"",(iCtryDataTable!K71))</f>
        <v>INDEC collects the data annually.</v>
      </c>
      <c r="L72" s="116"/>
    </row>
    <row r="73" spans="1:12" ht="27.6" customHeight="1" x14ac:dyDescent="0.25">
      <c r="A73" s="116"/>
      <c r="B73">
        <f>iCtryDataTable!C72</f>
        <v>1</v>
      </c>
      <c r="C73">
        <f>iCtryDataTable!G72</f>
        <v>0</v>
      </c>
      <c r="D73" s="1" t="str">
        <f t="shared" si="1"/>
        <v>#,##0</v>
      </c>
      <c r="E73" s="216" t="str">
        <f>iCtryDataTable!D72</f>
        <v>International air freight</v>
      </c>
      <c r="F73" s="217" t="str">
        <f>iCtryDataTable!E72</f>
        <v>tons</v>
      </c>
      <c r="G73" s="220">
        <f ca="1">iCtryDataTable!J72</f>
        <v>245748.56</v>
      </c>
      <c r="H73" s="142"/>
      <c r="I73" s="150" t="str">
        <f ca="1">iCtryDataTable!L72</f>
        <v>Instituto Nacional de Estadística y Censos (INDEC)</v>
      </c>
      <c r="J73" s="150"/>
      <c r="K73" s="150" t="str">
        <f ca="1">IF(iCtryDataTable!K72=0,"",(iCtryDataTable!K72))</f>
        <v>INDEC collects the data annually.</v>
      </c>
      <c r="L73" s="116"/>
    </row>
    <row r="74" spans="1:12" ht="27.6" customHeight="1" x14ac:dyDescent="0.25">
      <c r="A74" s="116"/>
      <c r="B74">
        <f>iCtryDataTable!C73</f>
        <v>1</v>
      </c>
      <c r="C74">
        <f>iCtryDataTable!G73</f>
        <v>1</v>
      </c>
      <c r="D74" s="1" t="str">
        <f t="shared" si="1"/>
        <v>#,##0.0</v>
      </c>
      <c r="E74" s="216" t="str">
        <f>iCtryDataTable!D73</f>
        <v>Domestic air freight productivity</v>
      </c>
      <c r="F74" s="217" t="str">
        <f>iCtryDataTable!E73</f>
        <v>million t-km</v>
      </c>
      <c r="G74" s="219" t="str">
        <f ca="1">iCtryDataTable!J73</f>
        <v>-</v>
      </c>
      <c r="H74" s="141"/>
      <c r="I74" s="150" t="str">
        <f ca="1">iCtryDataTable!L73</f>
        <v/>
      </c>
      <c r="J74" s="150"/>
      <c r="K74" s="150" t="str">
        <f ca="1">IF(iCtryDataTable!K73=0,"",(iCtryDataTable!K73))</f>
        <v/>
      </c>
      <c r="L74" s="116"/>
    </row>
    <row r="75" spans="1:12" ht="33" customHeight="1" x14ac:dyDescent="0.25">
      <c r="A75" s="116"/>
      <c r="B75">
        <f>iCtryDataTable!C74</f>
        <v>0</v>
      </c>
      <c r="C75" t="str">
        <f>iCtryDataTable!G74</f>
        <v/>
      </c>
      <c r="D75" s="1" t="str">
        <f t="shared" si="1"/>
        <v>#,##0</v>
      </c>
      <c r="E75" s="224" t="str">
        <f>iCtryDataTable!D74</f>
        <v xml:space="preserve">WATER TRANSPORTATION </v>
      </c>
      <c r="F75" s="221" t="str">
        <f>iCtryDataTable!E74</f>
        <v/>
      </c>
      <c r="G75" s="222" t="str">
        <f>iCtryDataTable!J74</f>
        <v/>
      </c>
      <c r="H75" s="151"/>
      <c r="I75" s="151" t="str">
        <f ca="1">iCtryDataTable!L74</f>
        <v/>
      </c>
      <c r="J75" s="151"/>
      <c r="K75" s="151" t="str">
        <f ca="1">IF(iCtryDataTable!K74=0,"",(iCtryDataTable!K74))</f>
        <v/>
      </c>
      <c r="L75" s="116"/>
    </row>
    <row r="76" spans="1:12" ht="27.6" customHeight="1" x14ac:dyDescent="0.25">
      <c r="A76" s="116"/>
      <c r="B76">
        <f>iCtryDataTable!C75</f>
        <v>1</v>
      </c>
      <c r="C76">
        <f>iCtryDataTable!G75</f>
        <v>0</v>
      </c>
      <c r="D76" s="1" t="str">
        <f t="shared" si="1"/>
        <v>#,##0</v>
      </c>
      <c r="E76" s="216" t="str">
        <f>iCtryDataTable!D75</f>
        <v>Maximum draft in container terminal</v>
      </c>
      <c r="F76" s="217" t="str">
        <f>iCtryDataTable!E75</f>
        <v>feet</v>
      </c>
      <c r="G76" s="220">
        <f ca="1">iCtryDataTable!J75</f>
        <v>32.808398950131199</v>
      </c>
      <c r="H76" s="142"/>
      <c r="I76" s="150" t="str">
        <f ca="1">iCtryDataTable!L75</f>
        <v>Consejo  Portuario Argentino</v>
      </c>
      <c r="J76" s="150"/>
      <c r="K76" s="150" t="str">
        <f ca="1">IF(iCtryDataTable!K75=0,"",(iCtryDataTable!K75))</f>
        <v>Port of Buenos Aires.</v>
      </c>
      <c r="L76" s="116"/>
    </row>
    <row r="77" spans="1:12" ht="27.6" customHeight="1" x14ac:dyDescent="0.25">
      <c r="A77" s="116"/>
      <c r="B77">
        <f>iCtryDataTable!C76</f>
        <v>1</v>
      </c>
      <c r="C77">
        <f>iCtryDataTable!G76</f>
        <v>0</v>
      </c>
      <c r="D77" s="1" t="str">
        <f t="shared" si="1"/>
        <v>#,##0</v>
      </c>
      <c r="E77" s="216" t="str">
        <f>iCtryDataTable!D76</f>
        <v>Bridge cranes</v>
      </c>
      <c r="F77" s="217" t="str">
        <f>iCtryDataTable!E76</f>
        <v>#</v>
      </c>
      <c r="G77" s="220">
        <f ca="1">iCtryDataTable!J76</f>
        <v>18</v>
      </c>
      <c r="H77" s="142"/>
      <c r="I77" s="150" t="str">
        <f ca="1">iCtryDataTable!L76</f>
        <v>Consejo  Portuario Argentino</v>
      </c>
      <c r="J77" s="150"/>
      <c r="K77" s="150" t="str">
        <f ca="1">IF(iCtryDataTable!K76=0,"",(iCtryDataTable!K76))</f>
        <v>Port of Buenos Aires terminals.</v>
      </c>
      <c r="L77" s="116"/>
    </row>
    <row r="78" spans="1:12" ht="53.45" customHeight="1" x14ac:dyDescent="0.25">
      <c r="A78" s="116"/>
      <c r="B78">
        <f>iCtryDataTable!C77</f>
        <v>1</v>
      </c>
      <c r="C78">
        <f>iCtryDataTable!G77</f>
        <v>0</v>
      </c>
      <c r="D78" s="1" t="str">
        <f t="shared" si="1"/>
        <v>#,##0</v>
      </c>
      <c r="E78" s="216" t="str">
        <f>iCtryDataTable!D77</f>
        <v>Container and multipurpose berth length</v>
      </c>
      <c r="F78" s="217" t="str">
        <f>iCtryDataTable!E77</f>
        <v>meters</v>
      </c>
      <c r="G78" s="220">
        <f ca="1">iCtryDataTable!J77</f>
        <v>26446.51</v>
      </c>
      <c r="H78" s="142"/>
      <c r="I78" s="150" t="str">
        <f ca="1">iCtryDataTable!L77</f>
        <v>Consejo  Portuario Argentino</v>
      </c>
      <c r="J78" s="150"/>
      <c r="K78" s="150" t="str">
        <f ca="1">IF(iCtryDataTable!K77=0,"",(iCtryDataTable!K77))</f>
        <v>Buenos Aires, Bahia Blanca, Mar del Plata, Barranqueras, Villa Constitucion, Comodoro Rivadavia, Madryn, Formosa, Caleta Paula, Deseado, Punta Quilla, Rio Gallegos, San Julian, Ushuaia</v>
      </c>
      <c r="L78" s="116"/>
    </row>
    <row r="79" spans="1:12" ht="53.45" customHeight="1" x14ac:dyDescent="0.25">
      <c r="A79" s="116"/>
      <c r="B79">
        <f>iCtryDataTable!C78</f>
        <v>1</v>
      </c>
      <c r="C79">
        <f>iCtryDataTable!G78</f>
        <v>0</v>
      </c>
      <c r="D79" s="1" t="str">
        <f t="shared" si="1"/>
        <v>#,##0</v>
      </c>
      <c r="E79" s="216" t="str">
        <f>iCtryDataTable!D78</f>
        <v>Container storage facilities area</v>
      </c>
      <c r="F79" s="217" t="str">
        <f>iCtryDataTable!E78</f>
        <v>sq m</v>
      </c>
      <c r="G79" s="220">
        <f ca="1">iCtryDataTable!J78</f>
        <v>354920</v>
      </c>
      <c r="H79" s="142"/>
      <c r="I79" s="150" t="str">
        <f ca="1">iCtryDataTable!L78</f>
        <v>Consejo  Portuario Argentino</v>
      </c>
      <c r="J79" s="150"/>
      <c r="K79" s="150" t="str">
        <f ca="1">IF(iCtryDataTable!K78=0,"",(iCtryDataTable!K78))</f>
        <v>Buenos Aires, Bahia Blanca, Mar del Plata, Barranqueras, Villa Constitucion, Comodoro Rivadavia, Madryn, Formosa, Caleta Paula, Deseado, Punta Quilla, Rio Gallegos, San Julian, Ushuaia</v>
      </c>
      <c r="L79" s="116"/>
    </row>
    <row r="80" spans="1:12" ht="39.6" customHeight="1" x14ac:dyDescent="0.25">
      <c r="A80" s="116"/>
      <c r="B80">
        <f>iCtryDataTable!C79</f>
        <v>1</v>
      </c>
      <c r="C80">
        <f>iCtryDataTable!G79</f>
        <v>1</v>
      </c>
      <c r="D80" s="1" t="str">
        <f t="shared" si="1"/>
        <v>#,##0.0</v>
      </c>
      <c r="E80" s="216" t="str">
        <f>iCtryDataTable!D79</f>
        <v>Flag state commercial vessels</v>
      </c>
      <c r="F80" s="217" t="str">
        <f>iCtryDataTable!E79</f>
        <v>DWT (thousands)</v>
      </c>
      <c r="G80" s="219">
        <f ca="1">iCtryDataTable!J79</f>
        <v>829.16</v>
      </c>
      <c r="H80" s="141"/>
      <c r="I80" s="150" t="str">
        <f ca="1">iCtryDataTable!L79</f>
        <v>Comisión Económica para América Latina y el Caribe (CEPAL)</v>
      </c>
      <c r="J80" s="150"/>
      <c r="K80" s="150" t="str">
        <f ca="1">IF(iCtryDataTable!K79=0,"",(iCtryDataTable!K79))</f>
        <v/>
      </c>
      <c r="L80" s="116"/>
    </row>
    <row r="81" spans="1:12" ht="27.6" customHeight="1" x14ac:dyDescent="0.25">
      <c r="A81" s="116"/>
      <c r="B81">
        <f>iCtryDataTable!C80</f>
        <v>1</v>
      </c>
      <c r="C81">
        <f>iCtryDataTable!G80</f>
        <v>0</v>
      </c>
      <c r="D81" s="1" t="str">
        <f t="shared" si="1"/>
        <v>#,##0</v>
      </c>
      <c r="E81" s="216" t="str">
        <f>iCtryDataTable!D80</f>
        <v>Total port traffic</v>
      </c>
      <c r="F81" s="217" t="str">
        <f>iCtryDataTable!E80</f>
        <v>tons</v>
      </c>
      <c r="G81" s="220" t="str">
        <f ca="1">iCtryDataTable!J80</f>
        <v>-</v>
      </c>
      <c r="H81" s="142"/>
      <c r="I81" s="150" t="str">
        <f ca="1">iCtryDataTable!L80</f>
        <v/>
      </c>
      <c r="J81" s="150"/>
      <c r="K81" s="150" t="str">
        <f ca="1">IF(iCtryDataTable!K80=0,"",(iCtryDataTable!K80))</f>
        <v/>
      </c>
      <c r="L81" s="116"/>
    </row>
    <row r="82" spans="1:12" ht="27.6" customHeight="1" x14ac:dyDescent="0.25">
      <c r="A82" s="116"/>
      <c r="B82">
        <f>iCtryDataTable!C81</f>
        <v>1</v>
      </c>
      <c r="C82">
        <f>iCtryDataTable!G81</f>
        <v>0</v>
      </c>
      <c r="D82" s="1" t="str">
        <f t="shared" si="1"/>
        <v>#,##0</v>
      </c>
      <c r="E82" s="216" t="str">
        <f>iCtryDataTable!D81</f>
        <v>Exports port traffic</v>
      </c>
      <c r="F82" s="217" t="str">
        <f>iCtryDataTable!E81</f>
        <v>tons</v>
      </c>
      <c r="G82" s="220">
        <f ca="1">iCtryDataTable!J81</f>
        <v>94187195.261287004</v>
      </c>
      <c r="H82" s="142"/>
      <c r="I82" s="150" t="str">
        <f ca="1">iCtryDataTable!L81</f>
        <v>Instituto Nacional de Estadística y Censos (INDEC)</v>
      </c>
      <c r="J82" s="150"/>
      <c r="K82" s="150" t="str">
        <f ca="1">IF(iCtryDataTable!K81=0,"",(iCtryDataTable!K81))</f>
        <v/>
      </c>
      <c r="L82" s="116"/>
    </row>
    <row r="83" spans="1:12" ht="27.6" customHeight="1" x14ac:dyDescent="0.25">
      <c r="A83" s="116"/>
      <c r="B83">
        <f>iCtryDataTable!C82</f>
        <v>1</v>
      </c>
      <c r="C83">
        <f>iCtryDataTable!G82</f>
        <v>0</v>
      </c>
      <c r="D83" s="1" t="str">
        <f t="shared" si="1"/>
        <v>#,##0</v>
      </c>
      <c r="E83" s="216" t="str">
        <f>iCtryDataTable!D82</f>
        <v>Imports port traffic</v>
      </c>
      <c r="F83" s="217" t="str">
        <f>iCtryDataTable!E82</f>
        <v>tons</v>
      </c>
      <c r="G83" s="220">
        <f ca="1">iCtryDataTable!J82</f>
        <v>36662289.182351999</v>
      </c>
      <c r="H83" s="142"/>
      <c r="I83" s="150" t="str">
        <f ca="1">iCtryDataTable!L82</f>
        <v>Instituto Nacional de Estadística y Censos (INDEC)</v>
      </c>
      <c r="J83" s="150"/>
      <c r="K83" s="150" t="str">
        <f ca="1">IF(iCtryDataTable!K82=0,"",(iCtryDataTable!K82))</f>
        <v/>
      </c>
      <c r="L83" s="116"/>
    </row>
    <row r="84" spans="1:12" ht="40.9" customHeight="1" x14ac:dyDescent="0.25">
      <c r="A84" s="116"/>
      <c r="B84">
        <f>iCtryDataTable!C83</f>
        <v>1</v>
      </c>
      <c r="C84">
        <f>iCtryDataTable!G83</f>
        <v>0</v>
      </c>
      <c r="D84" s="1" t="str">
        <f t="shared" si="1"/>
        <v>#,##0</v>
      </c>
      <c r="E84" s="216" t="str">
        <f>iCtryDataTable!D83</f>
        <v>Total port traffic domestic movements (inbound &amp; outbound)</v>
      </c>
      <c r="F84" s="217" t="str">
        <f>iCtryDataTable!E83</f>
        <v>tons</v>
      </c>
      <c r="G84" s="220" t="str">
        <f ca="1">iCtryDataTable!J83</f>
        <v>-</v>
      </c>
      <c r="H84" s="142"/>
      <c r="I84" s="150" t="str">
        <f ca="1">iCtryDataTable!L83</f>
        <v/>
      </c>
      <c r="J84" s="150"/>
      <c r="K84" s="150" t="str">
        <f ca="1">IF(iCtryDataTable!K83=0,"",(iCtryDataTable!K83))</f>
        <v/>
      </c>
      <c r="L84" s="116"/>
    </row>
    <row r="85" spans="1:12" ht="39.6" customHeight="1" x14ac:dyDescent="0.25">
      <c r="A85" s="116"/>
      <c r="B85">
        <f>iCtryDataTable!C84</f>
        <v>1</v>
      </c>
      <c r="C85">
        <f>iCtryDataTable!G84</f>
        <v>0</v>
      </c>
      <c r="D85" s="1" t="str">
        <f t="shared" si="1"/>
        <v>#,##0</v>
      </c>
      <c r="E85" s="216" t="str">
        <f>iCtryDataTable!D84</f>
        <v>Port container traffic</v>
      </c>
      <c r="F85" s="217" t="str">
        <f>iCtryDataTable!E84</f>
        <v>TEU</v>
      </c>
      <c r="G85" s="220">
        <f ca="1">iCtryDataTable!J84</f>
        <v>1852160</v>
      </c>
      <c r="H85" s="142"/>
      <c r="I85" s="150" t="str">
        <f ca="1">iCtryDataTable!L84</f>
        <v>Comisión Económica para América Latina y el Caribe (CEPAL)</v>
      </c>
      <c r="J85" s="150"/>
      <c r="K85" s="150" t="str">
        <f ca="1">IF(iCtryDataTable!K84=0,"",(iCtryDataTable!K84))</f>
        <v/>
      </c>
      <c r="L85" s="116"/>
    </row>
    <row r="86" spans="1:12" ht="39.6" customHeight="1" x14ac:dyDescent="0.25">
      <c r="A86" s="116"/>
      <c r="B86">
        <f>iCtryDataTable!C85</f>
        <v>1</v>
      </c>
      <c r="C86">
        <f>iCtryDataTable!G85</f>
        <v>0</v>
      </c>
      <c r="D86" s="1" t="str">
        <f t="shared" si="1"/>
        <v>#,##0</v>
      </c>
      <c r="E86" s="216" t="str">
        <f>iCtryDataTable!D85</f>
        <v>Inland waterway traffic</v>
      </c>
      <c r="F86" s="217" t="str">
        <f>iCtryDataTable!E85</f>
        <v>tons</v>
      </c>
      <c r="G86" s="220">
        <f ca="1">iCtryDataTable!J85</f>
        <v>225288304.88299999</v>
      </c>
      <c r="H86" s="142"/>
      <c r="I86" s="150" t="str">
        <f ca="1">iCtryDataTable!L85</f>
        <v>Instituto Nacional de Estadística y Censos (INDEC)</v>
      </c>
      <c r="J86" s="150"/>
      <c r="K86" s="150" t="str">
        <f ca="1">IF(iCtryDataTable!K85=0,"",(iCtryDataTable!K85))</f>
        <v>Based on data extrapolation from years 2008-2011. Annual frequency.</v>
      </c>
      <c r="L86" s="116"/>
    </row>
    <row r="87" spans="1:12" ht="27.6" customHeight="1" x14ac:dyDescent="0.25">
      <c r="A87" s="116"/>
      <c r="B87">
        <f>iCtryDataTable!C86</f>
        <v>1</v>
      </c>
      <c r="C87">
        <f>iCtryDataTable!G86</f>
        <v>0</v>
      </c>
      <c r="D87" s="1" t="str">
        <f t="shared" si="1"/>
        <v>#,##0</v>
      </c>
      <c r="E87" s="216" t="str">
        <f>iCtryDataTable!D86</f>
        <v>Maritime cabotage traffic</v>
      </c>
      <c r="F87" s="217" t="str">
        <f>iCtryDataTable!E86</f>
        <v>tons</v>
      </c>
      <c r="G87" s="220" t="str">
        <f ca="1">iCtryDataTable!J86</f>
        <v>-</v>
      </c>
      <c r="H87" s="142"/>
      <c r="I87" s="150" t="str">
        <f ca="1">iCtryDataTable!L86</f>
        <v/>
      </c>
      <c r="J87" s="150"/>
      <c r="K87" s="150" t="str">
        <f ca="1">IF(iCtryDataTable!K86=0,"",(iCtryDataTable!K86))</f>
        <v/>
      </c>
      <c r="L87" s="116"/>
    </row>
    <row r="88" spans="1:12" ht="27.6" customHeight="1" x14ac:dyDescent="0.25">
      <c r="A88" s="116"/>
      <c r="B88">
        <f>iCtryDataTable!C87</f>
        <v>1</v>
      </c>
      <c r="C88">
        <f>iCtryDataTable!G87</f>
        <v>2</v>
      </c>
      <c r="D88" s="1" t="str">
        <f t="shared" si="1"/>
        <v>#,##0.00</v>
      </c>
      <c r="E88" s="216" t="str">
        <f>iCtryDataTable!D87</f>
        <v>Average tariff  maritime cabotage</v>
      </c>
      <c r="F88" s="217" t="str">
        <f>iCtryDataTable!E87</f>
        <v>US$/t-km</v>
      </c>
      <c r="G88" s="218" t="str">
        <f ca="1">iCtryDataTable!J87</f>
        <v>-</v>
      </c>
      <c r="H88" s="140"/>
      <c r="I88" s="150" t="str">
        <f ca="1">iCtryDataTable!L87</f>
        <v/>
      </c>
      <c r="J88" s="150"/>
      <c r="K88" s="150" t="str">
        <f ca="1">IF(iCtryDataTable!K87=0,"",(iCtryDataTable!K87))</f>
        <v/>
      </c>
      <c r="L88" s="116"/>
    </row>
    <row r="89" spans="1:12" ht="39.6" customHeight="1" x14ac:dyDescent="0.25">
      <c r="A89" s="116"/>
      <c r="B89">
        <f>iCtryDataTable!C88</f>
        <v>1</v>
      </c>
      <c r="C89">
        <f>iCtryDataTable!G88</f>
        <v>1</v>
      </c>
      <c r="D89" s="1" t="str">
        <f t="shared" si="1"/>
        <v>#,##0.0</v>
      </c>
      <c r="E89" s="216" t="str">
        <f>iCtryDataTable!D88</f>
        <v>Liner shipping connectivity index</v>
      </c>
      <c r="F89" s="217" t="str">
        <f>iCtryDataTable!E88</f>
        <v>2004=100</v>
      </c>
      <c r="G89" s="219">
        <f ca="1">iCtryDataTable!J88</f>
        <v>34.208993786699999</v>
      </c>
      <c r="H89" s="141"/>
      <c r="I89" s="150" t="str">
        <f ca="1">iCtryDataTable!L88</f>
        <v>Conferencia de las Naciones Unidas sobre Comercio y Desarrollo (CNUCYD/UNCTAD)</v>
      </c>
      <c r="J89" s="150"/>
      <c r="K89" s="150" t="str">
        <f ca="1">IF(iCtryDataTable!K88=0,"",(iCtryDataTable!K88))</f>
        <v>UNCTAD calculates the index annually.</v>
      </c>
      <c r="L89" s="116"/>
    </row>
    <row r="90" spans="1:12" ht="39.6" customHeight="1" x14ac:dyDescent="0.25">
      <c r="A90" s="116"/>
      <c r="B90">
        <f>iCtryDataTable!C89</f>
        <v>1</v>
      </c>
      <c r="C90">
        <f>iCtryDataTable!G89</f>
        <v>1</v>
      </c>
      <c r="D90" s="1" t="str">
        <f t="shared" si="1"/>
        <v>#,##0.0</v>
      </c>
      <c r="E90" s="216" t="str">
        <f>iCtryDataTable!D89</f>
        <v>Container terminal utilization</v>
      </c>
      <c r="F90" s="217" t="str">
        <f>iCtryDataTable!E89</f>
        <v>%</v>
      </c>
      <c r="G90" s="219">
        <f ca="1">iCtryDataTable!J89</f>
        <v>0.48696737314501598</v>
      </c>
      <c r="H90" s="141"/>
      <c r="I90" s="150" t="str">
        <f ca="1">iCtryDataTable!L89</f>
        <v>CEPAL (2010), Drewry (2012) y Anuario internacional de contenerizacion (2012)</v>
      </c>
      <c r="J90" s="150"/>
      <c r="K90" s="150" t="str">
        <f ca="1">IF(iCtryDataTable!K89=0,"",(iCtryDataTable!K89))</f>
        <v>Includes terminals from the Port of Buenos Aires.</v>
      </c>
      <c r="L90" s="116"/>
    </row>
    <row r="91" spans="1:12" ht="39.6" customHeight="1" x14ac:dyDescent="0.25">
      <c r="A91" s="116"/>
      <c r="B91">
        <f>iCtryDataTable!C90</f>
        <v>1</v>
      </c>
      <c r="C91">
        <f>iCtryDataTable!G90</f>
        <v>0</v>
      </c>
      <c r="D91" s="1" t="str">
        <f t="shared" si="1"/>
        <v>#,##0</v>
      </c>
      <c r="E91" s="216" t="str">
        <f>iCtryDataTable!D90</f>
        <v>Container terminal extent of competition</v>
      </c>
      <c r="F91" s="217" t="str">
        <f>iCtryDataTable!E90</f>
        <v># terminals</v>
      </c>
      <c r="G91" s="220">
        <f ca="1">iCtryDataTable!J90</f>
        <v>4</v>
      </c>
      <c r="H91" s="142"/>
      <c r="I91" s="150" t="str">
        <f ca="1">iCtryDataTable!L90</f>
        <v>Drewry, Informe Anual de Operadores Globales de Terminales de Contenedores (2012)</v>
      </c>
      <c r="J91" s="150"/>
      <c r="K91" s="150" t="str">
        <f ca="1">IF(iCtryDataTable!K90=0,"",(iCtryDataTable!K90))</f>
        <v>Includes terminals from the Port of Buenos Aires.</v>
      </c>
      <c r="L91" s="116"/>
    </row>
    <row r="92" spans="1:12" ht="39.6" customHeight="1" x14ac:dyDescent="0.25">
      <c r="A92" s="116"/>
      <c r="B92">
        <f>iCtryDataTable!C91</f>
        <v>1</v>
      </c>
      <c r="C92">
        <f>iCtryDataTable!G91</f>
        <v>0</v>
      </c>
      <c r="D92" s="1" t="str">
        <f t="shared" si="1"/>
        <v>#,##0</v>
      </c>
      <c r="E92" s="216" t="str">
        <f>iCtryDataTable!D91</f>
        <v>Gateway proximity to population center.</v>
      </c>
      <c r="F92" s="217" t="str">
        <f>iCtryDataTable!E91</f>
        <v>proximity scale</v>
      </c>
      <c r="G92" s="220">
        <f ca="1">iCtryDataTable!J91</f>
        <v>2</v>
      </c>
      <c r="H92" s="142"/>
      <c r="I92" s="150" t="str">
        <f ca="1">iCtryDataTable!L91</f>
        <v>Anuario Internacional de Conteinerización (2012)</v>
      </c>
      <c r="J92" s="150"/>
      <c r="K92" s="150" t="str">
        <f ca="1">IF(iCtryDataTable!K91=0,"",(iCtryDataTable!K91))</f>
        <v>Distance between the Port of Buenos Aires and the outter limits of the city.</v>
      </c>
      <c r="L92" s="116"/>
    </row>
    <row r="93" spans="1:12" ht="27.6" customHeight="1" x14ac:dyDescent="0.25">
      <c r="A93" s="116"/>
      <c r="B93">
        <f>iCtryDataTable!C92</f>
        <v>1</v>
      </c>
      <c r="C93">
        <f>iCtryDataTable!G92</f>
        <v>1</v>
      </c>
      <c r="D93" s="1" t="str">
        <f t="shared" si="1"/>
        <v>#,##0.0</v>
      </c>
      <c r="E93" s="216" t="str">
        <f>iCtryDataTable!D92</f>
        <v>Truck supply relative to port volume</v>
      </c>
      <c r="F93" s="217" t="str">
        <f>iCtryDataTable!E92</f>
        <v>teu/truck</v>
      </c>
      <c r="G93" s="219">
        <f ca="1">iCtryDataTable!J92</f>
        <v>3.1208675666749799</v>
      </c>
      <c r="H93" s="141"/>
      <c r="I93" s="150" t="str">
        <f ca="1">iCtryDataTable!L92</f>
        <v>INDEC y Asociación de Fábricas de Automotores (ADEFA)</v>
      </c>
      <c r="J93" s="150"/>
      <c r="K93" s="150" t="str">
        <f ca="1">IF(iCtryDataTable!K92=0,"",(iCtryDataTable!K92))</f>
        <v/>
      </c>
      <c r="L93" s="116"/>
    </row>
    <row r="94" spans="1:12" ht="33" customHeight="1" x14ac:dyDescent="0.25">
      <c r="A94" s="116"/>
      <c r="B94">
        <f>iCtryDataTable!C93</f>
        <v>0</v>
      </c>
      <c r="C94" t="str">
        <f>iCtryDataTable!G93</f>
        <v/>
      </c>
      <c r="D94" s="1" t="str">
        <f t="shared" si="1"/>
        <v>#,##0</v>
      </c>
      <c r="E94" s="224" t="str">
        <f>iCtryDataTable!D93</f>
        <v>LOGISTICS ACTIVITIES</v>
      </c>
      <c r="F94" s="221" t="str">
        <f>iCtryDataTable!E93</f>
        <v/>
      </c>
      <c r="G94" s="222" t="str">
        <f>iCtryDataTable!J93</f>
        <v/>
      </c>
      <c r="H94" s="151"/>
      <c r="I94" s="151" t="str">
        <f ca="1">iCtryDataTable!L93</f>
        <v/>
      </c>
      <c r="J94" s="151"/>
      <c r="K94" s="151" t="str">
        <f ca="1">IF(iCtryDataTable!K93=0,"",(iCtryDataTable!K93))</f>
        <v/>
      </c>
      <c r="L94" s="116"/>
    </row>
    <row r="95" spans="1:12" ht="27.6" customHeight="1" x14ac:dyDescent="0.25">
      <c r="A95" s="116"/>
      <c r="B95">
        <f>iCtryDataTable!C94</f>
        <v>1</v>
      </c>
      <c r="C95">
        <f>iCtryDataTable!G94</f>
        <v>0</v>
      </c>
      <c r="D95" s="1" t="str">
        <f t="shared" si="1"/>
        <v>#,##0</v>
      </c>
      <c r="E95" s="216" t="str">
        <f>iCtryDataTable!D94</f>
        <v>Logistics centers' surface</v>
      </c>
      <c r="F95" s="217" t="str">
        <f>iCtryDataTable!E94</f>
        <v>sq m</v>
      </c>
      <c r="G95" s="220" t="str">
        <f ca="1">iCtryDataTable!J94</f>
        <v>-</v>
      </c>
      <c r="H95" s="142"/>
      <c r="I95" s="150" t="str">
        <f ca="1">iCtryDataTable!L94</f>
        <v/>
      </c>
      <c r="J95" s="150"/>
      <c r="K95" s="150" t="str">
        <f ca="1">IF(iCtryDataTable!K94=0,"",(iCtryDataTable!K94))</f>
        <v/>
      </c>
      <c r="L95" s="116"/>
    </row>
    <row r="96" spans="1:12" ht="27.6" customHeight="1" x14ac:dyDescent="0.25">
      <c r="A96" s="116"/>
      <c r="B96">
        <f>iCtryDataTable!C95</f>
        <v>1</v>
      </c>
      <c r="C96">
        <f>iCtryDataTable!G95</f>
        <v>0</v>
      </c>
      <c r="D96" s="1" t="str">
        <f t="shared" si="1"/>
        <v>#,##0</v>
      </c>
      <c r="E96" s="216" t="str">
        <f>iCtryDataTable!D95</f>
        <v>Cold facilities total surface</v>
      </c>
      <c r="F96" s="217" t="str">
        <f>iCtryDataTable!E95</f>
        <v>sq m</v>
      </c>
      <c r="G96" s="220" t="str">
        <f ca="1">iCtryDataTable!J95</f>
        <v>-</v>
      </c>
      <c r="H96" s="142"/>
      <c r="I96" s="150" t="str">
        <f ca="1">iCtryDataTable!L95</f>
        <v/>
      </c>
      <c r="J96" s="150"/>
      <c r="K96" s="150" t="str">
        <f ca="1">IF(iCtryDataTable!K95=0,"",(iCtryDataTable!K95))</f>
        <v/>
      </c>
      <c r="L96" s="116"/>
    </row>
    <row r="97" spans="1:12" ht="27.6" customHeight="1" x14ac:dyDescent="0.25">
      <c r="A97" s="116"/>
      <c r="B97">
        <f>iCtryDataTable!C96</f>
        <v>1</v>
      </c>
      <c r="C97">
        <f>iCtryDataTable!G96</f>
        <v>0</v>
      </c>
      <c r="D97" s="1" t="str">
        <f t="shared" si="1"/>
        <v>#,##0</v>
      </c>
      <c r="E97" s="216" t="str">
        <f>iCtryDataTable!D96</f>
        <v>Position in LPI ranking</v>
      </c>
      <c r="F97" s="217" t="str">
        <f>iCtryDataTable!E96</f>
        <v>#</v>
      </c>
      <c r="G97" s="220">
        <f ca="1">iCtryDataTable!J96</f>
        <v>49</v>
      </c>
      <c r="H97" s="142"/>
      <c r="I97" s="150" t="str">
        <f ca="1">iCtryDataTable!L96</f>
        <v>Banco Mundial</v>
      </c>
      <c r="J97" s="150"/>
      <c r="K97" s="150" t="str">
        <f ca="1">IF(iCtryDataTable!K96=0,"",(iCtryDataTable!K96))</f>
        <v/>
      </c>
      <c r="L97" s="116"/>
    </row>
    <row r="98" spans="1:12" ht="27.6" customHeight="1" x14ac:dyDescent="0.25">
      <c r="A98" s="116"/>
      <c r="B98">
        <f>iCtryDataTable!C97</f>
        <v>1</v>
      </c>
      <c r="C98">
        <f>iCtryDataTable!G97</f>
        <v>2</v>
      </c>
      <c r="D98" s="1" t="str">
        <f t="shared" si="1"/>
        <v>#,##0.00</v>
      </c>
      <c r="E98" s="216" t="str">
        <f>iCtryDataTable!D97</f>
        <v>Logistics performance index (LPI) overall score</v>
      </c>
      <c r="F98" s="217" t="str">
        <f>iCtryDataTable!E97</f>
        <v>#</v>
      </c>
      <c r="G98" s="218">
        <f ca="1">iCtryDataTable!J97</f>
        <v>3.05</v>
      </c>
      <c r="H98" s="140"/>
      <c r="I98" s="150" t="str">
        <f ca="1">iCtryDataTable!L97</f>
        <v>Índice de desempeño logístico (LPI), Banco Mundial</v>
      </c>
      <c r="J98" s="150"/>
      <c r="K98" s="150" t="str">
        <f ca="1">IF(iCtryDataTable!K97=0,"",(iCtryDataTable!K97))</f>
        <v>Collection every 2 years.</v>
      </c>
      <c r="L98" s="116"/>
    </row>
    <row r="99" spans="1:12" ht="27.6" customHeight="1" x14ac:dyDescent="0.25">
      <c r="A99" s="116"/>
      <c r="B99">
        <f>iCtryDataTable!C98</f>
        <v>1</v>
      </c>
      <c r="C99">
        <f>iCtryDataTable!G98</f>
        <v>2</v>
      </c>
      <c r="D99" s="1" t="str">
        <f t="shared" si="1"/>
        <v>#,##0.00</v>
      </c>
      <c r="E99" s="216" t="str">
        <f>iCtryDataTable!D98</f>
        <v>LPI infrastructure index</v>
      </c>
      <c r="F99" s="217" t="str">
        <f>iCtryDataTable!E98</f>
        <v>#</v>
      </c>
      <c r="G99" s="218">
        <f ca="1">iCtryDataTable!J98</f>
        <v>2.94</v>
      </c>
      <c r="H99" s="140"/>
      <c r="I99" s="150" t="str">
        <f ca="1">iCtryDataTable!L98</f>
        <v>Índice de desempeño logístico (LPI), Banco Mundial</v>
      </c>
      <c r="J99" s="150"/>
      <c r="K99" s="150" t="str">
        <f ca="1">IF(iCtryDataTable!K98=0,"",(iCtryDataTable!K98))</f>
        <v/>
      </c>
      <c r="L99" s="116"/>
    </row>
    <row r="100" spans="1:12" ht="27.6" customHeight="1" x14ac:dyDescent="0.25">
      <c r="A100" s="116"/>
      <c r="B100">
        <f>iCtryDataTable!C99</f>
        <v>1</v>
      </c>
      <c r="C100">
        <f>iCtryDataTable!G99</f>
        <v>2</v>
      </c>
      <c r="D100" s="1" t="str">
        <f t="shared" si="1"/>
        <v>#,##0.00</v>
      </c>
      <c r="E100" s="216" t="str">
        <f>iCtryDataTable!D99</f>
        <v>LPI competence (services) index</v>
      </c>
      <c r="F100" s="217" t="str">
        <f>iCtryDataTable!E99</f>
        <v>#</v>
      </c>
      <c r="G100" s="218">
        <f ca="1">iCtryDataTable!J99</f>
        <v>2.95</v>
      </c>
      <c r="H100" s="140"/>
      <c r="I100" s="150" t="str">
        <f ca="1">iCtryDataTable!L99</f>
        <v>Índice de desempeño logístico (LPI), Banco Mundial</v>
      </c>
      <c r="J100" s="150"/>
      <c r="K100" s="150" t="str">
        <f ca="1">IF(iCtryDataTable!K99=0,"",(iCtryDataTable!K99))</f>
        <v/>
      </c>
      <c r="L100" s="116"/>
    </row>
    <row r="101" spans="1:12" ht="33" customHeight="1" x14ac:dyDescent="0.25">
      <c r="A101" s="116"/>
      <c r="B101">
        <f>iCtryDataTable!C100</f>
        <v>0</v>
      </c>
      <c r="C101" t="str">
        <f>iCtryDataTable!G100</f>
        <v/>
      </c>
      <c r="D101" s="1" t="str">
        <f t="shared" si="1"/>
        <v>#,##0</v>
      </c>
      <c r="E101" s="224" t="str">
        <f>iCtryDataTable!D100</f>
        <v>CALCULATED INDICATORS</v>
      </c>
      <c r="F101" s="221" t="str">
        <f>iCtryDataTable!E100</f>
        <v/>
      </c>
      <c r="G101" s="222" t="str">
        <f>iCtryDataTable!J100</f>
        <v/>
      </c>
      <c r="H101" s="151"/>
      <c r="I101" s="151" t="str">
        <f ca="1">iCtryDataTable!L100</f>
        <v/>
      </c>
      <c r="J101" s="151"/>
      <c r="K101" s="151" t="str">
        <f ca="1">IF(iCtryDataTable!K100=0,"",(iCtryDataTable!K100))</f>
        <v/>
      </c>
      <c r="L101" s="116"/>
    </row>
    <row r="102" spans="1:12" ht="39.6" customHeight="1" x14ac:dyDescent="0.25">
      <c r="A102" s="116"/>
      <c r="B102">
        <f>iCtryDataTable!C101</f>
        <v>1</v>
      </c>
      <c r="C102">
        <f>iCtryDataTable!G101</f>
        <v>0</v>
      </c>
      <c r="D102" s="1" t="str">
        <f t="shared" si="1"/>
        <v>#,##0</v>
      </c>
      <c r="E102" s="216" t="str">
        <f>iCtryDataTable!D101</f>
        <v>GDP / capita</v>
      </c>
      <c r="F102" s="217" t="str">
        <f>iCtryDataTable!E101</f>
        <v>US$/capita</v>
      </c>
      <c r="G102" s="220">
        <f ca="1">iCtryDataTable!J101</f>
        <v>11547.898269965235</v>
      </c>
      <c r="H102" s="142"/>
      <c r="I102" s="150" t="str">
        <f ca="1">iCtryDataTable!L101</f>
        <v>Fondo Monetario Internacional (FMI);Indicadores de Desarrollo Mundial (WDI);</v>
      </c>
      <c r="J102" s="150"/>
      <c r="K102" s="150" t="str">
        <f ca="1">IF(iCtryDataTable!K101=0,"",(iCtryDataTable!K101))</f>
        <v>Calculation</v>
      </c>
      <c r="L102" s="116"/>
    </row>
    <row r="103" spans="1:12" ht="39.6" customHeight="1" x14ac:dyDescent="0.25">
      <c r="A103" s="116"/>
      <c r="B103">
        <f>iCtryDataTable!C102</f>
        <v>1</v>
      </c>
      <c r="C103">
        <f>iCtryDataTable!G102</f>
        <v>1</v>
      </c>
      <c r="D103" s="1" t="str">
        <f t="shared" si="1"/>
        <v>#,##0.0</v>
      </c>
      <c r="E103" s="216" t="str">
        <f>iCtryDataTable!D102</f>
        <v>Trade balance / GDP</v>
      </c>
      <c r="F103" s="217" t="str">
        <f>iCtryDataTable!E102</f>
        <v>% of GDP</v>
      </c>
      <c r="G103" s="219">
        <f ca="1">iCtryDataTable!J102</f>
        <v>3.3970347000497054</v>
      </c>
      <c r="H103" s="141"/>
      <c r="I103" s="150" t="str">
        <f ca="1">iCtryDataTable!L102</f>
        <v>Fondo Monetario Internacional (FMI);Fondo Monetario Internacional (FMI);</v>
      </c>
      <c r="J103" s="150"/>
      <c r="K103" s="150" t="str">
        <f ca="1">IF(iCtryDataTable!K102=0,"",(iCtryDataTable!K102))</f>
        <v>Calculation</v>
      </c>
      <c r="L103" s="116"/>
    </row>
    <row r="104" spans="1:12" ht="39.6" customHeight="1" x14ac:dyDescent="0.25">
      <c r="A104" s="116"/>
      <c r="B104">
        <f>iCtryDataTable!C103</f>
        <v>1</v>
      </c>
      <c r="C104">
        <f>iCtryDataTable!G103</f>
        <v>1</v>
      </c>
      <c r="D104" s="1" t="str">
        <f t="shared" si="1"/>
        <v>#,##0.0</v>
      </c>
      <c r="E104" s="216" t="str">
        <f>iCtryDataTable!D103</f>
        <v>Total vehicles / 1000 inhabitants</v>
      </c>
      <c r="F104" s="217" t="str">
        <f>iCtryDataTable!E103</f>
        <v>vehicles/1,000 inhabitants</v>
      </c>
      <c r="G104" s="219">
        <f ca="1">iCtryDataTable!J103</f>
        <v>279.12101799106381</v>
      </c>
      <c r="H104" s="141"/>
      <c r="I104" s="150" t="str">
        <f ca="1">iCtryDataTable!L103</f>
        <v>Asociación de Fábricas de Automotores (ADEFA);Indicadores de Desarrollo Mundial (WDI);</v>
      </c>
      <c r="J104" s="150"/>
      <c r="K104" s="150" t="str">
        <f ca="1">IF(iCtryDataTable!K103=0,"",(iCtryDataTable!K103))</f>
        <v>Calculation</v>
      </c>
      <c r="L104" s="116"/>
    </row>
    <row r="105" spans="1:12" ht="39.6" customHeight="1" x14ac:dyDescent="0.25">
      <c r="A105" s="116"/>
      <c r="B105">
        <f>iCtryDataTable!C104</f>
        <v>1</v>
      </c>
      <c r="C105">
        <f>iCtryDataTable!G104</f>
        <v>1</v>
      </c>
      <c r="D105" s="1" t="str">
        <f t="shared" si="1"/>
        <v>#,##0.0</v>
      </c>
      <c r="E105" s="216" t="str">
        <f>iCtryDataTable!D104</f>
        <v>Heavy vehicles / 1000 inhabitants</v>
      </c>
      <c r="F105" s="217" t="str">
        <f>iCtryDataTable!E104</f>
        <v>vehicles/1,000 inhabitants</v>
      </c>
      <c r="G105" s="219">
        <f ca="1">iCtryDataTable!J104</f>
        <v>14.433924318816475</v>
      </c>
      <c r="H105" s="141"/>
      <c r="I105" s="150" t="str">
        <f ca="1">iCtryDataTable!L104</f>
        <v>Asociación de Fábricas de Automotores (ADEFA);Indicadores de Desarrollo Mundial (WDI);</v>
      </c>
      <c r="J105" s="150"/>
      <c r="K105" s="150" t="str">
        <f ca="1">IF(iCtryDataTable!K104=0,"",(iCtryDataTable!K104))</f>
        <v>Calculation</v>
      </c>
      <c r="L105" s="116"/>
    </row>
    <row r="106" spans="1:12" ht="39.6" customHeight="1" x14ac:dyDescent="0.25">
      <c r="A106" s="116"/>
      <c r="B106">
        <f>iCtryDataTable!C105</f>
        <v>1</v>
      </c>
      <c r="C106">
        <f>iCtryDataTable!G105</f>
        <v>2</v>
      </c>
      <c r="D106" s="1" t="str">
        <f t="shared" si="1"/>
        <v>#,##0.00</v>
      </c>
      <c r="E106" s="216" t="str">
        <f>iCtryDataTable!D105</f>
        <v>Diesel oil consumption / capita</v>
      </c>
      <c r="F106" s="217" t="str">
        <f>iCtryDataTable!E105</f>
        <v>barrels/capita/year</v>
      </c>
      <c r="G106" s="218">
        <f ca="1">iCtryDataTable!J105</f>
        <v>1.7262951693696773</v>
      </c>
      <c r="H106" s="140"/>
      <c r="I106" s="150" t="str">
        <f ca="1">iCtryDataTable!L105</f>
        <v>Organización Latinoamericana de Energía (OLADE);Indicadores de Desarrollo Mundial (WDI);</v>
      </c>
      <c r="J106" s="150"/>
      <c r="K106" s="150" t="str">
        <f ca="1">IF(iCtryDataTable!K105=0,"",(iCtryDataTable!K105))</f>
        <v>Calculation</v>
      </c>
      <c r="L106" s="116"/>
    </row>
    <row r="107" spans="1:12" ht="39.6" customHeight="1" x14ac:dyDescent="0.25">
      <c r="A107" s="116"/>
      <c r="B107">
        <f>iCtryDataTable!C106</f>
        <v>1</v>
      </c>
      <c r="C107">
        <f>iCtryDataTable!G106</f>
        <v>2</v>
      </c>
      <c r="D107" s="1" t="str">
        <f t="shared" si="1"/>
        <v>#,##0.00</v>
      </c>
      <c r="E107" s="216" t="str">
        <f>iCtryDataTable!D106</f>
        <v>Gasoline consumption / capita</v>
      </c>
      <c r="F107" s="217" t="str">
        <f>iCtryDataTable!E106</f>
        <v>barrels/capita/year</v>
      </c>
      <c r="G107" s="218">
        <f ca="1">iCtryDataTable!J106</f>
        <v>0.93716973614594901</v>
      </c>
      <c r="H107" s="140"/>
      <c r="I107" s="150" t="str">
        <f ca="1">iCtryDataTable!L106</f>
        <v>Organización Latinoamericana de Energía (OLADE);Indicadores de Desarrollo Mundial (WDI);</v>
      </c>
      <c r="J107" s="150"/>
      <c r="K107" s="150" t="str">
        <f ca="1">IF(iCtryDataTable!K106=0,"",(iCtryDataTable!K106))</f>
        <v>Calculation</v>
      </c>
      <c r="L107" s="116"/>
    </row>
    <row r="108" spans="1:12" ht="39.6" customHeight="1" x14ac:dyDescent="0.25">
      <c r="A108" s="116"/>
      <c r="B108">
        <f>iCtryDataTable!C107</f>
        <v>1</v>
      </c>
      <c r="C108">
        <f>iCtryDataTable!G107</f>
        <v>2</v>
      </c>
      <c r="D108" s="1" t="str">
        <f t="shared" si="1"/>
        <v>#,##0.00</v>
      </c>
      <c r="E108" s="216" t="str">
        <f>iCtryDataTable!D107</f>
        <v>Road density (area)</v>
      </c>
      <c r="F108" s="217" t="str">
        <f>iCtryDataTable!E107</f>
        <v>km/km2</v>
      </c>
      <c r="G108" s="218">
        <f ca="1">iCtryDataTable!J107</f>
        <v>0.22611586822039997</v>
      </c>
      <c r="H108" s="140"/>
      <c r="I108" s="150" t="str">
        <f ca="1">iCtryDataTable!L107</f>
        <v>Dirección Nacional de Vialidad (DNV);Indicadores de Desarrollo Mundial (WDI);</v>
      </c>
      <c r="J108" s="150"/>
      <c r="K108" s="150" t="str">
        <f ca="1">IF(iCtryDataTable!K107=0,"",(iCtryDataTable!K107))</f>
        <v>Calculation</v>
      </c>
      <c r="L108" s="116"/>
    </row>
    <row r="109" spans="1:12" ht="39.6" customHeight="1" x14ac:dyDescent="0.25">
      <c r="A109" s="116"/>
      <c r="B109">
        <f>iCtryDataTable!C108</f>
        <v>1</v>
      </c>
      <c r="C109">
        <f>iCtryDataTable!G108</f>
        <v>1</v>
      </c>
      <c r="D109" s="1" t="str">
        <f t="shared" si="1"/>
        <v>#,##0.0</v>
      </c>
      <c r="E109" s="216" t="str">
        <f>iCtryDataTable!D108</f>
        <v>Road density (population)</v>
      </c>
      <c r="F109" s="217" t="str">
        <f>iCtryDataTable!E108</f>
        <v>km/1,000 inhabitants</v>
      </c>
      <c r="G109" s="219">
        <f ca="1">iCtryDataTable!J108</f>
        <v>15.290425949563229</v>
      </c>
      <c r="H109" s="141"/>
      <c r="I109" s="150" t="str">
        <f ca="1">iCtryDataTable!L108</f>
        <v>Dirección Nacional de Vialidad (DNV);Indicadores de Desarrollo Mundial (WDI);</v>
      </c>
      <c r="J109" s="150"/>
      <c r="K109" s="150" t="str">
        <f ca="1">IF(iCtryDataTable!K108=0,"",(iCtryDataTable!K108))</f>
        <v>Calculation</v>
      </c>
      <c r="L109" s="116"/>
    </row>
    <row r="110" spans="1:12" ht="27.6" customHeight="1" x14ac:dyDescent="0.25">
      <c r="A110" s="116"/>
      <c r="B110">
        <f>iCtryDataTable!C109</f>
        <v>1</v>
      </c>
      <c r="C110">
        <f>iCtryDataTable!G109</f>
        <v>3</v>
      </c>
      <c r="D110" s="1" t="str">
        <f t="shared" si="1"/>
        <v>#,##0.000</v>
      </c>
      <c r="E110" s="216" t="str">
        <f>iCtryDataTable!D109</f>
        <v>Rail traffic density</v>
      </c>
      <c r="F110" s="217" t="str">
        <f>iCtryDataTable!E109</f>
        <v>million t-km/km</v>
      </c>
      <c r="G110" s="223">
        <f ca="1">iCtryDataTable!J109</f>
        <v>1.2118603481656672E-3</v>
      </c>
      <c r="H110" s="143"/>
      <c r="I110" s="150" t="str">
        <f ca="1">iCtryDataTable!L109</f>
        <v>Comisión Nacional de Regulación del Transporte (CNRT);</v>
      </c>
      <c r="J110" s="150"/>
      <c r="K110" s="150" t="str">
        <f ca="1">IF(iCtryDataTable!K109=0,"",(iCtryDataTable!K109))</f>
        <v>Calculation</v>
      </c>
      <c r="L110" s="116"/>
    </row>
    <row r="111" spans="1:12" ht="53.45" customHeight="1" x14ac:dyDescent="0.25">
      <c r="A111" s="116"/>
      <c r="B111">
        <f>iCtryDataTable!C110</f>
        <v>1</v>
      </c>
      <c r="C111">
        <f>iCtryDataTable!G110</f>
        <v>1</v>
      </c>
      <c r="D111" s="1" t="str">
        <f t="shared" si="1"/>
        <v>#,##0.0</v>
      </c>
      <c r="E111" s="216" t="str">
        <f>iCtryDataTable!D110</f>
        <v>Number of Trucks / number of trailers</v>
      </c>
      <c r="F111" s="217" t="str">
        <f>iCtryDataTable!E110</f>
        <v>#</v>
      </c>
      <c r="G111" s="219">
        <f ca="1">iCtryDataTable!J110</f>
        <v>9.4837802422576623</v>
      </c>
      <c r="H111" s="141"/>
      <c r="I111" s="150" t="str">
        <f ca="1">iCtryDataTable!L110</f>
        <v>Asociación de Fábricas de Automotores (ADEFA);Univ. Tecnológica Nacional, Unidad C3T. 2005. El transporte automotor de cargas en la Argentina;</v>
      </c>
      <c r="J111" s="150"/>
      <c r="K111" s="150" t="str">
        <f ca="1">IF(iCtryDataTable!K110=0,"",(iCtryDataTable!K110))</f>
        <v>Calculation</v>
      </c>
      <c r="L111" s="116"/>
    </row>
    <row r="112" spans="1:12" x14ac:dyDescent="0.25">
      <c r="A112" s="116"/>
      <c r="B112" s="116"/>
      <c r="C112" s="116"/>
      <c r="D112" s="116"/>
      <c r="E112" s="116"/>
      <c r="F112" s="116"/>
      <c r="G112" s="116"/>
      <c r="H112" s="116"/>
      <c r="I112" s="116"/>
      <c r="J112" s="116"/>
      <c r="K112" s="116"/>
      <c r="L112" s="116"/>
    </row>
    <row r="113" spans="7:8" x14ac:dyDescent="0.25">
      <c r="G113" s="145"/>
      <c r="H113" s="145"/>
    </row>
  </sheetData>
  <phoneticPr fontId="12" type="noConversion"/>
  <conditionalFormatting sqref="E8:E18 E20:E47 E49:E66 E68:E74 E76:E93 E95:E100 E102:E111">
    <cfRule type="expression" dxfId="7" priority="3" stopIfTrue="1">
      <formula>$B8=0</formula>
    </cfRule>
  </conditionalFormatting>
  <pageMargins left="0.70866141732283472" right="0.70866141732283472" top="0.74803149606299213" bottom="0.74803149606299213" header="0.31496062992125984" footer="0.31496062992125984"/>
  <pageSetup scale="62" fitToHeight="0" orientation="landscape" r:id="rId1"/>
  <headerFooter>
    <oddHeader>&amp;LFreight Transport and Logistics Yearbook 2014, IDB</oddHeader>
    <oddFooter>&amp;LFreight Transport and Logistics Regional Observatory</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Drop Down 1">
              <controlPr defaultSize="0" autoLine="0" autoPict="0" macro="[0]!Country_Summary_Country_Change">
                <anchor moveWithCells="1">
                  <from>
                    <xdr:col>4</xdr:col>
                    <xdr:colOff>857250</xdr:colOff>
                    <xdr:row>1</xdr:row>
                    <xdr:rowOff>28575</xdr:rowOff>
                  </from>
                  <to>
                    <xdr:col>4</xdr:col>
                    <xdr:colOff>2247900</xdr:colOff>
                    <xdr:row>1</xdr:row>
                    <xdr:rowOff>190500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AL46"/>
  <sheetViews>
    <sheetView showGridLines="0" showRowColHeaders="0" topLeftCell="M1" workbookViewId="0"/>
  </sheetViews>
  <sheetFormatPr defaultColWidth="9.140625" defaultRowHeight="15" x14ac:dyDescent="0.25"/>
  <cols>
    <col min="1" max="1" width="9.140625" customWidth="1"/>
    <col min="2" max="2" width="18.5703125" customWidth="1"/>
    <col min="3" max="3" width="9.140625" customWidth="1"/>
    <col min="4" max="4" width="12.28515625" customWidth="1"/>
    <col min="5" max="6" width="9.140625" customWidth="1"/>
    <col min="7" max="7" width="9.5703125" customWidth="1"/>
    <col min="8" max="18" width="9.140625" customWidth="1"/>
    <col min="19" max="19" width="4.28515625" customWidth="1"/>
    <col min="20" max="20" width="4.42578125" customWidth="1"/>
  </cols>
  <sheetData>
    <row r="1" spans="1:27" ht="14.45" x14ac:dyDescent="0.3">
      <c r="B1" t="s">
        <v>500</v>
      </c>
      <c r="C1" t="s">
        <v>496</v>
      </c>
      <c r="D1" t="s">
        <v>36</v>
      </c>
      <c r="E1" t="s">
        <v>37</v>
      </c>
      <c r="F1" t="s">
        <v>195</v>
      </c>
      <c r="G1" t="s">
        <v>196</v>
      </c>
      <c r="L1" t="s">
        <v>197</v>
      </c>
    </row>
    <row r="2" spans="1:27" ht="14.45" x14ac:dyDescent="0.3">
      <c r="A2" t="s">
        <v>198</v>
      </c>
      <c r="B2" s="42">
        <f>uxbWorks!B42</f>
        <v>96</v>
      </c>
      <c r="C2" s="42" t="str">
        <f>uxbWorks!C42</f>
        <v>CALC01</v>
      </c>
      <c r="D2" s="42" t="str">
        <f>uxbWorks!L42</f>
        <v>GDP / capita</v>
      </c>
      <c r="E2" s="42" t="str">
        <f>uxbWorks!M42</f>
        <v>US$/capita</v>
      </c>
      <c r="F2" s="42">
        <f>uxbWorks!E42</f>
        <v>1</v>
      </c>
      <c r="G2" s="8">
        <v>0</v>
      </c>
      <c r="H2" t="str">
        <f>CONCATENATE(D2,": ",E2)</f>
        <v>GDP / capita: US$/capita</v>
      </c>
      <c r="L2" s="8">
        <v>1</v>
      </c>
    </row>
    <row r="3" spans="1:27" ht="14.45" x14ac:dyDescent="0.3">
      <c r="A3" t="s">
        <v>199</v>
      </c>
      <c r="B3" s="42">
        <f>uxbWorks!B43</f>
        <v>33</v>
      </c>
      <c r="C3" s="42" t="str">
        <f>uxbWorks!C43</f>
        <v>ROAD22</v>
      </c>
      <c r="D3" s="42" t="str">
        <f>uxbWorks!L43</f>
        <v>Retail price gasoline</v>
      </c>
      <c r="E3" s="42" t="str">
        <f>uxbWorks!M43</f>
        <v>US$/liter</v>
      </c>
      <c r="F3" s="42">
        <f>uxbWorks!E43</f>
        <v>1</v>
      </c>
      <c r="G3" s="8">
        <v>0</v>
      </c>
      <c r="H3" t="str">
        <f>CONCATENATE(D3,": ",E3)</f>
        <v>Retail price gasoline: US$/liter</v>
      </c>
      <c r="L3" s="8">
        <v>1</v>
      </c>
    </row>
    <row r="4" spans="1:27" ht="14.45" x14ac:dyDescent="0.3">
      <c r="A4" t="s">
        <v>200</v>
      </c>
      <c r="B4" s="42">
        <f>uxbWorks!B24</f>
        <v>0</v>
      </c>
    </row>
    <row r="5" spans="1:27" ht="14.45" x14ac:dyDescent="0.3">
      <c r="A5" t="s">
        <v>201</v>
      </c>
      <c r="B5" s="42" t="b">
        <f>uxbWorks!B40</f>
        <v>1</v>
      </c>
    </row>
    <row r="6" spans="1:27" ht="14.45" x14ac:dyDescent="0.3">
      <c r="A6" t="s">
        <v>202</v>
      </c>
      <c r="B6" s="46" t="b">
        <v>0</v>
      </c>
      <c r="D6" t="s">
        <v>203</v>
      </c>
      <c r="E6" t="s">
        <v>204</v>
      </c>
    </row>
    <row r="7" spans="1:27" x14ac:dyDescent="0.25">
      <c r="A7" t="s">
        <v>205</v>
      </c>
      <c r="B7" s="43"/>
      <c r="D7" t="str">
        <f>C2</f>
        <v>CALC01</v>
      </c>
      <c r="E7" t="e">
        <f>MATCH(D7,#REF!,0)</f>
        <v>#REF!</v>
      </c>
      <c r="H7" s="24" t="s">
        <v>105</v>
      </c>
      <c r="AA7" s="24" t="s">
        <v>262</v>
      </c>
    </row>
    <row r="8" spans="1:27" ht="14.45" x14ac:dyDescent="0.3">
      <c r="A8" t="s">
        <v>206</v>
      </c>
      <c r="B8" s="43"/>
      <c r="D8" t="str">
        <f>C3</f>
        <v>ROAD22</v>
      </c>
      <c r="E8" t="e">
        <f>MATCH(D8,#REF!,0)</f>
        <v>#REF!</v>
      </c>
    </row>
    <row r="9" spans="1:27" ht="14.45" x14ac:dyDescent="0.3">
      <c r="A9" t="s">
        <v>207</v>
      </c>
    </row>
    <row r="10" spans="1:27" ht="14.45" x14ac:dyDescent="0.3">
      <c r="A10" t="s">
        <v>208</v>
      </c>
      <c r="B10" t="str">
        <f>D2</f>
        <v>GDP / capita</v>
      </c>
      <c r="E10" t="str">
        <f>UPPER(B10)</f>
        <v>GDP / CAPITA</v>
      </c>
    </row>
    <row r="11" spans="1:27" ht="14.45" x14ac:dyDescent="0.3">
      <c r="A11" t="s">
        <v>209</v>
      </c>
      <c r="B11" t="str">
        <f>D3</f>
        <v>Retail price gasoline</v>
      </c>
      <c r="E11" t="str">
        <f>UPPER(B11)</f>
        <v>RETAIL PRICE GASOLINE</v>
      </c>
    </row>
    <row r="12" spans="1:27" ht="14.45" x14ac:dyDescent="0.3">
      <c r="B12" t="str">
        <f>CONCATENATE(B10," ↔ ",B11, " ")</f>
        <v xml:space="preserve">GDP / capita ↔ Retail price gasoline </v>
      </c>
    </row>
    <row r="14" spans="1:27" ht="14.45" x14ac:dyDescent="0.3">
      <c r="A14" t="s">
        <v>210</v>
      </c>
      <c r="B14">
        <f ca="1">SLOPE(L21:L46,K21:K46)</f>
        <v>1.018262073820929E-4</v>
      </c>
    </row>
    <row r="15" spans="1:27" ht="14.45" x14ac:dyDescent="0.3">
      <c r="A15" t="s">
        <v>211</v>
      </c>
      <c r="B15">
        <f ca="1">INTERCEPT(L21:L46,K21:K46)</f>
        <v>0.58632908458123278</v>
      </c>
    </row>
    <row r="16" spans="1:27" ht="14.45" x14ac:dyDescent="0.3">
      <c r="A16" t="s">
        <v>212</v>
      </c>
      <c r="B16">
        <f ca="1">CORREL(K21:K46,L21:L46)</f>
        <v>0.58532630242429373</v>
      </c>
    </row>
    <row r="17" spans="1:38" ht="14.45" x14ac:dyDescent="0.3">
      <c r="A17" t="s">
        <v>213</v>
      </c>
      <c r="B17" t="b">
        <f ca="1">IF(ISERROR(B16),FALSE,TRUE)</f>
        <v>1</v>
      </c>
      <c r="C17" s="44" t="s">
        <v>214</v>
      </c>
    </row>
    <row r="19" spans="1:38" ht="14.45" x14ac:dyDescent="0.3">
      <c r="F19" t="s">
        <v>236</v>
      </c>
      <c r="G19" t="s">
        <v>237</v>
      </c>
      <c r="H19" t="s">
        <v>215</v>
      </c>
      <c r="J19" t="s">
        <v>216</v>
      </c>
      <c r="K19" t="s">
        <v>217</v>
      </c>
      <c r="N19" t="s">
        <v>218</v>
      </c>
      <c r="Q19" s="45" t="s">
        <v>219</v>
      </c>
      <c r="W19" s="45" t="s">
        <v>220</v>
      </c>
      <c r="AA19" s="45" t="s">
        <v>221</v>
      </c>
      <c r="AD19" s="45" t="s">
        <v>222</v>
      </c>
    </row>
    <row r="20" spans="1:38" ht="14.45" x14ac:dyDescent="0.3">
      <c r="A20" t="s">
        <v>495</v>
      </c>
      <c r="B20" t="s">
        <v>452</v>
      </c>
      <c r="C20" t="s">
        <v>223</v>
      </c>
      <c r="D20" s="14" t="s">
        <v>224</v>
      </c>
      <c r="H20" s="14" t="s">
        <v>225</v>
      </c>
      <c r="I20" s="14" t="s">
        <v>226</v>
      </c>
      <c r="K20" s="14" t="s">
        <v>225</v>
      </c>
      <c r="L20" s="14" t="s">
        <v>226</v>
      </c>
      <c r="N20" s="14" t="s">
        <v>226</v>
      </c>
      <c r="O20" s="14" t="s">
        <v>227</v>
      </c>
      <c r="R20" t="s">
        <v>451</v>
      </c>
      <c r="S20" s="37" t="s">
        <v>228</v>
      </c>
      <c r="T20" t="s">
        <v>225</v>
      </c>
      <c r="U20" t="s">
        <v>226</v>
      </c>
      <c r="W20" t="s">
        <v>229</v>
      </c>
      <c r="X20" t="s">
        <v>225</v>
      </c>
      <c r="Y20" t="s">
        <v>226</v>
      </c>
      <c r="AA20" t="s">
        <v>225</v>
      </c>
      <c r="AB20" t="s">
        <v>226</v>
      </c>
      <c r="AD20" t="s">
        <v>225</v>
      </c>
      <c r="AE20" t="s">
        <v>226</v>
      </c>
      <c r="AL20" t="s">
        <v>501</v>
      </c>
    </row>
    <row r="21" spans="1:38" ht="14.45" x14ac:dyDescent="0.3">
      <c r="A21">
        <v>1</v>
      </c>
      <c r="B21" s="43" t="str">
        <f>tblCountries!B3</f>
        <v>AR</v>
      </c>
      <c r="C21" s="42" t="str">
        <f>tblCountries!C3</f>
        <v>Argentina</v>
      </c>
      <c r="D21" s="42">
        <f>tblCountries!D3</f>
        <v>1</v>
      </c>
      <c r="E21" s="43" t="str">
        <f>tblCountries!E3</f>
        <v>NAC_AR_1</v>
      </c>
      <c r="F21">
        <f t="shared" ref="F21" si="0">MATCH(CONCATENATE(E21,"_",$C$2),lu_DataCode,0)</f>
        <v>1453</v>
      </c>
      <c r="G21">
        <f t="shared" ref="G21" si="1">MATCH(CONCATENATE(E21,"_",$C$3),lu_DataCode,0)</f>
        <v>638</v>
      </c>
      <c r="H21" s="42">
        <f t="shared" ref="H21" ca="1" si="2">IF($D21=0,NA(),IF($L$2=0,NA(),INDEX(OFFSET(lu_DataCode,0,4),F21)))</f>
        <v>11547.898269965235</v>
      </c>
      <c r="I21" s="42">
        <f t="shared" ref="I21" ca="1" si="3">IF($D21=0,NA(),IF($L$3=0,NA(),INDEX(OFFSET(lu_DataCode,0,4),G21)))</f>
        <v>1.4601380499469501</v>
      </c>
      <c r="J21" t="b">
        <f t="shared" ref="J21" ca="1" si="4">AND(ISNUMBER(H21),ISNUMBER(I21))</f>
        <v>1</v>
      </c>
      <c r="K21">
        <f t="shared" ref="K21" ca="1" si="5">IF($J21,H21,"")</f>
        <v>11547.898269965235</v>
      </c>
      <c r="L21">
        <f t="shared" ref="L21" ca="1" si="6">IF($J21,I21,"")</f>
        <v>1.4601380499469501</v>
      </c>
      <c r="N21">
        <f t="shared" ref="N21" ca="1" si="7">IF(K21="","",(K21*$B$14)+$B$15)</f>
        <v>1.7622077686460247</v>
      </c>
      <c r="O21">
        <f t="shared" ref="O21" ca="1" si="8">IF(N21="","",L21-N21)</f>
        <v>-0.30206971869907462</v>
      </c>
      <c r="R21">
        <f>B4</f>
        <v>0</v>
      </c>
      <c r="S21" t="str">
        <f>IF($B$4=0,"&lt;none&gt;",INDEX($B21:$B46,$B$4))</f>
        <v>&lt;none&gt;</v>
      </c>
      <c r="T21" t="e">
        <f>IF($B$4=0,NA(),INDEX(H21:H46,$B$4))</f>
        <v>#N/A</v>
      </c>
      <c r="U21" t="e">
        <f>IF($B$4=0,NA(),INDEX(I21:I46,$B$4))</f>
        <v>#N/A</v>
      </c>
      <c r="W21">
        <f ca="1">IF(NOT($B$5),0,IF(OR(B21=$R$21,B21=$R$25,B21=$R$29),0,IF(AND(OR(D21=1,D21=2),J21),1,0)))</f>
        <v>1</v>
      </c>
      <c r="X21">
        <f t="shared" ref="X21" ca="1" si="9">IF($W21=0,NA(),K21)</f>
        <v>11547.898269965235</v>
      </c>
      <c r="Y21">
        <f t="shared" ref="Y21" ca="1" si="10">IF($W21=0,NA(),L21)</f>
        <v>1.4601380499469501</v>
      </c>
      <c r="AA21">
        <f t="shared" ref="AA21" ca="1" si="11">IF(AND($D21&gt;0,$J21),K21,NA())</f>
        <v>11547.898269965235</v>
      </c>
      <c r="AB21">
        <f t="shared" ref="AB21" ca="1" si="12">IF(AND($D21&gt;0,$J21),L21,NA())</f>
        <v>1.4601380499469501</v>
      </c>
      <c r="AD21" t="e">
        <f t="shared" ref="AD21" ca="1" si="13">IF(AND($D21=2,$J21,$B21&lt;&gt;$R$21,$B21&lt;&gt;$R$25,$B21&lt;&gt;$R$29),K21,NA())</f>
        <v>#N/A</v>
      </c>
      <c r="AE21" t="e">
        <f t="shared" ref="AE21" ca="1" si="14">IF(AND($D21=2,$J21,$B21&lt;&gt;$R$21,$B21&lt;&gt;$R$25,$B21&lt;&gt;$R$29),L21,NA())</f>
        <v>#N/A</v>
      </c>
      <c r="AG21" s="14">
        <f t="shared" ref="AG21" ca="1" si="15">IF($J21,INDEX(OFFSET(lu_DataCode,0,4),F21),"–")</f>
        <v>11547.898269965235</v>
      </c>
      <c r="AH21">
        <f t="shared" ref="AH21" ca="1" si="16">IF($J21,INDEX(OFFSET(lu_DataCode,0,3),F21),"")</f>
        <v>2012</v>
      </c>
      <c r="AI21" s="14">
        <f t="shared" ref="AI21" ca="1" si="17">IF($J21,INDEX(OFFSET(lu_DataCode,0,4),G21),"–")</f>
        <v>1.4601380499469501</v>
      </c>
      <c r="AJ21">
        <f t="shared" ref="AJ21" ca="1" si="18">IF($J21,INDEX(OFFSET(lu_DataCode,0,3),G21),"")</f>
        <v>2012</v>
      </c>
      <c r="AL21">
        <f ca="1">IF(NOT($J21),4,D21)</f>
        <v>1</v>
      </c>
    </row>
    <row r="22" spans="1:38" ht="14.45" x14ac:dyDescent="0.3">
      <c r="A22">
        <v>2</v>
      </c>
      <c r="B22" s="43" t="str">
        <f>tblCountries!B4</f>
        <v>BS</v>
      </c>
      <c r="C22" s="42" t="str">
        <f>tblCountries!C4</f>
        <v>Bahamas</v>
      </c>
      <c r="D22" s="42">
        <f>tblCountries!D4</f>
        <v>1</v>
      </c>
      <c r="E22" s="43" t="str">
        <f>tblCountries!E4</f>
        <v>NAC_BS_1</v>
      </c>
      <c r="F22">
        <f t="shared" ref="F22:F46" si="19">MATCH(CONCATENATE(E22,"_",$C$2),lu_DataCode,0)</f>
        <v>1454</v>
      </c>
      <c r="G22">
        <f t="shared" ref="G22:G46" si="20">MATCH(CONCATENATE(E22,"_",$C$3),lu_DataCode,0)</f>
        <v>642</v>
      </c>
      <c r="H22" s="42">
        <f t="shared" ref="H22:H46" ca="1" si="21">IF($D22=0,NA(),IF($L$2=0,NA(),INDEX(OFFSET(lu_DataCode,0,4),F22)))</f>
        <v>23150.579545454548</v>
      </c>
      <c r="I22" s="42">
        <f t="shared" ref="I22:I46" ca="1" si="22">IF($D22=0,NA(),IF($L$3=0,NA(),INDEX(OFFSET(lu_DataCode,0,4),G22)))</f>
        <v>5.46</v>
      </c>
      <c r="J22" t="b">
        <f t="shared" ref="J22:J46" ca="1" si="23">AND(ISNUMBER(H22),ISNUMBER(I22))</f>
        <v>1</v>
      </c>
      <c r="K22">
        <f t="shared" ref="K22:K46" ca="1" si="24">IF($J22,H22,"")</f>
        <v>23150.579545454548</v>
      </c>
      <c r="L22">
        <f t="shared" ref="L22:L46" ca="1" si="25">IF($J22,I22,"")</f>
        <v>5.46</v>
      </c>
      <c r="N22">
        <f t="shared" ref="N22:N46" ca="1" si="26">IF(K22="","",(K22*$B$14)+$B$15)</f>
        <v>2.9436647983923256</v>
      </c>
      <c r="O22">
        <f t="shared" ref="O22:O46" ca="1" si="27">IF(N22="","",L22-N22)</f>
        <v>2.5163352016076743</v>
      </c>
      <c r="W22">
        <f t="shared" ref="W22:W46" ca="1" si="28">IF(NOT($B$5),0,IF(OR(B22=$R$21,B22=$R$25,B22=$R$29),0,IF(AND(OR(D22=1,D22=2),J22),1,0)))</f>
        <v>1</v>
      </c>
      <c r="X22">
        <f t="shared" ref="X22:X46" ca="1" si="29">IF($W22=0,NA(),K22)</f>
        <v>23150.579545454548</v>
      </c>
      <c r="Y22">
        <f t="shared" ref="Y22:Y46" ca="1" si="30">IF($W22=0,NA(),L22)</f>
        <v>5.46</v>
      </c>
      <c r="AA22">
        <f t="shared" ref="AA22:AA46" ca="1" si="31">IF(AND($D22&gt;0,$J22),K22,NA())</f>
        <v>23150.579545454548</v>
      </c>
      <c r="AB22">
        <f t="shared" ref="AB22:AB46" ca="1" si="32">IF(AND($D22&gt;0,$J22),L22,NA())</f>
        <v>5.46</v>
      </c>
      <c r="AD22" t="e">
        <f t="shared" ref="AD22:AD46" ca="1" si="33">IF(AND($D22=2,$J22,$B22&lt;&gt;$R$21,$B22&lt;&gt;$R$25,$B22&lt;&gt;$R$29),K22,NA())</f>
        <v>#N/A</v>
      </c>
      <c r="AE22" t="e">
        <f t="shared" ref="AE22:AE46" ca="1" si="34">IF(AND($D22=2,$J22,$B22&lt;&gt;$R$21,$B22&lt;&gt;$R$25,$B22&lt;&gt;$R$29),L22,NA())</f>
        <v>#N/A</v>
      </c>
      <c r="AG22" s="14">
        <f t="shared" ref="AG22:AG46" ca="1" si="35">IF($J22,INDEX(OFFSET(lu_DataCode,0,4),F22),"–")</f>
        <v>23150.579545454548</v>
      </c>
      <c r="AH22">
        <f t="shared" ref="AH22:AH46" ca="1" si="36">IF($J22,INDEX(OFFSET(lu_DataCode,0,3),F22),"")</f>
        <v>2012</v>
      </c>
      <c r="AI22" s="14">
        <f t="shared" ref="AI22:AI46" ca="1" si="37">IF($J22,INDEX(OFFSET(lu_DataCode,0,4),G22),"–")</f>
        <v>5.46</v>
      </c>
      <c r="AJ22">
        <f t="shared" ref="AJ22:AJ46" ca="1" si="38">IF($J22,INDEX(OFFSET(lu_DataCode,0,3),G22),"")</f>
        <v>2012</v>
      </c>
      <c r="AL22">
        <f t="shared" ref="AL22:AL46" ca="1" si="39">IF(NOT($J22),4,D22)</f>
        <v>1</v>
      </c>
    </row>
    <row r="23" spans="1:38" ht="14.45" x14ac:dyDescent="0.3">
      <c r="A23">
        <v>3</v>
      </c>
      <c r="B23" s="43" t="str">
        <f>tblCountries!B5</f>
        <v>BB</v>
      </c>
      <c r="C23" s="42" t="str">
        <f>tblCountries!C5</f>
        <v>Barbados</v>
      </c>
      <c r="D23" s="42">
        <f>tblCountries!D5</f>
        <v>1</v>
      </c>
      <c r="E23" s="43" t="str">
        <f>tblCountries!E5</f>
        <v>NAC_BB_1</v>
      </c>
      <c r="F23">
        <f t="shared" si="19"/>
        <v>1455</v>
      </c>
      <c r="G23">
        <f t="shared" si="20"/>
        <v>639</v>
      </c>
      <c r="H23" s="42">
        <f t="shared" ca="1" si="21"/>
        <v>16512.518259209744</v>
      </c>
      <c r="I23" s="42">
        <f t="shared" ca="1" si="22"/>
        <v>1.5</v>
      </c>
      <c r="J23" t="b">
        <f t="shared" ca="1" si="23"/>
        <v>1</v>
      </c>
      <c r="K23">
        <f t="shared" ca="1" si="24"/>
        <v>16512.518259209744</v>
      </c>
      <c r="L23">
        <f t="shared" ca="1" si="25"/>
        <v>1.5</v>
      </c>
      <c r="N23">
        <f t="shared" ca="1" si="26"/>
        <v>2.2677361932441196</v>
      </c>
      <c r="O23">
        <f t="shared" ca="1" si="27"/>
        <v>-0.76773619324411957</v>
      </c>
      <c r="Q23" s="45" t="s">
        <v>230</v>
      </c>
      <c r="W23">
        <f t="shared" ca="1" si="28"/>
        <v>1</v>
      </c>
      <c r="X23">
        <f t="shared" ca="1" si="29"/>
        <v>16512.518259209744</v>
      </c>
      <c r="Y23">
        <f t="shared" ca="1" si="30"/>
        <v>1.5</v>
      </c>
      <c r="AA23">
        <f t="shared" ca="1" si="31"/>
        <v>16512.518259209744</v>
      </c>
      <c r="AB23">
        <f t="shared" ca="1" si="32"/>
        <v>1.5</v>
      </c>
      <c r="AD23" t="e">
        <f t="shared" ca="1" si="33"/>
        <v>#N/A</v>
      </c>
      <c r="AE23" t="e">
        <f t="shared" ca="1" si="34"/>
        <v>#N/A</v>
      </c>
      <c r="AG23" s="14">
        <f t="shared" ca="1" si="35"/>
        <v>16512.518259209744</v>
      </c>
      <c r="AH23">
        <f t="shared" ca="1" si="36"/>
        <v>2012</v>
      </c>
      <c r="AI23" s="14">
        <f t="shared" ca="1" si="37"/>
        <v>1.5</v>
      </c>
      <c r="AJ23">
        <f t="shared" ca="1" si="38"/>
        <v>2012</v>
      </c>
      <c r="AL23">
        <f t="shared" ca="1" si="39"/>
        <v>1</v>
      </c>
    </row>
    <row r="24" spans="1:38" ht="14.45" x14ac:dyDescent="0.3">
      <c r="A24">
        <v>4</v>
      </c>
      <c r="B24" s="43" t="str">
        <f>tblCountries!B6</f>
        <v>BZ</v>
      </c>
      <c r="C24" s="42" t="str">
        <f>tblCountries!C6</f>
        <v>Belize</v>
      </c>
      <c r="D24" s="42">
        <f>tblCountries!D6</f>
        <v>1</v>
      </c>
      <c r="E24" s="43" t="str">
        <f>tblCountries!E6</f>
        <v>NAC_BZ_1</v>
      </c>
      <c r="F24">
        <f t="shared" si="19"/>
        <v>1456</v>
      </c>
      <c r="G24">
        <f t="shared" si="20"/>
        <v>653</v>
      </c>
      <c r="H24" s="42">
        <f t="shared" ca="1" si="21"/>
        <v>4544.4458588799207</v>
      </c>
      <c r="I24" s="42">
        <f t="shared" ca="1" si="22"/>
        <v>1.7382529237255699</v>
      </c>
      <c r="J24" t="b">
        <f t="shared" ca="1" si="23"/>
        <v>1</v>
      </c>
      <c r="K24">
        <f t="shared" ca="1" si="24"/>
        <v>4544.4458588799207</v>
      </c>
      <c r="L24">
        <f t="shared" ca="1" si="25"/>
        <v>1.7382529237255699</v>
      </c>
      <c r="N24">
        <f t="shared" ca="1" si="26"/>
        <v>1.0490727710442329</v>
      </c>
      <c r="O24">
        <f t="shared" ca="1" si="27"/>
        <v>0.68918015268133703</v>
      </c>
      <c r="Q24" t="s">
        <v>231</v>
      </c>
      <c r="R24" t="s">
        <v>451</v>
      </c>
      <c r="S24" s="37" t="s">
        <v>228</v>
      </c>
      <c r="T24" t="s">
        <v>225</v>
      </c>
      <c r="U24" t="s">
        <v>226</v>
      </c>
      <c r="W24">
        <f t="shared" ca="1" si="28"/>
        <v>1</v>
      </c>
      <c r="X24">
        <f t="shared" ca="1" si="29"/>
        <v>4544.4458588799207</v>
      </c>
      <c r="Y24">
        <f t="shared" ca="1" si="30"/>
        <v>1.7382529237255699</v>
      </c>
      <c r="AA24">
        <f t="shared" ca="1" si="31"/>
        <v>4544.4458588799207</v>
      </c>
      <c r="AB24">
        <f t="shared" ca="1" si="32"/>
        <v>1.7382529237255699</v>
      </c>
      <c r="AD24" t="e">
        <f t="shared" ca="1" si="33"/>
        <v>#N/A</v>
      </c>
      <c r="AE24" t="e">
        <f t="shared" ca="1" si="34"/>
        <v>#N/A</v>
      </c>
      <c r="AG24" s="14">
        <f t="shared" ca="1" si="35"/>
        <v>4544.4458588799207</v>
      </c>
      <c r="AH24">
        <f t="shared" ca="1" si="36"/>
        <v>2012</v>
      </c>
      <c r="AI24" s="14">
        <f t="shared" ca="1" si="37"/>
        <v>1.7382529237255699</v>
      </c>
      <c r="AJ24">
        <f t="shared" ca="1" si="38"/>
        <v>2012</v>
      </c>
      <c r="AL24">
        <f t="shared" ca="1" si="39"/>
        <v>1</v>
      </c>
    </row>
    <row r="25" spans="1:38" x14ac:dyDescent="0.25">
      <c r="A25">
        <v>5</v>
      </c>
      <c r="B25" s="43" t="str">
        <f>tblCountries!B7</f>
        <v>BO</v>
      </c>
      <c r="C25" s="42" t="str">
        <f>tblCountries!C7</f>
        <v>Bolivia</v>
      </c>
      <c r="D25" s="42">
        <f>tblCountries!D7</f>
        <v>1</v>
      </c>
      <c r="E25" s="43" t="str">
        <f>tblCountries!E7</f>
        <v>NAC_BO_1</v>
      </c>
      <c r="F25">
        <f t="shared" si="19"/>
        <v>1457</v>
      </c>
      <c r="G25">
        <f t="shared" si="20"/>
        <v>640</v>
      </c>
      <c r="H25" s="42">
        <f t="shared" ca="1" si="21"/>
        <v>2695.912263210369</v>
      </c>
      <c r="I25" s="42">
        <f t="shared" ca="1" si="22"/>
        <v>0.54409095254778705</v>
      </c>
      <c r="J25" t="b">
        <f t="shared" ca="1" si="23"/>
        <v>1</v>
      </c>
      <c r="K25">
        <f t="shared" ca="1" si="24"/>
        <v>2695.912263210369</v>
      </c>
      <c r="L25">
        <f t="shared" ca="1" si="25"/>
        <v>0.54409095254778705</v>
      </c>
      <c r="N25">
        <f t="shared" ca="1" si="26"/>
        <v>0.86084360577881924</v>
      </c>
      <c r="O25">
        <f t="shared" ca="1" si="27"/>
        <v>-0.31675265323103219</v>
      </c>
      <c r="Q25">
        <f ca="1">MAX(O21:O46)</f>
        <v>2.5163352016076743</v>
      </c>
      <c r="R25">
        <f ca="1">IF(B17,IF($B$6,MATCH(Q25,O21:O46,0),0),0)</f>
        <v>0</v>
      </c>
      <c r="S25" t="e">
        <f ca="1">IF(AND($B$17,$B$6,R25&lt;&gt;R21),INDEX($B21:$B46,$R25),NA())</f>
        <v>#N/A</v>
      </c>
      <c r="T25" t="e">
        <f ca="1">IF(AND($B$17,$B$6,R25&lt;&gt;R21),INDEX(K21:K46,$R25),NA())</f>
        <v>#N/A</v>
      </c>
      <c r="U25" t="e">
        <f ca="1">IF(AND($B$17,$B$6,R25&lt;&gt;R21),INDEX(L21:L46,$R25),NA())</f>
        <v>#N/A</v>
      </c>
      <c r="W25">
        <f t="shared" ca="1" si="28"/>
        <v>1</v>
      </c>
      <c r="X25">
        <f t="shared" ca="1" si="29"/>
        <v>2695.912263210369</v>
      </c>
      <c r="Y25">
        <f t="shared" ca="1" si="30"/>
        <v>0.54409095254778705</v>
      </c>
      <c r="AA25">
        <f t="shared" ca="1" si="31"/>
        <v>2695.912263210369</v>
      </c>
      <c r="AB25">
        <f t="shared" ca="1" si="32"/>
        <v>0.54409095254778705</v>
      </c>
      <c r="AD25" t="e">
        <f t="shared" ca="1" si="33"/>
        <v>#N/A</v>
      </c>
      <c r="AE25" t="e">
        <f t="shared" ca="1" si="34"/>
        <v>#N/A</v>
      </c>
      <c r="AG25" s="14">
        <f t="shared" ca="1" si="35"/>
        <v>2695.912263210369</v>
      </c>
      <c r="AH25">
        <f t="shared" ca="1" si="36"/>
        <v>2012</v>
      </c>
      <c r="AI25" s="14">
        <f t="shared" ca="1" si="37"/>
        <v>0.54409095254778705</v>
      </c>
      <c r="AJ25">
        <f t="shared" ca="1" si="38"/>
        <v>2012</v>
      </c>
      <c r="AL25">
        <f t="shared" ca="1" si="39"/>
        <v>1</v>
      </c>
    </row>
    <row r="26" spans="1:38" x14ac:dyDescent="0.25">
      <c r="A26">
        <v>6</v>
      </c>
      <c r="B26" s="43" t="str">
        <f>tblCountries!B8</f>
        <v>BR</v>
      </c>
      <c r="C26" s="42" t="str">
        <f>tblCountries!C8</f>
        <v>Brasil</v>
      </c>
      <c r="D26" s="42">
        <f>tblCountries!D8</f>
        <v>1</v>
      </c>
      <c r="E26" s="43" t="str">
        <f>tblCountries!E8</f>
        <v>NAC_BR_1</v>
      </c>
      <c r="F26">
        <f t="shared" si="19"/>
        <v>1458</v>
      </c>
      <c r="G26">
        <f t="shared" si="20"/>
        <v>641</v>
      </c>
      <c r="H26" s="42">
        <f t="shared" ca="1" si="21"/>
        <v>12078.670216229939</v>
      </c>
      <c r="I26" s="42">
        <f t="shared" ca="1" si="22"/>
        <v>1.4256544696776501</v>
      </c>
      <c r="J26" t="b">
        <f t="shared" ca="1" si="23"/>
        <v>1</v>
      </c>
      <c r="K26">
        <f t="shared" ca="1" si="24"/>
        <v>12078.670216229939</v>
      </c>
      <c r="L26">
        <f t="shared" ca="1" si="25"/>
        <v>1.4256544696776501</v>
      </c>
      <c r="N26">
        <f t="shared" ca="1" si="26"/>
        <v>1.8162542629189715</v>
      </c>
      <c r="O26">
        <f t="shared" ca="1" si="27"/>
        <v>-0.39059979324132144</v>
      </c>
      <c r="W26">
        <f t="shared" ca="1" si="28"/>
        <v>1</v>
      </c>
      <c r="X26">
        <f t="shared" ca="1" si="29"/>
        <v>12078.670216229939</v>
      </c>
      <c r="Y26">
        <f t="shared" ca="1" si="30"/>
        <v>1.4256544696776501</v>
      </c>
      <c r="AA26">
        <f t="shared" ca="1" si="31"/>
        <v>12078.670216229939</v>
      </c>
      <c r="AB26">
        <f t="shared" ca="1" si="32"/>
        <v>1.4256544696776501</v>
      </c>
      <c r="AD26" t="e">
        <f t="shared" ca="1" si="33"/>
        <v>#N/A</v>
      </c>
      <c r="AE26" t="e">
        <f t="shared" ca="1" si="34"/>
        <v>#N/A</v>
      </c>
      <c r="AG26" s="14">
        <f t="shared" ca="1" si="35"/>
        <v>12078.670216229939</v>
      </c>
      <c r="AH26">
        <f t="shared" ca="1" si="36"/>
        <v>2012</v>
      </c>
      <c r="AI26" s="14">
        <f t="shared" ca="1" si="37"/>
        <v>1.4256544696776501</v>
      </c>
      <c r="AJ26">
        <f t="shared" ca="1" si="38"/>
        <v>2012</v>
      </c>
      <c r="AL26">
        <f t="shared" ca="1" si="39"/>
        <v>1</v>
      </c>
    </row>
    <row r="27" spans="1:38" x14ac:dyDescent="0.25">
      <c r="A27">
        <v>7</v>
      </c>
      <c r="B27" s="43" t="str">
        <f>tblCountries!B9</f>
        <v>CL</v>
      </c>
      <c r="C27" s="42" t="str">
        <f>tblCountries!C9</f>
        <v>Chile</v>
      </c>
      <c r="D27" s="42">
        <f>tblCountries!D9</f>
        <v>1</v>
      </c>
      <c r="E27" s="43" t="str">
        <f>tblCountries!E9</f>
        <v>NAC_CL_1</v>
      </c>
      <c r="F27">
        <f t="shared" si="19"/>
        <v>1459</v>
      </c>
      <c r="G27">
        <f t="shared" si="20"/>
        <v>643</v>
      </c>
      <c r="H27" s="42">
        <f t="shared" ca="1" si="21"/>
        <v>15417.025699496753</v>
      </c>
      <c r="I27" s="42">
        <f t="shared" ca="1" si="22"/>
        <v>1.7733010343837201</v>
      </c>
      <c r="J27" t="b">
        <f t="shared" ca="1" si="23"/>
        <v>1</v>
      </c>
      <c r="K27">
        <f t="shared" ca="1" si="24"/>
        <v>15417.025699496753</v>
      </c>
      <c r="L27">
        <f t="shared" ca="1" si="25"/>
        <v>1.7733010343837201</v>
      </c>
      <c r="N27">
        <f t="shared" ca="1" si="26"/>
        <v>2.1561863406732451</v>
      </c>
      <c r="O27">
        <f t="shared" ca="1" si="27"/>
        <v>-0.382885306289525</v>
      </c>
      <c r="Q27" s="45" t="s">
        <v>232</v>
      </c>
      <c r="S27" s="37"/>
      <c r="W27">
        <f t="shared" ca="1" si="28"/>
        <v>1</v>
      </c>
      <c r="X27">
        <f t="shared" ca="1" si="29"/>
        <v>15417.025699496753</v>
      </c>
      <c r="Y27">
        <f t="shared" ca="1" si="30"/>
        <v>1.7733010343837201</v>
      </c>
      <c r="AA27">
        <f t="shared" ca="1" si="31"/>
        <v>15417.025699496753</v>
      </c>
      <c r="AB27">
        <f t="shared" ca="1" si="32"/>
        <v>1.7733010343837201</v>
      </c>
      <c r="AD27" t="e">
        <f t="shared" ca="1" si="33"/>
        <v>#N/A</v>
      </c>
      <c r="AE27" t="e">
        <f t="shared" ca="1" si="34"/>
        <v>#N/A</v>
      </c>
      <c r="AG27" s="14">
        <f t="shared" ca="1" si="35"/>
        <v>15417.025699496753</v>
      </c>
      <c r="AH27">
        <f t="shared" ca="1" si="36"/>
        <v>2012</v>
      </c>
      <c r="AI27" s="14">
        <f t="shared" ca="1" si="37"/>
        <v>1.7733010343837201</v>
      </c>
      <c r="AJ27">
        <f t="shared" ca="1" si="38"/>
        <v>2012</v>
      </c>
      <c r="AL27">
        <f t="shared" ca="1" si="39"/>
        <v>1</v>
      </c>
    </row>
    <row r="28" spans="1:38" x14ac:dyDescent="0.25">
      <c r="A28">
        <v>8</v>
      </c>
      <c r="B28" s="43" t="str">
        <f>tblCountries!B10</f>
        <v>CO</v>
      </c>
      <c r="C28" s="42" t="str">
        <f>tblCountries!C10</f>
        <v>Colombia</v>
      </c>
      <c r="D28" s="42">
        <f>tblCountries!D10</f>
        <v>1</v>
      </c>
      <c r="E28" s="43" t="str">
        <f>tblCountries!E10</f>
        <v>NAC_CO_1</v>
      </c>
      <c r="F28">
        <f t="shared" si="19"/>
        <v>1460</v>
      </c>
      <c r="G28">
        <f t="shared" si="20"/>
        <v>654</v>
      </c>
      <c r="H28" s="42">
        <f t="shared" ca="1" si="21"/>
        <v>7854.8435555174046</v>
      </c>
      <c r="I28" s="42">
        <f t="shared" ca="1" si="22"/>
        <v>1.3097656528619099</v>
      </c>
      <c r="J28" t="b">
        <f t="shared" ca="1" si="23"/>
        <v>1</v>
      </c>
      <c r="K28">
        <f t="shared" ca="1" si="24"/>
        <v>7854.8435555174046</v>
      </c>
      <c r="L28">
        <f t="shared" ca="1" si="25"/>
        <v>1.3097656528619099</v>
      </c>
      <c r="N28">
        <f t="shared" ca="1" si="26"/>
        <v>1.3861580134192439</v>
      </c>
      <c r="O28">
        <f t="shared" ca="1" si="27"/>
        <v>-7.6392360557334005E-2</v>
      </c>
      <c r="Q28" t="s">
        <v>231</v>
      </c>
      <c r="R28" t="s">
        <v>451</v>
      </c>
      <c r="S28" s="37" t="s">
        <v>228</v>
      </c>
      <c r="T28" t="s">
        <v>225</v>
      </c>
      <c r="U28" t="s">
        <v>226</v>
      </c>
      <c r="W28">
        <f t="shared" ca="1" si="28"/>
        <v>1</v>
      </c>
      <c r="X28">
        <f t="shared" ca="1" si="29"/>
        <v>7854.8435555174046</v>
      </c>
      <c r="Y28">
        <f t="shared" ca="1" si="30"/>
        <v>1.3097656528619099</v>
      </c>
      <c r="AA28">
        <f t="shared" ca="1" si="31"/>
        <v>7854.8435555174046</v>
      </c>
      <c r="AB28">
        <f t="shared" ca="1" si="32"/>
        <v>1.3097656528619099</v>
      </c>
      <c r="AD28" t="e">
        <f t="shared" ca="1" si="33"/>
        <v>#N/A</v>
      </c>
      <c r="AE28" t="e">
        <f t="shared" ca="1" si="34"/>
        <v>#N/A</v>
      </c>
      <c r="AG28" s="14">
        <f t="shared" ca="1" si="35"/>
        <v>7854.8435555174046</v>
      </c>
      <c r="AH28">
        <f t="shared" ca="1" si="36"/>
        <v>2012</v>
      </c>
      <c r="AI28" s="14">
        <f t="shared" ca="1" si="37"/>
        <v>1.3097656528619099</v>
      </c>
      <c r="AJ28">
        <f t="shared" ca="1" si="38"/>
        <v>2012</v>
      </c>
      <c r="AL28">
        <f t="shared" ca="1" si="39"/>
        <v>1</v>
      </c>
    </row>
    <row r="29" spans="1:38" x14ac:dyDescent="0.25">
      <c r="A29">
        <v>9</v>
      </c>
      <c r="B29" s="43" t="str">
        <f>tblCountries!B11</f>
        <v>CR</v>
      </c>
      <c r="C29" s="42" t="str">
        <f>tblCountries!C11</f>
        <v>Costa Rica</v>
      </c>
      <c r="D29" s="42">
        <f>tblCountries!D11</f>
        <v>1</v>
      </c>
      <c r="E29" s="43" t="str">
        <f>tblCountries!E11</f>
        <v>NAC_CR_1</v>
      </c>
      <c r="F29">
        <f t="shared" si="19"/>
        <v>1461</v>
      </c>
      <c r="G29">
        <f t="shared" si="20"/>
        <v>655</v>
      </c>
      <c r="H29" s="42">
        <f t="shared" ca="1" si="21"/>
        <v>9432.7519954935178</v>
      </c>
      <c r="I29" s="42">
        <f t="shared" ca="1" si="22"/>
        <v>1.57</v>
      </c>
      <c r="J29" t="b">
        <f t="shared" ca="1" si="23"/>
        <v>1</v>
      </c>
      <c r="K29">
        <f t="shared" ca="1" si="24"/>
        <v>9432.7519954935178</v>
      </c>
      <c r="L29">
        <f t="shared" ca="1" si="25"/>
        <v>1.57</v>
      </c>
      <c r="N29">
        <f t="shared" ca="1" si="26"/>
        <v>1.5468304454582062</v>
      </c>
      <c r="O29">
        <f t="shared" ca="1" si="27"/>
        <v>2.3169554541793813E-2</v>
      </c>
      <c r="Q29">
        <f ca="1">MIN(O21:O46)</f>
        <v>-1.8892757783811411</v>
      </c>
      <c r="R29">
        <f ca="1">IF(B17,IF($B$6,MATCH(Q29,O21:O46,0),0),0)</f>
        <v>0</v>
      </c>
      <c r="S29" t="e">
        <f ca="1">IF(AND($B$17,$B$6,R29&lt;&gt;R21),INDEX($B21:$B46,$R29),NA())</f>
        <v>#N/A</v>
      </c>
      <c r="T29" t="e">
        <f ca="1">IF(AND($B$6,$B$17,R29&lt;&gt;R21),INDEX(K21:K46,$R29),NA())</f>
        <v>#N/A</v>
      </c>
      <c r="U29" t="e">
        <f ca="1">IF(AND($B$6,$B$17,R29&lt;&gt;R21),INDEX(L21:L46,$R29),NA())</f>
        <v>#N/A</v>
      </c>
      <c r="W29">
        <f t="shared" ca="1" si="28"/>
        <v>1</v>
      </c>
      <c r="X29">
        <f t="shared" ca="1" si="29"/>
        <v>9432.7519954935178</v>
      </c>
      <c r="Y29">
        <f t="shared" ca="1" si="30"/>
        <v>1.57</v>
      </c>
      <c r="AA29">
        <f t="shared" ca="1" si="31"/>
        <v>9432.7519954935178</v>
      </c>
      <c r="AB29">
        <f t="shared" ca="1" si="32"/>
        <v>1.57</v>
      </c>
      <c r="AD29" t="e">
        <f t="shared" ca="1" si="33"/>
        <v>#N/A</v>
      </c>
      <c r="AE29" t="e">
        <f t="shared" ca="1" si="34"/>
        <v>#N/A</v>
      </c>
      <c r="AG29" s="14">
        <f t="shared" ca="1" si="35"/>
        <v>9432.7519954935178</v>
      </c>
      <c r="AH29">
        <f t="shared" ca="1" si="36"/>
        <v>2012</v>
      </c>
      <c r="AI29" s="14">
        <f t="shared" ca="1" si="37"/>
        <v>1.57</v>
      </c>
      <c r="AJ29">
        <f t="shared" ca="1" si="38"/>
        <v>2012</v>
      </c>
      <c r="AL29">
        <f t="shared" ca="1" si="39"/>
        <v>1</v>
      </c>
    </row>
    <row r="30" spans="1:38" x14ac:dyDescent="0.25">
      <c r="A30">
        <v>10</v>
      </c>
      <c r="B30" s="43" t="str">
        <f>tblCountries!B12</f>
        <v>EC</v>
      </c>
      <c r="C30" s="42" t="str">
        <f>tblCountries!C12</f>
        <v>Ecuador</v>
      </c>
      <c r="D30" s="42">
        <f>tblCountries!D12</f>
        <v>1</v>
      </c>
      <c r="E30" s="43" t="str">
        <f>tblCountries!E12</f>
        <v>NAC_EC_1</v>
      </c>
      <c r="F30">
        <f t="shared" si="19"/>
        <v>1462</v>
      </c>
      <c r="G30">
        <f t="shared" si="20"/>
        <v>644</v>
      </c>
      <c r="H30" s="42">
        <f t="shared" ca="1" si="21"/>
        <v>5795.6604771010416</v>
      </c>
      <c r="I30" s="42">
        <f t="shared" ca="1" si="22"/>
        <v>0.383050668357373</v>
      </c>
      <c r="J30" t="b">
        <f t="shared" ca="1" si="23"/>
        <v>1</v>
      </c>
      <c r="K30">
        <f t="shared" ca="1" si="24"/>
        <v>5795.6604771010416</v>
      </c>
      <c r="L30">
        <f t="shared" ca="1" si="25"/>
        <v>0.383050668357373</v>
      </c>
      <c r="N30">
        <f t="shared" ca="1" si="26"/>
        <v>1.1764792102387229</v>
      </c>
      <c r="O30">
        <f t="shared" ca="1" si="27"/>
        <v>-0.79342854188134992</v>
      </c>
      <c r="W30">
        <f t="shared" ca="1" si="28"/>
        <v>1</v>
      </c>
      <c r="X30">
        <f t="shared" ca="1" si="29"/>
        <v>5795.6604771010416</v>
      </c>
      <c r="Y30">
        <f t="shared" ca="1" si="30"/>
        <v>0.383050668357373</v>
      </c>
      <c r="AA30">
        <f t="shared" ca="1" si="31"/>
        <v>5795.6604771010416</v>
      </c>
      <c r="AB30">
        <f t="shared" ca="1" si="32"/>
        <v>0.383050668357373</v>
      </c>
      <c r="AD30" t="e">
        <f t="shared" ca="1" si="33"/>
        <v>#N/A</v>
      </c>
      <c r="AE30" t="e">
        <f t="shared" ca="1" si="34"/>
        <v>#N/A</v>
      </c>
      <c r="AG30" s="14">
        <f t="shared" ca="1" si="35"/>
        <v>5795.6604771010416</v>
      </c>
      <c r="AH30">
        <f t="shared" ca="1" si="36"/>
        <v>2012</v>
      </c>
      <c r="AI30" s="14">
        <f t="shared" ca="1" si="37"/>
        <v>0.383050668357373</v>
      </c>
      <c r="AJ30">
        <f t="shared" ca="1" si="38"/>
        <v>2012</v>
      </c>
      <c r="AL30">
        <f t="shared" ca="1" si="39"/>
        <v>1</v>
      </c>
    </row>
    <row r="31" spans="1:38" x14ac:dyDescent="0.25">
      <c r="A31">
        <v>11</v>
      </c>
      <c r="B31" s="43" t="str">
        <f>tblCountries!B13</f>
        <v>SV</v>
      </c>
      <c r="C31" s="42" t="str">
        <f>tblCountries!C13</f>
        <v>El Salvador</v>
      </c>
      <c r="D31" s="42">
        <f>tblCountries!D13</f>
        <v>1</v>
      </c>
      <c r="E31" s="43" t="str">
        <f>tblCountries!E13</f>
        <v>NAC_SV_1</v>
      </c>
      <c r="F31">
        <f t="shared" si="19"/>
        <v>1463</v>
      </c>
      <c r="G31">
        <f t="shared" si="20"/>
        <v>656</v>
      </c>
      <c r="H31" s="42">
        <f t="shared" ca="1" si="21"/>
        <v>3818.7549185807861</v>
      </c>
      <c r="I31" s="42">
        <f t="shared" ca="1" si="22"/>
        <v>0.92</v>
      </c>
      <c r="J31" t="b">
        <f t="shared" ca="1" si="23"/>
        <v>1</v>
      </c>
      <c r="K31">
        <f t="shared" ca="1" si="24"/>
        <v>3818.7549185807861</v>
      </c>
      <c r="L31">
        <f t="shared" ca="1" si="25"/>
        <v>0.92</v>
      </c>
      <c r="N31">
        <f t="shared" ca="1" si="26"/>
        <v>0.97517841486202728</v>
      </c>
      <c r="O31">
        <f t="shared" ca="1" si="27"/>
        <v>-5.5178414862027236E-2</v>
      </c>
      <c r="W31">
        <f t="shared" ca="1" si="28"/>
        <v>1</v>
      </c>
      <c r="X31">
        <f t="shared" ca="1" si="29"/>
        <v>3818.7549185807861</v>
      </c>
      <c r="Y31">
        <f t="shared" ca="1" si="30"/>
        <v>0.92</v>
      </c>
      <c r="AA31">
        <f t="shared" ca="1" si="31"/>
        <v>3818.7549185807861</v>
      </c>
      <c r="AB31">
        <f t="shared" ca="1" si="32"/>
        <v>0.92</v>
      </c>
      <c r="AD31" t="e">
        <f t="shared" ca="1" si="33"/>
        <v>#N/A</v>
      </c>
      <c r="AE31" t="e">
        <f t="shared" ca="1" si="34"/>
        <v>#N/A</v>
      </c>
      <c r="AG31" s="14">
        <f t="shared" ca="1" si="35"/>
        <v>3818.7549185807861</v>
      </c>
      <c r="AH31">
        <f t="shared" ca="1" si="36"/>
        <v>2012</v>
      </c>
      <c r="AI31" s="14">
        <f t="shared" ca="1" si="37"/>
        <v>0.92</v>
      </c>
      <c r="AJ31">
        <f t="shared" ca="1" si="38"/>
        <v>2012</v>
      </c>
      <c r="AL31">
        <f t="shared" ca="1" si="39"/>
        <v>1</v>
      </c>
    </row>
    <row r="32" spans="1:38" x14ac:dyDescent="0.25">
      <c r="A32">
        <v>12</v>
      </c>
      <c r="B32" s="43" t="str">
        <f>tblCountries!B14</f>
        <v>GT</v>
      </c>
      <c r="C32" s="42" t="str">
        <f>tblCountries!C14</f>
        <v>Guatemala</v>
      </c>
      <c r="D32" s="42">
        <f>tblCountries!D14</f>
        <v>1</v>
      </c>
      <c r="E32" s="43" t="str">
        <f>tblCountries!E14</f>
        <v>NAC_GT_1</v>
      </c>
      <c r="F32">
        <f t="shared" si="19"/>
        <v>1464</v>
      </c>
      <c r="G32">
        <f t="shared" si="20"/>
        <v>657</v>
      </c>
      <c r="H32" s="42">
        <f t="shared" ca="1" si="21"/>
        <v>3302.2178086726249</v>
      </c>
      <c r="I32" s="42">
        <f t="shared" ca="1" si="22"/>
        <v>1.1399999999999999</v>
      </c>
      <c r="J32" t="b">
        <f t="shared" ca="1" si="23"/>
        <v>1</v>
      </c>
      <c r="K32">
        <f t="shared" ca="1" si="24"/>
        <v>3302.2178086726249</v>
      </c>
      <c r="L32">
        <f t="shared" ca="1" si="25"/>
        <v>1.1399999999999999</v>
      </c>
      <c r="N32">
        <f t="shared" ca="1" si="26"/>
        <v>0.92258139998797184</v>
      </c>
      <c r="O32">
        <f t="shared" ca="1" si="27"/>
        <v>0.21741860001202806</v>
      </c>
      <c r="W32">
        <f t="shared" ca="1" si="28"/>
        <v>1</v>
      </c>
      <c r="X32">
        <f t="shared" ca="1" si="29"/>
        <v>3302.2178086726249</v>
      </c>
      <c r="Y32">
        <f t="shared" ca="1" si="30"/>
        <v>1.1399999999999999</v>
      </c>
      <c r="AA32">
        <f t="shared" ca="1" si="31"/>
        <v>3302.2178086726249</v>
      </c>
      <c r="AB32">
        <f t="shared" ca="1" si="32"/>
        <v>1.1399999999999999</v>
      </c>
      <c r="AD32" t="e">
        <f t="shared" ca="1" si="33"/>
        <v>#N/A</v>
      </c>
      <c r="AE32" t="e">
        <f t="shared" ca="1" si="34"/>
        <v>#N/A</v>
      </c>
      <c r="AG32" s="14">
        <f t="shared" ca="1" si="35"/>
        <v>3302.2178086726249</v>
      </c>
      <c r="AH32">
        <f t="shared" ca="1" si="36"/>
        <v>2012</v>
      </c>
      <c r="AI32" s="14">
        <f t="shared" ca="1" si="37"/>
        <v>1.1399999999999999</v>
      </c>
      <c r="AJ32">
        <f t="shared" ca="1" si="38"/>
        <v>2012</v>
      </c>
      <c r="AL32">
        <f t="shared" ca="1" si="39"/>
        <v>1</v>
      </c>
    </row>
    <row r="33" spans="1:38" x14ac:dyDescent="0.25">
      <c r="A33">
        <v>13</v>
      </c>
      <c r="B33" s="43" t="str">
        <f>tblCountries!B15</f>
        <v>GY</v>
      </c>
      <c r="C33" s="42" t="str">
        <f>tblCountries!C15</f>
        <v>Guyana</v>
      </c>
      <c r="D33" s="42">
        <f>tblCountries!D15</f>
        <v>1</v>
      </c>
      <c r="E33" s="43" t="str">
        <f>tblCountries!E15</f>
        <v>NAC_GY_1</v>
      </c>
      <c r="F33">
        <f t="shared" si="19"/>
        <v>1465</v>
      </c>
      <c r="G33">
        <f t="shared" si="20"/>
        <v>645</v>
      </c>
      <c r="H33" s="42">
        <f t="shared" ca="1" si="21"/>
        <v>3680.1053872360535</v>
      </c>
      <c r="I33" s="42">
        <f t="shared" ca="1" si="22"/>
        <v>1.08</v>
      </c>
      <c r="J33" t="b">
        <f t="shared" ca="1" si="23"/>
        <v>1</v>
      </c>
      <c r="K33">
        <f t="shared" ca="1" si="24"/>
        <v>3680.1053872360535</v>
      </c>
      <c r="L33">
        <f t="shared" ca="1" si="25"/>
        <v>1.08</v>
      </c>
      <c r="N33">
        <f t="shared" ca="1" si="26"/>
        <v>0.96106025892988844</v>
      </c>
      <c r="O33">
        <f t="shared" ca="1" si="27"/>
        <v>0.11893974107011163</v>
      </c>
      <c r="W33">
        <f t="shared" ca="1" si="28"/>
        <v>1</v>
      </c>
      <c r="X33">
        <f t="shared" ca="1" si="29"/>
        <v>3680.1053872360535</v>
      </c>
      <c r="Y33">
        <f t="shared" ca="1" si="30"/>
        <v>1.08</v>
      </c>
      <c r="AA33">
        <f t="shared" ca="1" si="31"/>
        <v>3680.1053872360535</v>
      </c>
      <c r="AB33">
        <f t="shared" ca="1" si="32"/>
        <v>1.08</v>
      </c>
      <c r="AD33" t="e">
        <f t="shared" ca="1" si="33"/>
        <v>#N/A</v>
      </c>
      <c r="AE33" t="e">
        <f t="shared" ca="1" si="34"/>
        <v>#N/A</v>
      </c>
      <c r="AG33" s="14">
        <f t="shared" ca="1" si="35"/>
        <v>3680.1053872360535</v>
      </c>
      <c r="AH33">
        <f t="shared" ca="1" si="36"/>
        <v>2012</v>
      </c>
      <c r="AI33" s="14">
        <f t="shared" ca="1" si="37"/>
        <v>1.08</v>
      </c>
      <c r="AJ33">
        <f t="shared" ca="1" si="38"/>
        <v>2012</v>
      </c>
      <c r="AL33">
        <f t="shared" ca="1" si="39"/>
        <v>1</v>
      </c>
    </row>
    <row r="34" spans="1:38" x14ac:dyDescent="0.25">
      <c r="A34">
        <v>14</v>
      </c>
      <c r="B34" s="43" t="str">
        <f>tblCountries!B16</f>
        <v>HT</v>
      </c>
      <c r="C34" s="42" t="str">
        <f>tblCountries!C16</f>
        <v>Haiti</v>
      </c>
      <c r="D34" s="42">
        <f>tblCountries!D16</f>
        <v>1</v>
      </c>
      <c r="E34" s="43" t="str">
        <f>tblCountries!E16</f>
        <v>NAC_HT_1</v>
      </c>
      <c r="F34">
        <f t="shared" si="19"/>
        <v>1466</v>
      </c>
      <c r="G34">
        <f t="shared" si="20"/>
        <v>646</v>
      </c>
      <c r="H34" s="42">
        <f t="shared" ca="1" si="21"/>
        <v>769.91888399892071</v>
      </c>
      <c r="I34" s="42">
        <f t="shared" ca="1" si="22"/>
        <v>1.25</v>
      </c>
      <c r="J34" t="b">
        <f t="shared" ca="1" si="23"/>
        <v>1</v>
      </c>
      <c r="K34">
        <f t="shared" ca="1" si="24"/>
        <v>769.91888399892071</v>
      </c>
      <c r="L34">
        <f t="shared" ca="1" si="25"/>
        <v>1.25</v>
      </c>
      <c r="N34">
        <f t="shared" ca="1" si="26"/>
        <v>0.66472700453069644</v>
      </c>
      <c r="O34">
        <f t="shared" ca="1" si="27"/>
        <v>0.58527299546930356</v>
      </c>
      <c r="W34">
        <f t="shared" ca="1" si="28"/>
        <v>1</v>
      </c>
      <c r="X34">
        <f t="shared" ca="1" si="29"/>
        <v>769.91888399892071</v>
      </c>
      <c r="Y34">
        <f t="shared" ca="1" si="30"/>
        <v>1.25</v>
      </c>
      <c r="AA34">
        <f t="shared" ca="1" si="31"/>
        <v>769.91888399892071</v>
      </c>
      <c r="AB34">
        <f t="shared" ca="1" si="32"/>
        <v>1.25</v>
      </c>
      <c r="AD34" t="e">
        <f t="shared" ca="1" si="33"/>
        <v>#N/A</v>
      </c>
      <c r="AE34" t="e">
        <f t="shared" ca="1" si="34"/>
        <v>#N/A</v>
      </c>
      <c r="AG34" s="14">
        <f t="shared" ca="1" si="35"/>
        <v>769.91888399892071</v>
      </c>
      <c r="AH34">
        <f t="shared" ca="1" si="36"/>
        <v>2012</v>
      </c>
      <c r="AI34" s="14">
        <f t="shared" ca="1" si="37"/>
        <v>1.25</v>
      </c>
      <c r="AJ34">
        <f t="shared" ca="1" si="38"/>
        <v>2012</v>
      </c>
      <c r="AL34">
        <f t="shared" ca="1" si="39"/>
        <v>1</v>
      </c>
    </row>
    <row r="35" spans="1:38" x14ac:dyDescent="0.25">
      <c r="A35">
        <v>15</v>
      </c>
      <c r="B35" s="43" t="str">
        <f>tblCountries!B17</f>
        <v>HN</v>
      </c>
      <c r="C35" s="42" t="str">
        <f>tblCountries!C17</f>
        <v>Honduras</v>
      </c>
      <c r="D35" s="42">
        <f>tblCountries!D17</f>
        <v>1</v>
      </c>
      <c r="E35" s="43" t="str">
        <f>tblCountries!E17</f>
        <v>NAC_HN_1</v>
      </c>
      <c r="F35">
        <f t="shared" si="19"/>
        <v>1467</v>
      </c>
      <c r="G35">
        <f t="shared" si="20"/>
        <v>658</v>
      </c>
      <c r="H35" s="42">
        <f t="shared" ca="1" si="21"/>
        <v>2242.1655895622484</v>
      </c>
      <c r="I35" s="42">
        <f t="shared" ca="1" si="22"/>
        <v>1.25</v>
      </c>
      <c r="J35" t="b">
        <f t="shared" ca="1" si="23"/>
        <v>1</v>
      </c>
      <c r="K35">
        <f t="shared" ca="1" si="24"/>
        <v>2242.1655895622484</v>
      </c>
      <c r="L35">
        <f t="shared" ca="1" si="25"/>
        <v>1.25</v>
      </c>
      <c r="N35">
        <f t="shared" ca="1" si="26"/>
        <v>0.81464030288899092</v>
      </c>
      <c r="O35">
        <f t="shared" ca="1" si="27"/>
        <v>0.43535969711100908</v>
      </c>
      <c r="W35">
        <f t="shared" ca="1" si="28"/>
        <v>1</v>
      </c>
      <c r="X35">
        <f t="shared" ca="1" si="29"/>
        <v>2242.1655895622484</v>
      </c>
      <c r="Y35">
        <f t="shared" ca="1" si="30"/>
        <v>1.25</v>
      </c>
      <c r="AA35">
        <f t="shared" ca="1" si="31"/>
        <v>2242.1655895622484</v>
      </c>
      <c r="AB35">
        <f t="shared" ca="1" si="32"/>
        <v>1.25</v>
      </c>
      <c r="AD35" t="e">
        <f t="shared" ca="1" si="33"/>
        <v>#N/A</v>
      </c>
      <c r="AE35" t="e">
        <f t="shared" ca="1" si="34"/>
        <v>#N/A</v>
      </c>
      <c r="AG35" s="14">
        <f t="shared" ca="1" si="35"/>
        <v>2242.1655895622484</v>
      </c>
      <c r="AH35">
        <f t="shared" ca="1" si="36"/>
        <v>2012</v>
      </c>
      <c r="AI35" s="14">
        <f t="shared" ca="1" si="37"/>
        <v>1.25</v>
      </c>
      <c r="AJ35">
        <f t="shared" ca="1" si="38"/>
        <v>2012</v>
      </c>
      <c r="AL35">
        <f t="shared" ca="1" si="39"/>
        <v>1</v>
      </c>
    </row>
    <row r="36" spans="1:38" x14ac:dyDescent="0.25">
      <c r="A36">
        <v>16</v>
      </c>
      <c r="B36" s="43" t="str">
        <f>tblCountries!B18</f>
        <v>JM</v>
      </c>
      <c r="C36" s="42" t="str">
        <f>tblCountries!C18</f>
        <v>Jamaica</v>
      </c>
      <c r="D36" s="42">
        <f>tblCountries!D18</f>
        <v>1</v>
      </c>
      <c r="E36" s="43" t="str">
        <f>tblCountries!E18</f>
        <v>NAC_JM_1</v>
      </c>
      <c r="F36">
        <f t="shared" si="19"/>
        <v>1468</v>
      </c>
      <c r="G36">
        <f t="shared" si="20"/>
        <v>647</v>
      </c>
      <c r="H36" s="42">
        <f t="shared" ca="1" si="21"/>
        <v>5628.6686660696978</v>
      </c>
      <c r="I36" s="42">
        <f t="shared" ca="1" si="22"/>
        <v>1.2</v>
      </c>
      <c r="J36" t="b">
        <f t="shared" ca="1" si="23"/>
        <v>1</v>
      </c>
      <c r="K36">
        <f t="shared" ca="1" si="24"/>
        <v>5628.6686660696978</v>
      </c>
      <c r="L36">
        <f t="shared" ca="1" si="25"/>
        <v>1.2</v>
      </c>
      <c r="N36">
        <f t="shared" ca="1" si="26"/>
        <v>1.159475067457534</v>
      </c>
      <c r="O36">
        <f t="shared" ca="1" si="27"/>
        <v>4.0524932542465919E-2</v>
      </c>
      <c r="W36">
        <f t="shared" ca="1" si="28"/>
        <v>1</v>
      </c>
      <c r="X36">
        <f t="shared" ca="1" si="29"/>
        <v>5628.6686660696978</v>
      </c>
      <c r="Y36">
        <f t="shared" ca="1" si="30"/>
        <v>1.2</v>
      </c>
      <c r="AA36">
        <f t="shared" ca="1" si="31"/>
        <v>5628.6686660696978</v>
      </c>
      <c r="AB36">
        <f t="shared" ca="1" si="32"/>
        <v>1.2</v>
      </c>
      <c r="AD36" t="e">
        <f t="shared" ca="1" si="33"/>
        <v>#N/A</v>
      </c>
      <c r="AE36" t="e">
        <f t="shared" ca="1" si="34"/>
        <v>#N/A</v>
      </c>
      <c r="AG36" s="14">
        <f t="shared" ca="1" si="35"/>
        <v>5628.6686660696978</v>
      </c>
      <c r="AH36">
        <f t="shared" ca="1" si="36"/>
        <v>2012</v>
      </c>
      <c r="AI36" s="14">
        <f t="shared" ca="1" si="37"/>
        <v>1.2</v>
      </c>
      <c r="AJ36">
        <f t="shared" ca="1" si="38"/>
        <v>2012</v>
      </c>
      <c r="AL36">
        <f t="shared" ca="1" si="39"/>
        <v>1</v>
      </c>
    </row>
    <row r="37" spans="1:38" x14ac:dyDescent="0.25">
      <c r="A37">
        <v>17</v>
      </c>
      <c r="B37" s="43" t="str">
        <f>tblCountries!B19</f>
        <v>MX</v>
      </c>
      <c r="C37" s="42" t="str">
        <f>tblCountries!C19</f>
        <v>México</v>
      </c>
      <c r="D37" s="42">
        <f>tblCountries!D19</f>
        <v>1</v>
      </c>
      <c r="E37" s="43" t="str">
        <f>tblCountries!E19</f>
        <v>NAC_MX_1</v>
      </c>
      <c r="F37">
        <f t="shared" si="19"/>
        <v>1469</v>
      </c>
      <c r="G37">
        <f t="shared" si="20"/>
        <v>659</v>
      </c>
      <c r="H37" s="42">
        <f t="shared" ca="1" si="21"/>
        <v>10247.196880005571</v>
      </c>
      <c r="I37" s="42">
        <f t="shared" ca="1" si="22"/>
        <v>0.86</v>
      </c>
      <c r="J37" t="b">
        <f t="shared" ca="1" si="23"/>
        <v>1</v>
      </c>
      <c r="K37">
        <f t="shared" ca="1" si="24"/>
        <v>10247.196880005571</v>
      </c>
      <c r="L37">
        <f t="shared" ca="1" si="25"/>
        <v>0.86</v>
      </c>
      <c r="N37">
        <f t="shared" ca="1" si="26"/>
        <v>1.6297622791698154</v>
      </c>
      <c r="O37">
        <f t="shared" ca="1" si="27"/>
        <v>-0.76976227916981543</v>
      </c>
      <c r="W37">
        <f t="shared" ca="1" si="28"/>
        <v>1</v>
      </c>
      <c r="X37">
        <f t="shared" ca="1" si="29"/>
        <v>10247.196880005571</v>
      </c>
      <c r="Y37">
        <f t="shared" ca="1" si="30"/>
        <v>0.86</v>
      </c>
      <c r="AA37">
        <f t="shared" ca="1" si="31"/>
        <v>10247.196880005571</v>
      </c>
      <c r="AB37">
        <f t="shared" ca="1" si="32"/>
        <v>0.86</v>
      </c>
      <c r="AD37" t="e">
        <f t="shared" ca="1" si="33"/>
        <v>#N/A</v>
      </c>
      <c r="AE37" t="e">
        <f t="shared" ca="1" si="34"/>
        <v>#N/A</v>
      </c>
      <c r="AG37" s="14">
        <f t="shared" ca="1" si="35"/>
        <v>10247.196880005571</v>
      </c>
      <c r="AH37">
        <f t="shared" ca="1" si="36"/>
        <v>2012</v>
      </c>
      <c r="AI37" s="14">
        <f t="shared" ca="1" si="37"/>
        <v>0.86</v>
      </c>
      <c r="AJ37">
        <f t="shared" ca="1" si="38"/>
        <v>2012</v>
      </c>
      <c r="AL37">
        <f t="shared" ca="1" si="39"/>
        <v>1</v>
      </c>
    </row>
    <row r="38" spans="1:38" x14ac:dyDescent="0.25">
      <c r="A38">
        <v>18</v>
      </c>
      <c r="B38" s="43" t="str">
        <f>tblCountries!B20</f>
        <v>NI</v>
      </c>
      <c r="C38" s="42" t="str">
        <f>tblCountries!C20</f>
        <v>Nicaragua</v>
      </c>
      <c r="D38" s="42">
        <f>tblCountries!D20</f>
        <v>1</v>
      </c>
      <c r="E38" s="43" t="str">
        <f>tblCountries!E20</f>
        <v>NAC_NI_1</v>
      </c>
      <c r="F38">
        <f t="shared" si="19"/>
        <v>1470</v>
      </c>
      <c r="G38">
        <f t="shared" si="20"/>
        <v>660</v>
      </c>
      <c r="H38" s="42">
        <f t="shared" ca="1" si="21"/>
        <v>1756.5624477512122</v>
      </c>
      <c r="I38" s="42">
        <f t="shared" ca="1" si="22"/>
        <v>1.23</v>
      </c>
      <c r="J38" t="b">
        <f t="shared" ca="1" si="23"/>
        <v>1</v>
      </c>
      <c r="K38">
        <f t="shared" ca="1" si="24"/>
        <v>1756.5624477512122</v>
      </c>
      <c r="L38">
        <f t="shared" ca="1" si="25"/>
        <v>1.23</v>
      </c>
      <c r="N38">
        <f t="shared" ca="1" si="26"/>
        <v>0.76519317666554443</v>
      </c>
      <c r="O38">
        <f t="shared" ca="1" si="27"/>
        <v>0.46480682333445555</v>
      </c>
      <c r="W38">
        <f t="shared" ca="1" si="28"/>
        <v>1</v>
      </c>
      <c r="X38">
        <f t="shared" ca="1" si="29"/>
        <v>1756.5624477512122</v>
      </c>
      <c r="Y38">
        <f t="shared" ca="1" si="30"/>
        <v>1.23</v>
      </c>
      <c r="AA38">
        <f t="shared" ca="1" si="31"/>
        <v>1756.5624477512122</v>
      </c>
      <c r="AB38">
        <f t="shared" ca="1" si="32"/>
        <v>1.23</v>
      </c>
      <c r="AD38" t="e">
        <f t="shared" ca="1" si="33"/>
        <v>#N/A</v>
      </c>
      <c r="AE38" t="e">
        <f t="shared" ca="1" si="34"/>
        <v>#N/A</v>
      </c>
      <c r="AG38" s="14">
        <f t="shared" ca="1" si="35"/>
        <v>1756.5624477512122</v>
      </c>
      <c r="AH38">
        <f t="shared" ca="1" si="36"/>
        <v>2012</v>
      </c>
      <c r="AI38" s="14">
        <f t="shared" ca="1" si="37"/>
        <v>1.23</v>
      </c>
      <c r="AJ38">
        <f t="shared" ca="1" si="38"/>
        <v>2012</v>
      </c>
      <c r="AL38">
        <f t="shared" ca="1" si="39"/>
        <v>1</v>
      </c>
    </row>
    <row r="39" spans="1:38" x14ac:dyDescent="0.25">
      <c r="A39">
        <v>19</v>
      </c>
      <c r="B39" s="43" t="str">
        <f>tblCountries!B21</f>
        <v>PA</v>
      </c>
      <c r="C39" s="42" t="str">
        <f>tblCountries!C21</f>
        <v>Panamá</v>
      </c>
      <c r="D39" s="42">
        <f>tblCountries!D21</f>
        <v>1</v>
      </c>
      <c r="E39" s="43" t="str">
        <f>tblCountries!E21</f>
        <v>NAC_PA_1</v>
      </c>
      <c r="F39">
        <f t="shared" si="19"/>
        <v>1471</v>
      </c>
      <c r="G39">
        <f t="shared" si="20"/>
        <v>661</v>
      </c>
      <c r="H39" s="42">
        <f t="shared" ca="1" si="21"/>
        <v>9918.7414500684008</v>
      </c>
      <c r="I39" s="42">
        <f t="shared" ca="1" si="22"/>
        <v>1.05</v>
      </c>
      <c r="J39" t="b">
        <f t="shared" ca="1" si="23"/>
        <v>1</v>
      </c>
      <c r="K39">
        <f t="shared" ca="1" si="24"/>
        <v>9918.7414500684008</v>
      </c>
      <c r="L39">
        <f t="shared" ca="1" si="25"/>
        <v>1.05</v>
      </c>
      <c r="N39">
        <f t="shared" ca="1" si="26"/>
        <v>1.5963169084452586</v>
      </c>
      <c r="O39">
        <f t="shared" ca="1" si="27"/>
        <v>-0.5463169084452586</v>
      </c>
      <c r="W39">
        <f t="shared" ca="1" si="28"/>
        <v>1</v>
      </c>
      <c r="X39">
        <f t="shared" ca="1" si="29"/>
        <v>9918.7414500684008</v>
      </c>
      <c r="Y39">
        <f t="shared" ca="1" si="30"/>
        <v>1.05</v>
      </c>
      <c r="AA39">
        <f t="shared" ca="1" si="31"/>
        <v>9918.7414500684008</v>
      </c>
      <c r="AB39">
        <f t="shared" ca="1" si="32"/>
        <v>1.05</v>
      </c>
      <c r="AD39" t="e">
        <f t="shared" ca="1" si="33"/>
        <v>#N/A</v>
      </c>
      <c r="AE39" t="e">
        <f t="shared" ca="1" si="34"/>
        <v>#N/A</v>
      </c>
      <c r="AG39" s="14">
        <f t="shared" ca="1" si="35"/>
        <v>9918.7414500684008</v>
      </c>
      <c r="AH39">
        <f t="shared" ca="1" si="36"/>
        <v>2012</v>
      </c>
      <c r="AI39" s="14">
        <f t="shared" ca="1" si="37"/>
        <v>1.05</v>
      </c>
      <c r="AJ39">
        <f t="shared" ca="1" si="38"/>
        <v>2012</v>
      </c>
      <c r="AL39">
        <f t="shared" ca="1" si="39"/>
        <v>1</v>
      </c>
    </row>
    <row r="40" spans="1:38" x14ac:dyDescent="0.25">
      <c r="A40">
        <v>20</v>
      </c>
      <c r="B40" s="43" t="str">
        <f>tblCountries!B22</f>
        <v>PY</v>
      </c>
      <c r="C40" s="42" t="str">
        <f>tblCountries!C22</f>
        <v>Paraguay</v>
      </c>
      <c r="D40" s="42">
        <f>tblCountries!D22</f>
        <v>1</v>
      </c>
      <c r="E40" s="43" t="str">
        <f>tblCountries!E22</f>
        <v>NAC_PY_1</v>
      </c>
      <c r="F40">
        <f t="shared" si="19"/>
        <v>1472</v>
      </c>
      <c r="G40">
        <f t="shared" si="20"/>
        <v>649</v>
      </c>
      <c r="H40" s="42">
        <f t="shared" ca="1" si="21"/>
        <v>3904.3512512361508</v>
      </c>
      <c r="I40" s="42">
        <f t="shared" ca="1" si="22"/>
        <v>1.5993633210365299</v>
      </c>
      <c r="J40" t="b">
        <f t="shared" ca="1" si="23"/>
        <v>1</v>
      </c>
      <c r="K40">
        <f t="shared" ca="1" si="24"/>
        <v>3904.3512512361508</v>
      </c>
      <c r="L40">
        <f t="shared" ca="1" si="25"/>
        <v>1.5993633210365299</v>
      </c>
      <c r="N40">
        <f t="shared" ca="1" si="26"/>
        <v>0.98389436478213899</v>
      </c>
      <c r="O40">
        <f t="shared" ca="1" si="27"/>
        <v>0.61546895625439091</v>
      </c>
      <c r="W40">
        <f t="shared" ca="1" si="28"/>
        <v>1</v>
      </c>
      <c r="X40">
        <f t="shared" ca="1" si="29"/>
        <v>3904.3512512361508</v>
      </c>
      <c r="Y40">
        <f t="shared" ca="1" si="30"/>
        <v>1.5993633210365299</v>
      </c>
      <c r="AA40">
        <f t="shared" ca="1" si="31"/>
        <v>3904.3512512361508</v>
      </c>
      <c r="AB40">
        <f t="shared" ca="1" si="32"/>
        <v>1.5993633210365299</v>
      </c>
      <c r="AD40" t="e">
        <f t="shared" ca="1" si="33"/>
        <v>#N/A</v>
      </c>
      <c r="AE40" t="e">
        <f t="shared" ca="1" si="34"/>
        <v>#N/A</v>
      </c>
      <c r="AG40" s="14">
        <f t="shared" ca="1" si="35"/>
        <v>3904.3512512361508</v>
      </c>
      <c r="AH40">
        <f t="shared" ca="1" si="36"/>
        <v>2012</v>
      </c>
      <c r="AI40" s="14">
        <f t="shared" ca="1" si="37"/>
        <v>1.5993633210365299</v>
      </c>
      <c r="AJ40">
        <f t="shared" ca="1" si="38"/>
        <v>2012</v>
      </c>
      <c r="AL40">
        <f t="shared" ca="1" si="39"/>
        <v>1</v>
      </c>
    </row>
    <row r="41" spans="1:38" x14ac:dyDescent="0.25">
      <c r="A41">
        <v>21</v>
      </c>
      <c r="B41" s="43" t="str">
        <f>tblCountries!B23</f>
        <v>PE</v>
      </c>
      <c r="C41" s="42" t="str">
        <f>tblCountries!C23</f>
        <v>Peru</v>
      </c>
      <c r="D41" s="42">
        <f>tblCountries!D23</f>
        <v>1</v>
      </c>
      <c r="E41" s="43" t="str">
        <f>tblCountries!E23</f>
        <v>NAC_PE_1</v>
      </c>
      <c r="F41">
        <f t="shared" si="19"/>
        <v>1473</v>
      </c>
      <c r="G41">
        <f t="shared" si="20"/>
        <v>648</v>
      </c>
      <c r="H41" s="42">
        <f t="shared" ca="1" si="21"/>
        <v>6530.2552995996584</v>
      </c>
      <c r="I41" s="42">
        <f t="shared" ca="1" si="22"/>
        <v>1.3922916644345</v>
      </c>
      <c r="J41" t="b">
        <f t="shared" ca="1" si="23"/>
        <v>1</v>
      </c>
      <c r="K41">
        <f t="shared" ca="1" si="24"/>
        <v>6530.2552995996584</v>
      </c>
      <c r="L41">
        <f t="shared" ca="1" si="25"/>
        <v>1.3922916644345</v>
      </c>
      <c r="N41">
        <f t="shared" ca="1" si="26"/>
        <v>1.2512802149762789</v>
      </c>
      <c r="O41">
        <f t="shared" ca="1" si="27"/>
        <v>0.14101144945822108</v>
      </c>
      <c r="W41">
        <f t="shared" ca="1" si="28"/>
        <v>1</v>
      </c>
      <c r="X41">
        <f t="shared" ca="1" si="29"/>
        <v>6530.2552995996584</v>
      </c>
      <c r="Y41">
        <f t="shared" ca="1" si="30"/>
        <v>1.3922916644345</v>
      </c>
      <c r="AA41">
        <f t="shared" ca="1" si="31"/>
        <v>6530.2552995996584</v>
      </c>
      <c r="AB41">
        <f t="shared" ca="1" si="32"/>
        <v>1.3922916644345</v>
      </c>
      <c r="AD41" t="e">
        <f t="shared" ca="1" si="33"/>
        <v>#N/A</v>
      </c>
      <c r="AE41" t="e">
        <f t="shared" ca="1" si="34"/>
        <v>#N/A</v>
      </c>
      <c r="AG41" s="14">
        <f t="shared" ca="1" si="35"/>
        <v>6530.2552995996584</v>
      </c>
      <c r="AH41">
        <f t="shared" ca="1" si="36"/>
        <v>2012</v>
      </c>
      <c r="AI41" s="14">
        <f t="shared" ca="1" si="37"/>
        <v>1.3922916644345</v>
      </c>
      <c r="AJ41">
        <f t="shared" ca="1" si="38"/>
        <v>2012</v>
      </c>
      <c r="AL41">
        <f t="shared" ca="1" si="39"/>
        <v>1</v>
      </c>
    </row>
    <row r="42" spans="1:38" x14ac:dyDescent="0.25">
      <c r="A42">
        <v>22</v>
      </c>
      <c r="B42" s="43" t="str">
        <f>tblCountries!B24</f>
        <v>DO</v>
      </c>
      <c r="C42" s="42" t="str">
        <f>tblCountries!C24</f>
        <v>Dominican Republic</v>
      </c>
      <c r="D42" s="42">
        <f>tblCountries!D24</f>
        <v>1</v>
      </c>
      <c r="E42" s="43" t="str">
        <f>tblCountries!E24</f>
        <v>NAC_DO_1</v>
      </c>
      <c r="F42">
        <f t="shared" si="19"/>
        <v>1474</v>
      </c>
      <c r="G42">
        <f t="shared" si="20"/>
        <v>662</v>
      </c>
      <c r="H42" s="42">
        <f t="shared" ca="1" si="21"/>
        <v>5763.0165087427958</v>
      </c>
      <c r="I42" s="42">
        <f t="shared" ca="1" si="22"/>
        <v>1.58</v>
      </c>
      <c r="J42" t="b">
        <f t="shared" ca="1" si="23"/>
        <v>1</v>
      </c>
      <c r="K42">
        <f t="shared" ca="1" si="24"/>
        <v>5763.0165087427958</v>
      </c>
      <c r="L42">
        <f t="shared" ca="1" si="25"/>
        <v>1.58</v>
      </c>
      <c r="N42">
        <f t="shared" ca="1" si="26"/>
        <v>1.1731551987469016</v>
      </c>
      <c r="O42">
        <f t="shared" ca="1" si="27"/>
        <v>0.40684480125309852</v>
      </c>
      <c r="W42">
        <f t="shared" ca="1" si="28"/>
        <v>1</v>
      </c>
      <c r="X42">
        <f t="shared" ca="1" si="29"/>
        <v>5763.0165087427958</v>
      </c>
      <c r="Y42">
        <f t="shared" ca="1" si="30"/>
        <v>1.58</v>
      </c>
      <c r="AA42">
        <f t="shared" ca="1" si="31"/>
        <v>5763.0165087427958</v>
      </c>
      <c r="AB42">
        <f t="shared" ca="1" si="32"/>
        <v>1.58</v>
      </c>
      <c r="AD42" t="e">
        <f t="shared" ca="1" si="33"/>
        <v>#N/A</v>
      </c>
      <c r="AE42" t="e">
        <f t="shared" ca="1" si="34"/>
        <v>#N/A</v>
      </c>
      <c r="AG42" s="14">
        <f t="shared" ca="1" si="35"/>
        <v>5763.0165087427958</v>
      </c>
      <c r="AH42">
        <f t="shared" ca="1" si="36"/>
        <v>2012</v>
      </c>
      <c r="AI42" s="14">
        <f t="shared" ca="1" si="37"/>
        <v>1.58</v>
      </c>
      <c r="AJ42">
        <f t="shared" ca="1" si="38"/>
        <v>2012</v>
      </c>
      <c r="AL42">
        <f t="shared" ca="1" si="39"/>
        <v>1</v>
      </c>
    </row>
    <row r="43" spans="1:38" x14ac:dyDescent="0.25">
      <c r="A43">
        <v>23</v>
      </c>
      <c r="B43" s="43" t="str">
        <f>tblCountries!B25</f>
        <v>SR</v>
      </c>
      <c r="C43" s="42" t="str">
        <f>tblCountries!C25</f>
        <v>Suriname</v>
      </c>
      <c r="D43" s="42">
        <f>tblCountries!D25</f>
        <v>1</v>
      </c>
      <c r="E43" s="43" t="str">
        <f>tblCountries!E25</f>
        <v>NAC_SR_1</v>
      </c>
      <c r="F43">
        <f t="shared" si="19"/>
        <v>1475</v>
      </c>
      <c r="G43">
        <f t="shared" si="20"/>
        <v>650</v>
      </c>
      <c r="H43" s="42">
        <f t="shared" ca="1" si="21"/>
        <v>8677.6556776556772</v>
      </c>
      <c r="I43" s="42">
        <f t="shared" ca="1" si="22"/>
        <v>1.57</v>
      </c>
      <c r="J43" t="b">
        <f t="shared" ca="1" si="23"/>
        <v>1</v>
      </c>
      <c r="K43">
        <f t="shared" ca="1" si="24"/>
        <v>8677.6556776556772</v>
      </c>
      <c r="L43">
        <f t="shared" ca="1" si="25"/>
        <v>1.57</v>
      </c>
      <c r="N43">
        <f t="shared" ca="1" si="26"/>
        <v>1.4699418512045956</v>
      </c>
      <c r="O43">
        <f t="shared" ca="1" si="27"/>
        <v>0.10005814879540442</v>
      </c>
      <c r="W43">
        <f t="shared" ca="1" si="28"/>
        <v>1</v>
      </c>
      <c r="X43">
        <f t="shared" ca="1" si="29"/>
        <v>8677.6556776556772</v>
      </c>
      <c r="Y43">
        <f t="shared" ca="1" si="30"/>
        <v>1.57</v>
      </c>
      <c r="AA43">
        <f t="shared" ca="1" si="31"/>
        <v>8677.6556776556772</v>
      </c>
      <c r="AB43">
        <f t="shared" ca="1" si="32"/>
        <v>1.57</v>
      </c>
      <c r="AD43" t="e">
        <f t="shared" ca="1" si="33"/>
        <v>#N/A</v>
      </c>
      <c r="AE43" t="e">
        <f t="shared" ca="1" si="34"/>
        <v>#N/A</v>
      </c>
      <c r="AG43" s="14">
        <f t="shared" ca="1" si="35"/>
        <v>8677.6556776556772</v>
      </c>
      <c r="AH43">
        <f t="shared" ca="1" si="36"/>
        <v>2012</v>
      </c>
      <c r="AI43" s="14">
        <f t="shared" ca="1" si="37"/>
        <v>1.57</v>
      </c>
      <c r="AJ43">
        <f t="shared" ca="1" si="38"/>
        <v>2012</v>
      </c>
      <c r="AL43">
        <f t="shared" ca="1" si="39"/>
        <v>1</v>
      </c>
    </row>
    <row r="44" spans="1:38" x14ac:dyDescent="0.25">
      <c r="A44">
        <v>24</v>
      </c>
      <c r="B44" s="43" t="str">
        <f>tblCountries!B26</f>
        <v>TT</v>
      </c>
      <c r="C44" s="42" t="str">
        <f>tblCountries!C26</f>
        <v>Trinidad and Tobago</v>
      </c>
      <c r="D44" s="42">
        <f>tblCountries!D26</f>
        <v>1</v>
      </c>
      <c r="E44" s="43" t="str">
        <f>tblCountries!E26</f>
        <v>NAC_TT_1</v>
      </c>
      <c r="F44">
        <f t="shared" si="19"/>
        <v>1476</v>
      </c>
      <c r="G44" t="e">
        <f t="shared" si="20"/>
        <v>#N/A</v>
      </c>
      <c r="H44" s="42">
        <f t="shared" ca="1" si="21"/>
        <v>19019.56358164033</v>
      </c>
      <c r="I44" s="42" t="e">
        <f t="shared" ca="1" si="22"/>
        <v>#N/A</v>
      </c>
      <c r="J44" t="b">
        <f t="shared" ca="1" si="23"/>
        <v>0</v>
      </c>
      <c r="K44" t="str">
        <f t="shared" ca="1" si="24"/>
        <v/>
      </c>
      <c r="L44" t="str">
        <f t="shared" ca="1" si="25"/>
        <v/>
      </c>
      <c r="N44" t="str">
        <f t="shared" ca="1" si="26"/>
        <v/>
      </c>
      <c r="O44" t="str">
        <f t="shared" ca="1" si="27"/>
        <v/>
      </c>
      <c r="W44">
        <f t="shared" ca="1" si="28"/>
        <v>0</v>
      </c>
      <c r="X44" t="e">
        <f t="shared" ca="1" si="29"/>
        <v>#N/A</v>
      </c>
      <c r="Y44" t="e">
        <f t="shared" ca="1" si="30"/>
        <v>#N/A</v>
      </c>
      <c r="AA44" t="e">
        <f t="shared" ca="1" si="31"/>
        <v>#N/A</v>
      </c>
      <c r="AB44" t="e">
        <f t="shared" ca="1" si="32"/>
        <v>#N/A</v>
      </c>
      <c r="AD44" t="e">
        <f t="shared" ca="1" si="33"/>
        <v>#N/A</v>
      </c>
      <c r="AE44" t="e">
        <f t="shared" ca="1" si="34"/>
        <v>#N/A</v>
      </c>
      <c r="AG44" s="14" t="str">
        <f t="shared" ca="1" si="35"/>
        <v>–</v>
      </c>
      <c r="AH44" t="str">
        <f t="shared" ca="1" si="36"/>
        <v/>
      </c>
      <c r="AI44" s="14" t="str">
        <f t="shared" ca="1" si="37"/>
        <v>–</v>
      </c>
      <c r="AJ44" t="str">
        <f t="shared" ca="1" si="38"/>
        <v/>
      </c>
      <c r="AL44">
        <f t="shared" ca="1" si="39"/>
        <v>4</v>
      </c>
    </row>
    <row r="45" spans="1:38" x14ac:dyDescent="0.25">
      <c r="A45">
        <v>25</v>
      </c>
      <c r="B45" s="43" t="str">
        <f>tblCountries!B27</f>
        <v>UY</v>
      </c>
      <c r="C45" s="42" t="str">
        <f>tblCountries!C27</f>
        <v>Uruguay</v>
      </c>
      <c r="D45" s="42">
        <f>tblCountries!D27</f>
        <v>1</v>
      </c>
      <c r="E45" s="43" t="str">
        <f>tblCountries!E27</f>
        <v>NAC_UY_1</v>
      </c>
      <c r="F45">
        <f t="shared" si="19"/>
        <v>1477</v>
      </c>
      <c r="G45">
        <f t="shared" si="20"/>
        <v>651</v>
      </c>
      <c r="H45" s="42">
        <f t="shared" ca="1" si="21"/>
        <v>14612.244897959185</v>
      </c>
      <c r="I45" s="42">
        <f t="shared" ca="1" si="22"/>
        <v>2.0102454577494502</v>
      </c>
      <c r="J45" t="b">
        <f t="shared" ca="1" si="23"/>
        <v>1</v>
      </c>
      <c r="K45">
        <f t="shared" ca="1" si="24"/>
        <v>14612.244897959185</v>
      </c>
      <c r="L45">
        <f t="shared" ca="1" si="25"/>
        <v>2.0102454577494502</v>
      </c>
      <c r="N45">
        <f t="shared" ca="1" si="26"/>
        <v>2.0742385638787537</v>
      </c>
      <c r="O45">
        <f t="shared" ca="1" si="27"/>
        <v>-6.3993106129303534E-2</v>
      </c>
      <c r="W45">
        <f t="shared" ca="1" si="28"/>
        <v>1</v>
      </c>
      <c r="X45">
        <f t="shared" ca="1" si="29"/>
        <v>14612.244897959185</v>
      </c>
      <c r="Y45">
        <f t="shared" ca="1" si="30"/>
        <v>2.0102454577494502</v>
      </c>
      <c r="AA45">
        <f t="shared" ca="1" si="31"/>
        <v>14612.244897959185</v>
      </c>
      <c r="AB45">
        <f t="shared" ca="1" si="32"/>
        <v>2.0102454577494502</v>
      </c>
      <c r="AD45" t="e">
        <f t="shared" ca="1" si="33"/>
        <v>#N/A</v>
      </c>
      <c r="AE45" t="e">
        <f t="shared" ca="1" si="34"/>
        <v>#N/A</v>
      </c>
      <c r="AG45" s="14">
        <f t="shared" ca="1" si="35"/>
        <v>14612.244897959185</v>
      </c>
      <c r="AH45">
        <f t="shared" ca="1" si="36"/>
        <v>2012</v>
      </c>
      <c r="AI45" s="14">
        <f t="shared" ca="1" si="37"/>
        <v>2.0102454577494502</v>
      </c>
      <c r="AJ45">
        <f t="shared" ca="1" si="38"/>
        <v>2012</v>
      </c>
      <c r="AL45">
        <f t="shared" ca="1" si="39"/>
        <v>1</v>
      </c>
    </row>
    <row r="46" spans="1:38" x14ac:dyDescent="0.25">
      <c r="A46">
        <v>26</v>
      </c>
      <c r="B46" s="43" t="str">
        <f>tblCountries!B28</f>
        <v>VE</v>
      </c>
      <c r="C46" s="42" t="str">
        <f>tblCountries!C28</f>
        <v>Venezuela</v>
      </c>
      <c r="D46" s="42">
        <f>tblCountries!D28</f>
        <v>1</v>
      </c>
      <c r="E46" s="43" t="str">
        <f>tblCountries!E28</f>
        <v>NAC_VE_1</v>
      </c>
      <c r="F46">
        <f t="shared" si="19"/>
        <v>1478</v>
      </c>
      <c r="G46">
        <f t="shared" si="20"/>
        <v>652</v>
      </c>
      <c r="H46" s="42">
        <f t="shared" ca="1" si="21"/>
        <v>12956.059220110445</v>
      </c>
      <c r="I46" s="42">
        <f t="shared" ca="1" si="22"/>
        <v>1.6319679201734501E-2</v>
      </c>
      <c r="J46" t="b">
        <f t="shared" ca="1" si="23"/>
        <v>1</v>
      </c>
      <c r="K46">
        <f t="shared" ca="1" si="24"/>
        <v>12956.059220110445</v>
      </c>
      <c r="L46">
        <f t="shared" ca="1" si="25"/>
        <v>1.6319679201734501E-2</v>
      </c>
      <c r="N46">
        <f t="shared" ca="1" si="26"/>
        <v>1.9055954575828757</v>
      </c>
      <c r="O46">
        <f t="shared" ca="1" si="27"/>
        <v>-1.8892757783811411</v>
      </c>
      <c r="W46">
        <f t="shared" ca="1" si="28"/>
        <v>1</v>
      </c>
      <c r="X46">
        <f t="shared" ca="1" si="29"/>
        <v>12956.059220110445</v>
      </c>
      <c r="Y46">
        <f t="shared" ca="1" si="30"/>
        <v>1.6319679201734501E-2</v>
      </c>
      <c r="AA46">
        <f t="shared" ca="1" si="31"/>
        <v>12956.059220110445</v>
      </c>
      <c r="AB46">
        <f t="shared" ca="1" si="32"/>
        <v>1.6319679201734501E-2</v>
      </c>
      <c r="AD46" t="e">
        <f t="shared" ca="1" si="33"/>
        <v>#N/A</v>
      </c>
      <c r="AE46" t="e">
        <f t="shared" ca="1" si="34"/>
        <v>#N/A</v>
      </c>
      <c r="AG46" s="14">
        <f t="shared" ca="1" si="35"/>
        <v>12956.059220110445</v>
      </c>
      <c r="AH46">
        <f t="shared" ca="1" si="36"/>
        <v>2012</v>
      </c>
      <c r="AI46" s="14">
        <f t="shared" ca="1" si="37"/>
        <v>1.6319679201734501E-2</v>
      </c>
      <c r="AJ46">
        <f t="shared" ca="1" si="38"/>
        <v>2012</v>
      </c>
      <c r="AL46">
        <f t="shared" ca="1" si="39"/>
        <v>1</v>
      </c>
    </row>
  </sheetData>
  <phoneticPr fontId="12" type="noConversion"/>
  <pageMargins left="0.7" right="0.7" top="0.75" bottom="0.75" header="0.3" footer="0.3"/>
  <pageSetup orientation="portrait" r:id="rId1"/>
  <headerFooter>
    <oddHeader>&amp;LFreight Transport and Logistics Yearbook 2014, IDB</oddHeader>
    <oddFooter>&amp;LFreight Transport and Logistics Regional Observatory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3:X67"/>
  <sheetViews>
    <sheetView showGridLines="0" showRowColHeaders="0" workbookViewId="0"/>
  </sheetViews>
  <sheetFormatPr defaultColWidth="9.140625" defaultRowHeight="11.25" x14ac:dyDescent="0.2"/>
  <cols>
    <col min="1" max="3" width="9.140625" style="1"/>
    <col min="4" max="4" width="11.42578125" style="1" bestFit="1" customWidth="1"/>
    <col min="5" max="11" width="9.140625" style="1"/>
    <col min="12" max="12" width="16.5703125" style="1" customWidth="1"/>
    <col min="13" max="16384" width="9.140625" style="1"/>
  </cols>
  <sheetData>
    <row r="3" spans="1:3" ht="10.15" x14ac:dyDescent="0.2">
      <c r="A3" s="1" t="s">
        <v>419</v>
      </c>
    </row>
    <row r="5" spans="1:3" ht="10.15" x14ac:dyDescent="0.2">
      <c r="A5" s="1" t="s">
        <v>420</v>
      </c>
    </row>
    <row r="7" spans="1:3" ht="10.15" x14ac:dyDescent="0.2">
      <c r="A7" s="1" t="s">
        <v>421</v>
      </c>
      <c r="B7" s="7">
        <v>1</v>
      </c>
      <c r="C7" s="1" t="str">
        <f>INDEX(tblLookups!$B$2:$B$3,$B7)</f>
        <v>English</v>
      </c>
    </row>
    <row r="10" spans="1:3" ht="23.45" x14ac:dyDescent="0.45">
      <c r="A10" s="17" t="s">
        <v>3063</v>
      </c>
      <c r="B10" s="1" t="str">
        <f>CHOOSE($B$7,tblText!B7,tblText!C7)</f>
        <v>These tables were exported from the IDB’s Freight Logistics Yearbook.</v>
      </c>
      <c r="C10" s="214"/>
    </row>
    <row r="11" spans="1:3" ht="10.15" x14ac:dyDescent="0.2">
      <c r="A11" s="17" t="s">
        <v>3067</v>
      </c>
      <c r="B11" s="1" t="str">
        <f>CHOOSE($B$7,tblText!B8,tblText!C8)</f>
        <v>Freight Transport and Logistics Regional Observatory</v>
      </c>
    </row>
    <row r="12" spans="1:3" ht="10.15" x14ac:dyDescent="0.2">
      <c r="A12" s="17" t="s">
        <v>3068</v>
      </c>
      <c r="B12" s="1" t="str">
        <f>CHOOSE($B$7,tblText!B9,tblText!C9)</f>
        <v>Freight Transport and Logistics Yearbook 2014, IDB</v>
      </c>
    </row>
    <row r="13" spans="1:3" ht="10.15" x14ac:dyDescent="0.2">
      <c r="A13" s="17" t="s">
        <v>3123</v>
      </c>
      <c r="B13" s="1" t="str">
        <f>tblText!$A$10</f>
        <v>IDB transport data</v>
      </c>
    </row>
    <row r="17" spans="1:24" ht="10.15" x14ac:dyDescent="0.2">
      <c r="A17" s="17" t="s">
        <v>1258</v>
      </c>
      <c r="B17" s="1">
        <v>1</v>
      </c>
    </row>
    <row r="20" spans="1:24" ht="10.15" x14ac:dyDescent="0.2">
      <c r="C20" s="23" t="str">
        <f>tblIndicators!B1</f>
        <v>IndiCode</v>
      </c>
      <c r="D20" s="23" t="str">
        <f>tblIndicators!C1</f>
        <v>ParentID</v>
      </c>
      <c r="E20" s="23" t="str">
        <f>tblIndicators!D1</f>
        <v>Level</v>
      </c>
      <c r="F20" s="23" t="str">
        <f>tblIndicators!E1</f>
        <v>HasData</v>
      </c>
      <c r="G20" s="23" t="str">
        <f>tblIndicators!F1</f>
        <v>ID_Indic</v>
      </c>
      <c r="H20" s="23" t="str">
        <f>tblIndicators!G1</f>
        <v>DP</v>
      </c>
      <c r="I20" s="23" t="str">
        <f>tblIndicators!H1</f>
        <v>CALC:A_INDI</v>
      </c>
      <c r="J20" s="23" t="str">
        <f>tblIndicators!I1</f>
        <v>CALC:A_MULT</v>
      </c>
      <c r="K20" s="108" t="str">
        <f>tblIndicators!J1</f>
        <v>CALC:B_INDI</v>
      </c>
      <c r="L20" s="108" t="str">
        <f>tblIndicators!O1</f>
        <v>Description</v>
      </c>
      <c r="M20" s="107" t="str">
        <f>tblIndicators!P1</f>
        <v>Unit</v>
      </c>
      <c r="N20" s="23" t="str">
        <f>tblIndicators!Q1</f>
        <v>Category</v>
      </c>
      <c r="O20" s="23" t="str">
        <f>tblIndicators!R1</f>
        <v>Definition</v>
      </c>
      <c r="P20" s="23" t="str">
        <f>tblIndicators!S1</f>
        <v>Sort_Order</v>
      </c>
      <c r="Q20" s="23">
        <f>tblIndicators!T1</f>
        <v>0</v>
      </c>
      <c r="R20" s="23">
        <f>tblIndicators!U1</f>
        <v>0</v>
      </c>
      <c r="S20" s="23">
        <f>tblIndicators!V1</f>
        <v>0</v>
      </c>
      <c r="T20" s="23">
        <f>tblIndicators!W1</f>
        <v>0</v>
      </c>
      <c r="U20" s="23">
        <f>tblIndicators!X1</f>
        <v>0</v>
      </c>
      <c r="V20" s="23">
        <f>tblIndicators!Y1</f>
        <v>0</v>
      </c>
      <c r="W20" s="23">
        <f>tblIndicators!Z1</f>
        <v>0</v>
      </c>
      <c r="X20" s="23">
        <f>tblIndicators!AA1</f>
        <v>0</v>
      </c>
    </row>
    <row r="21" spans="1:24" ht="10.15" x14ac:dyDescent="0.2">
      <c r="A21" s="1" t="s">
        <v>469</v>
      </c>
      <c r="B21" s="7">
        <v>2</v>
      </c>
      <c r="C21" s="1" t="str">
        <f>INDEX(tblIndicators!B$2:B$149,$B21)</f>
        <v>GENERAL01</v>
      </c>
      <c r="D21" s="1" t="str">
        <f>INDEX(tblIndicators!C$2:C$149,$B21)</f>
        <v>GENERAL</v>
      </c>
      <c r="E21" s="1">
        <f>INDEX(tblIndicators!D$2:D$149,$B21)</f>
        <v>1</v>
      </c>
      <c r="F21" s="1">
        <f>INDEX(tblIndicators!E$2:E$149,$B21)</f>
        <v>1</v>
      </c>
      <c r="G21" s="1">
        <f>INDEX(tblIndicators!F$2:F$149,$B21)</f>
        <v>1</v>
      </c>
      <c r="H21" s="1">
        <f>INDEX(tblIndicators!G$2:G$149,$B21)</f>
        <v>2</v>
      </c>
      <c r="I21" s="1">
        <f>INDEX(tblIndicators!H$2:H$149,$B21)</f>
        <v>0</v>
      </c>
      <c r="J21" s="1">
        <f>INDEX(tblIndicators!I$2:I$149,$B21)</f>
        <v>0</v>
      </c>
      <c r="K21" s="109">
        <f>INDEX(tblIndicators!J$2:J$149,$B21)</f>
        <v>0</v>
      </c>
      <c r="L21" s="109" t="str">
        <f>INDEX(tblIndicators!O$2:O$149,$B21)</f>
        <v>Transport sector  % GDP</v>
      </c>
      <c r="M21" s="49" t="str">
        <f>INDEX(tblIndicators!P$2:P$149,$B21)</f>
        <v>%</v>
      </c>
      <c r="N21" s="1" t="str">
        <f>INDEX(tblIndicators!Q$2:Q$149,$B21)</f>
        <v>General indicators</v>
      </c>
      <c r="O21" s="1" t="str">
        <f>INDEX(tblIndicators!R$2:R$149,$B21)</f>
        <v>Extent of the transport sector in the total GDP. Each country specifies how it is computed using the International Standard Industrial Classification (ISIC).</v>
      </c>
      <c r="P21" s="1">
        <f>INDEX(tblIndicators!S$2:S$149,$B21)</f>
        <v>0</v>
      </c>
      <c r="Q21" s="1">
        <f>INDEX(tblIndicators!T$2:T$149,$B21)</f>
        <v>0</v>
      </c>
      <c r="R21" s="1">
        <f>INDEX(tblIndicators!U$2:U$149,$B21)</f>
        <v>0</v>
      </c>
      <c r="S21" s="1">
        <f>INDEX(tblIndicators!V$2:V$149,$B21)</f>
        <v>0</v>
      </c>
      <c r="T21" s="1" t="str">
        <f>INDEX(tblIndicators!W$2:W$149,$B21)</f>
        <v xml:space="preserve">  Transport sector  % GDP</v>
      </c>
      <c r="U21" s="1" t="str">
        <f>INDEX(tblIndicators!X$2:X$149,$B21)</f>
        <v>General indicators</v>
      </c>
      <c r="V21" s="1" t="str">
        <f>INDEX(tblIndicators!Y$2:Y$149,$B21)</f>
        <v>GENERAL INDICATORS »</v>
      </c>
      <c r="W21" s="1">
        <f>INDEX(tblIndicators!Z$2:Z$149,$B21)</f>
        <v>0</v>
      </c>
      <c r="X21" s="1">
        <f>INDEX(tblIndicators!AA$2:AA$149,$B21)</f>
        <v>0</v>
      </c>
    </row>
    <row r="22" spans="1:24" ht="10.15" x14ac:dyDescent="0.2">
      <c r="A22" s="1" t="s">
        <v>176</v>
      </c>
      <c r="B22" s="6">
        <f>F21</f>
        <v>1</v>
      </c>
      <c r="K22" s="49"/>
      <c r="L22" s="49"/>
      <c r="M22" s="49"/>
    </row>
    <row r="23" spans="1:24" ht="10.15" x14ac:dyDescent="0.2">
      <c r="A23" s="1" t="s">
        <v>158</v>
      </c>
      <c r="B23" s="1">
        <v>1</v>
      </c>
      <c r="K23" s="49"/>
      <c r="L23" s="49"/>
      <c r="M23" s="49"/>
    </row>
    <row r="24" spans="1:24" ht="10.15" x14ac:dyDescent="0.2">
      <c r="A24" s="1" t="s">
        <v>159</v>
      </c>
      <c r="B24" s="48">
        <f>B23-1</f>
        <v>0</v>
      </c>
      <c r="C24" s="1" t="str">
        <f>IF(B24=0,"",INDEX(tblCountries!$C$3:$C$32,B24))</f>
        <v/>
      </c>
      <c r="K24" s="49"/>
      <c r="L24" s="49"/>
      <c r="M24" s="49"/>
    </row>
    <row r="25" spans="1:24" ht="10.15" x14ac:dyDescent="0.2">
      <c r="A25" s="1" t="s">
        <v>177</v>
      </c>
      <c r="B25" s="1" t="str">
        <f>INDEX(tblCountries!$B$2:$B$32,B23)</f>
        <v>ZZZ</v>
      </c>
      <c r="K25" s="49"/>
      <c r="L25" s="49"/>
      <c r="M25" s="49"/>
    </row>
    <row r="26" spans="1:24" ht="10.15" x14ac:dyDescent="0.2">
      <c r="K26" s="49"/>
      <c r="L26" s="49"/>
      <c r="M26" s="49"/>
    </row>
    <row r="27" spans="1:24" ht="10.15" x14ac:dyDescent="0.2">
      <c r="A27" s="1" t="s">
        <v>245</v>
      </c>
      <c r="B27" s="1">
        <f>H21</f>
        <v>2</v>
      </c>
      <c r="K27" s="49"/>
      <c r="L27" s="49"/>
      <c r="M27" s="49"/>
    </row>
    <row r="28" spans="1:24" ht="10.15" x14ac:dyDescent="0.2">
      <c r="A28" s="1" t="s">
        <v>246</v>
      </c>
      <c r="B28" s="1" t="str">
        <f>IF(OR(B27=0,B27=""),"#,##0",CONCATENATE("#,##0.",REPT("0",B27)))</f>
        <v>#,##0.00</v>
      </c>
      <c r="K28" s="49"/>
      <c r="L28" s="49"/>
      <c r="M28" s="49"/>
    </row>
    <row r="29" spans="1:24" ht="10.15" x14ac:dyDescent="0.2">
      <c r="K29" s="49"/>
      <c r="L29" s="49"/>
      <c r="M29" s="49"/>
    </row>
    <row r="30" spans="1:24" ht="10.15" x14ac:dyDescent="0.2">
      <c r="A30" s="1" t="s">
        <v>495</v>
      </c>
      <c r="B30" s="7">
        <v>1</v>
      </c>
      <c r="C30" s="1" t="str">
        <f>INDEX(tblCountries!B$3:B$32,$B30)</f>
        <v>AR</v>
      </c>
      <c r="D30" s="1" t="str">
        <f>INDEX(tblCountries!C$3:C$32,$B30)</f>
        <v>Argentina</v>
      </c>
      <c r="E30" s="1">
        <f>INDEX(tblCountries!D$3:D$32,$B30)</f>
        <v>1</v>
      </c>
      <c r="F30" s="1" t="str">
        <f>INDEX(tblCountries!E$3:E$32,$B30)</f>
        <v>NAC_AR_1</v>
      </c>
      <c r="K30" s="49"/>
      <c r="L30" s="49"/>
      <c r="M30" s="49"/>
    </row>
    <row r="31" spans="1:24" ht="10.15" x14ac:dyDescent="0.2">
      <c r="K31" s="49"/>
      <c r="L31" s="49"/>
      <c r="M31" s="49"/>
    </row>
    <row r="32" spans="1:24" ht="10.15" x14ac:dyDescent="0.2">
      <c r="A32" s="1" t="s">
        <v>272</v>
      </c>
      <c r="B32" s="12" t="str">
        <f>IF(B23=1,"",CONCATENATE(tblText!$A$43," ",UPPER(C24)))</f>
        <v/>
      </c>
      <c r="K32" s="49"/>
      <c r="L32" s="49"/>
      <c r="M32" s="49"/>
    </row>
    <row r="33" spans="1:24" ht="10.15" x14ac:dyDescent="0.2">
      <c r="K33" s="49"/>
      <c r="L33" s="49"/>
      <c r="M33" s="49"/>
    </row>
    <row r="34" spans="1:24" ht="10.15" x14ac:dyDescent="0.2">
      <c r="A34" s="2" t="s">
        <v>194</v>
      </c>
      <c r="K34" s="49"/>
      <c r="L34" s="49"/>
      <c r="M34" s="49"/>
    </row>
    <row r="35" spans="1:24" x14ac:dyDescent="0.2">
      <c r="A35" s="1" t="s">
        <v>193</v>
      </c>
      <c r="B35" s="7">
        <v>1</v>
      </c>
      <c r="K35" s="49"/>
      <c r="L35" s="49"/>
      <c r="M35" s="49"/>
    </row>
    <row r="36" spans="1:24" x14ac:dyDescent="0.2">
      <c r="A36" s="1" t="s">
        <v>3494</v>
      </c>
      <c r="B36" s="1">
        <f>iMultiples!$B$2</f>
        <v>3</v>
      </c>
      <c r="K36" s="49"/>
      <c r="L36" s="49"/>
      <c r="M36" s="49"/>
    </row>
    <row r="37" spans="1:24" x14ac:dyDescent="0.2">
      <c r="K37" s="49"/>
      <c r="L37" s="49"/>
      <c r="M37" s="49"/>
    </row>
    <row r="38" spans="1:24" x14ac:dyDescent="0.2">
      <c r="K38" s="49"/>
      <c r="L38" s="49"/>
      <c r="M38" s="49"/>
    </row>
    <row r="39" spans="1:24" x14ac:dyDescent="0.2">
      <c r="A39" s="2" t="s">
        <v>233</v>
      </c>
      <c r="K39" s="49"/>
      <c r="L39" s="49"/>
      <c r="M39" s="49"/>
    </row>
    <row r="40" spans="1:24" x14ac:dyDescent="0.2">
      <c r="A40" s="1" t="s">
        <v>201</v>
      </c>
      <c r="B40" s="1" t="b">
        <v>1</v>
      </c>
      <c r="K40" s="49"/>
      <c r="L40" s="49"/>
      <c r="M40" s="49"/>
    </row>
    <row r="41" spans="1:24" x14ac:dyDescent="0.2">
      <c r="K41" s="49"/>
      <c r="L41" s="49"/>
      <c r="M41" s="49"/>
    </row>
    <row r="42" spans="1:24" x14ac:dyDescent="0.2">
      <c r="A42" s="1" t="s">
        <v>234</v>
      </c>
      <c r="B42" s="7">
        <v>96</v>
      </c>
      <c r="C42" s="1" t="str">
        <f>INDEX(tblIndicators!B$2:B$149,$B42)</f>
        <v>CALC01</v>
      </c>
      <c r="D42" s="1" t="str">
        <f>INDEX(tblIndicators!C$2:C$149,$B42)</f>
        <v>CALC</v>
      </c>
      <c r="E42" s="1">
        <f>INDEX(tblIndicators!D$2:D$149,$B42)</f>
        <v>1</v>
      </c>
      <c r="F42" s="1">
        <f>INDEX(tblIndicators!E$2:E$149,$B42)</f>
        <v>1</v>
      </c>
      <c r="G42" s="1" t="str">
        <f>INDEX(tblIndicators!F$2:F$149,$B42)</f>
        <v>X</v>
      </c>
      <c r="H42" s="1">
        <f>INDEX(tblIndicators!G$2:G$149,$B42)</f>
        <v>0</v>
      </c>
      <c r="I42" s="1" t="str">
        <f>INDEX(tblIndicators!H$2:H$149,$B42)</f>
        <v>GENERAL04</v>
      </c>
      <c r="J42" s="1">
        <f>INDEX(tblIndicators!I$2:I$149,$B42)</f>
        <v>1000</v>
      </c>
      <c r="K42" s="109">
        <f>INDEX(tblIndicators!J$2:J$149,$B42)</f>
        <v>0</v>
      </c>
      <c r="L42" s="109" t="str">
        <f>INDEX(tblIndicators!O$2:O$149,$B42)</f>
        <v>GDP / capita</v>
      </c>
      <c r="M42" s="49" t="str">
        <f>INDEX(tblIndicators!P$2:P$149,$B42)</f>
        <v>US$/capita</v>
      </c>
      <c r="N42" s="1" t="str">
        <f>INDEX(tblIndicators!Q$2:Q$149,$B42)</f>
        <v>CALCULATED</v>
      </c>
      <c r="O42" s="1" t="str">
        <f>INDEX(tblIndicators!R$2:R$149,$B42)</f>
        <v/>
      </c>
      <c r="P42" s="1">
        <f>INDEX(tblIndicators!S$2:S$149,$B42)</f>
        <v>0</v>
      </c>
      <c r="Q42" s="1">
        <f>INDEX(tblIndicators!T$2:T$149,$B42)</f>
        <v>0</v>
      </c>
      <c r="R42" s="1">
        <f>INDEX(tblIndicators!U$2:U$149,$B42)</f>
        <v>0</v>
      </c>
      <c r="S42" s="1">
        <f>INDEX(tblIndicators!V$2:V$149,$B42)</f>
        <v>0</v>
      </c>
      <c r="T42" s="1" t="str">
        <f>INDEX(tblIndicators!W$2:W$149,$B42)</f>
        <v xml:space="preserve">  GDP / capita</v>
      </c>
      <c r="U42" s="1" t="str">
        <f>INDEX(tblIndicators!X$2:X$149,$B42)</f>
        <v>CALCULATED INDICATORS</v>
      </c>
      <c r="V42" s="1" t="str">
        <f>INDEX(tblIndicators!Y$2:Y$149,$B42)</f>
        <v>CALCULATED INDICATORS »</v>
      </c>
      <c r="W42" s="1">
        <f>INDEX(tblIndicators!Z$2:Z$149,$B42)</f>
        <v>0</v>
      </c>
      <c r="X42" s="1">
        <f>INDEX(tblIndicators!AA$2:AA$149,$B42)</f>
        <v>0</v>
      </c>
    </row>
    <row r="43" spans="1:24" x14ac:dyDescent="0.2">
      <c r="A43" s="1" t="s">
        <v>235</v>
      </c>
      <c r="B43" s="7">
        <v>33</v>
      </c>
      <c r="C43" s="1" t="str">
        <f>INDEX(tblIndicators!B$2:B$149,$B43)</f>
        <v>ROAD22</v>
      </c>
      <c r="D43" s="1" t="str">
        <f>INDEX(tblIndicators!C$2:C$149,$B43)</f>
        <v>ROAD</v>
      </c>
      <c r="E43" s="1">
        <f>INDEX(tblIndicators!D$2:D$149,$B43)</f>
        <v>1</v>
      </c>
      <c r="F43" s="1">
        <f>INDEX(tblIndicators!E$2:E$149,$B43)</f>
        <v>1</v>
      </c>
      <c r="G43" s="1">
        <f>INDEX(tblIndicators!F$2:F$149,$B43)</f>
        <v>32</v>
      </c>
      <c r="H43" s="1">
        <f>INDEX(tblIndicators!G$2:G$149,$B43)</f>
        <v>2</v>
      </c>
      <c r="I43" s="1">
        <f>INDEX(tblIndicators!H$2:H$149,$B43)</f>
        <v>0</v>
      </c>
      <c r="J43" s="1">
        <f>INDEX(tblIndicators!I$2:I$149,$B43)</f>
        <v>0</v>
      </c>
      <c r="K43" s="109">
        <f>INDEX(tblIndicators!J$2:J$149,$B43)</f>
        <v>0</v>
      </c>
      <c r="L43" s="109" t="str">
        <f>INDEX(tblIndicators!O$2:O$149,$B43)</f>
        <v>Retail price gasoline</v>
      </c>
      <c r="M43" s="49" t="str">
        <f>INDEX(tblIndicators!P$2:P$149,$B43)</f>
        <v>US$/liter</v>
      </c>
      <c r="N43" s="1" t="str">
        <f>INDEX(tblIndicators!Q$2:Q$149,$B43)</f>
        <v>Road transport</v>
      </c>
      <c r="O43" s="1" t="str">
        <f>INDEX(tblIndicators!R$2:R$149,$B43)</f>
        <v>Annual average price per liter of gasoline fuel type</v>
      </c>
      <c r="P43" s="1">
        <f>INDEX(tblIndicators!S$2:S$149,$B43)</f>
        <v>0</v>
      </c>
      <c r="Q43" s="1">
        <f>INDEX(tblIndicators!T$2:T$149,$B43)</f>
        <v>0</v>
      </c>
      <c r="R43" s="1">
        <f>INDEX(tblIndicators!U$2:U$149,$B43)</f>
        <v>0</v>
      </c>
      <c r="S43" s="1">
        <f>INDEX(tblIndicators!V$2:V$149,$B43)</f>
        <v>0</v>
      </c>
      <c r="T43" s="1" t="str">
        <f>INDEX(tblIndicators!W$2:W$149,$B43)</f>
        <v xml:space="preserve">  Retail price gasoline</v>
      </c>
      <c r="U43" s="1" t="str">
        <f>INDEX(tblIndicators!X$2:X$149,$B43)</f>
        <v>Road transportation</v>
      </c>
      <c r="V43" s="1" t="str">
        <f>INDEX(tblIndicators!Y$2:Y$149,$B43)</f>
        <v>ROAD TRANSPORTATION »</v>
      </c>
      <c r="W43" s="1">
        <f>INDEX(tblIndicators!Z$2:Z$149,$B43)</f>
        <v>0</v>
      </c>
      <c r="X43" s="1">
        <f>INDEX(tblIndicators!AA$2:AA$149,$B43)</f>
        <v>0</v>
      </c>
    </row>
    <row r="44" spans="1:24" x14ac:dyDescent="0.2">
      <c r="K44" s="49"/>
      <c r="L44" s="49"/>
      <c r="M44" s="49"/>
    </row>
    <row r="45" spans="1:24" x14ac:dyDescent="0.2">
      <c r="A45" s="1" t="s">
        <v>265</v>
      </c>
      <c r="B45" s="1" t="b">
        <f>IF(AND(F42=1,F43=1),TRUE,FALSE)</f>
        <v>1</v>
      </c>
    </row>
    <row r="48" spans="1:24" x14ac:dyDescent="0.2">
      <c r="A48" s="17" t="s">
        <v>84</v>
      </c>
      <c r="B48" s="1">
        <f>H42</f>
        <v>0</v>
      </c>
    </row>
    <row r="49" spans="1:2" x14ac:dyDescent="0.2">
      <c r="A49" s="17" t="s">
        <v>85</v>
      </c>
      <c r="B49" s="1" t="str">
        <f>IF(OR(B48=0,B48=""),"#,##0",CONCATENATE("#,##0.",REPT("0",B48)))</f>
        <v>#,##0</v>
      </c>
    </row>
    <row r="50" spans="1:2" x14ac:dyDescent="0.2">
      <c r="A50" s="17" t="s">
        <v>86</v>
      </c>
      <c r="B50" s="1">
        <f>H43</f>
        <v>2</v>
      </c>
    </row>
    <row r="51" spans="1:2" x14ac:dyDescent="0.2">
      <c r="A51" s="17" t="s">
        <v>87</v>
      </c>
      <c r="B51" s="1" t="str">
        <f>IF(OR(B50=0,B50=""),"#,##0",CONCATENATE("#,##0.",REPT("0",B50)))</f>
        <v>#,##0.00</v>
      </c>
    </row>
    <row r="53" spans="1:2" x14ac:dyDescent="0.2">
      <c r="A53" s="2" t="s">
        <v>4</v>
      </c>
    </row>
    <row r="54" spans="1:2" x14ac:dyDescent="0.2">
      <c r="A54" s="1" t="s">
        <v>1</v>
      </c>
      <c r="B54" s="1">
        <v>2</v>
      </c>
    </row>
    <row r="55" spans="1:2" x14ac:dyDescent="0.2">
      <c r="A55" s="1" t="s">
        <v>3</v>
      </c>
      <c r="B55" s="1">
        <v>2</v>
      </c>
    </row>
    <row r="58" spans="1:2" x14ac:dyDescent="0.2">
      <c r="A58" s="1" t="s">
        <v>95</v>
      </c>
      <c r="B58" s="1" t="b">
        <v>1</v>
      </c>
    </row>
    <row r="59" spans="1:2" x14ac:dyDescent="0.2">
      <c r="A59" s="1" t="s">
        <v>96</v>
      </c>
      <c r="B59" s="1" t="b">
        <v>1</v>
      </c>
    </row>
    <row r="60" spans="1:2" x14ac:dyDescent="0.2">
      <c r="A60" s="1" t="s">
        <v>97</v>
      </c>
      <c r="B60" s="1" t="b">
        <v>1</v>
      </c>
    </row>
    <row r="61" spans="1:2" x14ac:dyDescent="0.2">
      <c r="A61" s="1" t="s">
        <v>98</v>
      </c>
      <c r="B61" s="1" t="b">
        <v>1</v>
      </c>
    </row>
    <row r="62" spans="1:2" x14ac:dyDescent="0.2">
      <c r="A62" s="1" t="s">
        <v>99</v>
      </c>
      <c r="B62" s="1" t="b">
        <v>1</v>
      </c>
    </row>
    <row r="63" spans="1:2" x14ac:dyDescent="0.2">
      <c r="A63" s="1" t="s">
        <v>100</v>
      </c>
      <c r="B63" s="1" t="b">
        <v>1</v>
      </c>
    </row>
    <row r="64" spans="1:2" x14ac:dyDescent="0.2">
      <c r="A64" s="1" t="s">
        <v>101</v>
      </c>
      <c r="B64" s="1" t="b">
        <v>1</v>
      </c>
    </row>
    <row r="65" spans="1:2" x14ac:dyDescent="0.2">
      <c r="A65" s="1" t="s">
        <v>102</v>
      </c>
      <c r="B65" s="1" t="b">
        <v>1</v>
      </c>
    </row>
    <row r="66" spans="1:2" x14ac:dyDescent="0.2">
      <c r="A66" s="1" t="s">
        <v>103</v>
      </c>
      <c r="B66" s="1" t="b">
        <v>1</v>
      </c>
    </row>
    <row r="67" spans="1:2" x14ac:dyDescent="0.2">
      <c r="A67" s="1" t="s">
        <v>104</v>
      </c>
      <c r="B67" s="1" t="b">
        <v>1</v>
      </c>
    </row>
  </sheetData>
  <phoneticPr fontId="12" type="noConversion"/>
  <pageMargins left="0.7" right="0.7" top="0.75" bottom="0.75" header="0.3" footer="0.3"/>
  <pageSetup orientation="portrait" r:id="rId1"/>
  <headerFooter>
    <oddHeader>&amp;LAnuario de Transporte de Carga y Logística 2014, BID</oddHeader>
    <oddFooter>&amp;LObservatorio Regional de Transporte de Carga y Logistica</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pageSetUpPr fitToPage="1"/>
  </sheetPr>
  <dimension ref="A1:P43"/>
  <sheetViews>
    <sheetView showGridLines="0" showRowColHeaders="0" workbookViewId="0"/>
  </sheetViews>
  <sheetFormatPr defaultColWidth="9.140625" defaultRowHeight="15" x14ac:dyDescent="0.25"/>
  <cols>
    <col min="1" max="1" width="4.7109375" style="9" customWidth="1"/>
    <col min="2" max="2" width="12.28515625" customWidth="1"/>
    <col min="3" max="3" width="41.85546875" customWidth="1"/>
    <col min="4" max="4" width="11.7109375" customWidth="1"/>
    <col min="5" max="5" width="42" customWidth="1"/>
    <col min="6" max="6" width="1.85546875" hidden="1" customWidth="1"/>
    <col min="7" max="7" width="3" customWidth="1"/>
    <col min="8" max="8" width="5.140625" bestFit="1" customWidth="1"/>
    <col min="9" max="9" width="19.140625" bestFit="1" customWidth="1"/>
    <col min="10" max="10" width="19.85546875" customWidth="1"/>
    <col min="11" max="11" width="18.85546875" customWidth="1"/>
    <col min="12" max="12" width="2" customWidth="1"/>
  </cols>
  <sheetData>
    <row r="1" spans="1:16" ht="29.1" customHeight="1" x14ac:dyDescent="0.3">
      <c r="A1" s="127" t="str">
        <f>UPPER(tblText!$A$17)</f>
        <v>SCATTERPLOT</v>
      </c>
      <c r="B1" s="127"/>
      <c r="C1" s="127"/>
      <c r="D1" s="127"/>
      <c r="E1" s="127"/>
      <c r="F1" s="127"/>
      <c r="G1" s="127"/>
      <c r="H1" s="127"/>
      <c r="I1" s="127"/>
      <c r="J1" s="127"/>
      <c r="K1" s="127"/>
      <c r="L1" s="127"/>
    </row>
    <row r="2" spans="1:16" ht="22.5" customHeight="1" x14ac:dyDescent="0.3">
      <c r="A2" s="124"/>
      <c r="B2" s="240" t="str">
        <f>UPPER(tblText!$A$33)</f>
        <v>INDICATOR-X</v>
      </c>
      <c r="C2" s="124"/>
      <c r="D2" s="240" t="str">
        <f>UPPER(tblText!$A$34)</f>
        <v>INDICATOR-Y</v>
      </c>
      <c r="E2" s="124"/>
      <c r="F2" s="124"/>
      <c r="G2" s="124"/>
      <c r="H2" s="124" t="str">
        <f>UPPER(tblText!$A$25)</f>
        <v>HIGHLIGHT COUNTRY</v>
      </c>
      <c r="I2" s="124"/>
      <c r="J2" s="240" t="str">
        <f>UPPER(tblText!$A$27)</f>
        <v>GROUP</v>
      </c>
      <c r="K2" s="124"/>
      <c r="L2" s="124"/>
    </row>
    <row r="3" spans="1:16" s="9" customFormat="1" ht="14.25" customHeight="1" x14ac:dyDescent="0.3">
      <c r="A3" s="239"/>
      <c r="B3" s="239"/>
      <c r="C3" s="239"/>
      <c r="D3" s="239"/>
      <c r="E3" s="239"/>
      <c r="F3" s="239"/>
      <c r="G3" s="239"/>
    </row>
    <row r="4" spans="1:16" ht="27" customHeight="1" x14ac:dyDescent="0.25">
      <c r="A4" s="51"/>
      <c r="B4" s="151" t="str">
        <f>UPPER(iScatter!B12)</f>
        <v xml:space="preserve">GDP / CAPITA ↔ RETAIL PRICE GASOLINE </v>
      </c>
      <c r="C4" s="151"/>
      <c r="D4" s="151"/>
      <c r="E4" s="151"/>
      <c r="J4" s="269" t="str">
        <f>iScatter!H2</f>
        <v>GDP / capita: US$/capita</v>
      </c>
      <c r="K4" s="271" t="str">
        <f>iScatter!H3</f>
        <v>Retail price gasoline: US$/liter</v>
      </c>
      <c r="L4" s="247"/>
    </row>
    <row r="5" spans="1:16" ht="15.75" x14ac:dyDescent="0.25">
      <c r="A5" s="51"/>
      <c r="B5" s="163" t="str">
        <f ca="1">CONCATENATE(UPPER(tblText!$A$52),": ",IF(ISNUMBER(iScatter!B16),TEXT(iScatter!B16,"0.00"),"-"))</f>
        <v>CORRELATION CO-EFFICIENT: 0.59</v>
      </c>
      <c r="C5" s="162"/>
      <c r="D5" s="151"/>
      <c r="E5" s="151"/>
      <c r="F5" s="51"/>
      <c r="G5" s="51"/>
      <c r="H5" s="53"/>
      <c r="I5" s="52"/>
      <c r="J5" s="270"/>
      <c r="K5" s="270"/>
      <c r="L5" s="247"/>
      <c r="O5" s="209"/>
      <c r="P5" s="209"/>
    </row>
    <row r="6" spans="1:16" x14ac:dyDescent="0.25">
      <c r="A6" s="51"/>
      <c r="F6" s="51">
        <f ca="1">iScatter!AL21</f>
        <v>1</v>
      </c>
      <c r="J6" s="260"/>
      <c r="K6" s="260"/>
      <c r="O6" s="209"/>
      <c r="P6" s="209"/>
    </row>
    <row r="7" spans="1:16" ht="14.45" x14ac:dyDescent="0.3">
      <c r="A7" s="51"/>
      <c r="F7" s="51">
        <f ca="1">iScatter!AL22</f>
        <v>1</v>
      </c>
      <c r="G7" s="51"/>
      <c r="H7" s="241" t="str">
        <f>iScatter!B21</f>
        <v>AR</v>
      </c>
      <c r="I7" s="242" t="str">
        <f>iScatter!C21</f>
        <v>Argentina</v>
      </c>
      <c r="J7" s="228">
        <f ca="1">iScatter!AG21</f>
        <v>11547.898269965235</v>
      </c>
      <c r="K7" s="225">
        <f ca="1">iScatter!AI21</f>
        <v>1.4601380499469501</v>
      </c>
      <c r="O7" s="209"/>
      <c r="P7" s="209"/>
    </row>
    <row r="8" spans="1:16" ht="14.45" x14ac:dyDescent="0.3">
      <c r="A8" s="51"/>
      <c r="F8" s="51">
        <f ca="1">iScatter!AL23</f>
        <v>1</v>
      </c>
      <c r="G8" s="51"/>
      <c r="H8" s="243" t="str">
        <f>iScatter!B22</f>
        <v>BS</v>
      </c>
      <c r="I8" s="244" t="str">
        <f>iScatter!C22</f>
        <v>Bahamas</v>
      </c>
      <c r="J8" s="229">
        <f ca="1">iScatter!AG22</f>
        <v>23150.579545454548</v>
      </c>
      <c r="K8" s="226">
        <f ca="1">iScatter!AI22</f>
        <v>5.46</v>
      </c>
      <c r="O8" s="209"/>
      <c r="P8" s="209"/>
    </row>
    <row r="9" spans="1:16" ht="14.45" x14ac:dyDescent="0.3">
      <c r="A9" s="51"/>
      <c r="F9" s="51">
        <f ca="1">iScatter!AL24</f>
        <v>1</v>
      </c>
      <c r="G9" s="51"/>
      <c r="H9" s="243" t="str">
        <f>iScatter!B23</f>
        <v>BB</v>
      </c>
      <c r="I9" s="244" t="str">
        <f>iScatter!C23</f>
        <v>Barbados</v>
      </c>
      <c r="J9" s="229">
        <f ca="1">iScatter!AG23</f>
        <v>16512.518259209744</v>
      </c>
      <c r="K9" s="226">
        <f ca="1">iScatter!AI23</f>
        <v>1.5</v>
      </c>
      <c r="O9" s="209"/>
      <c r="P9" s="209"/>
    </row>
    <row r="10" spans="1:16" ht="14.45" x14ac:dyDescent="0.3">
      <c r="A10" s="51"/>
      <c r="F10" s="51">
        <f ca="1">iScatter!AL25</f>
        <v>1</v>
      </c>
      <c r="G10" s="51"/>
      <c r="H10" s="243" t="str">
        <f>iScatter!B24</f>
        <v>BZ</v>
      </c>
      <c r="I10" s="244" t="str">
        <f>iScatter!C24</f>
        <v>Belize</v>
      </c>
      <c r="J10" s="229">
        <f ca="1">iScatter!AG24</f>
        <v>4544.4458588799207</v>
      </c>
      <c r="K10" s="226">
        <f ca="1">iScatter!AI24</f>
        <v>1.7382529237255699</v>
      </c>
      <c r="O10" s="209"/>
      <c r="P10" s="209"/>
    </row>
    <row r="11" spans="1:16" ht="14.45" x14ac:dyDescent="0.3">
      <c r="A11" s="51"/>
      <c r="F11" s="51">
        <f ca="1">iScatter!AL26</f>
        <v>1</v>
      </c>
      <c r="G11" s="51"/>
      <c r="H11" s="243" t="str">
        <f>iScatter!B25</f>
        <v>BO</v>
      </c>
      <c r="I11" s="244" t="str">
        <f>iScatter!C25</f>
        <v>Bolivia</v>
      </c>
      <c r="J11" s="229">
        <f ca="1">iScatter!AG25</f>
        <v>2695.912263210369</v>
      </c>
      <c r="K11" s="226">
        <f ca="1">iScatter!AI25</f>
        <v>0.54409095254778705</v>
      </c>
      <c r="O11" s="209"/>
      <c r="P11" s="209"/>
    </row>
    <row r="12" spans="1:16" ht="14.45" x14ac:dyDescent="0.3">
      <c r="A12" s="51"/>
      <c r="F12" s="51">
        <f ca="1">iScatter!AL27</f>
        <v>1</v>
      </c>
      <c r="G12" s="51"/>
      <c r="H12" s="243" t="str">
        <f>iScatter!B26</f>
        <v>BR</v>
      </c>
      <c r="I12" s="244" t="str">
        <f>iScatter!C26</f>
        <v>Brasil</v>
      </c>
      <c r="J12" s="229">
        <f ca="1">iScatter!AG26</f>
        <v>12078.670216229939</v>
      </c>
      <c r="K12" s="226">
        <f ca="1">iScatter!AI26</f>
        <v>1.4256544696776501</v>
      </c>
      <c r="O12" s="209"/>
      <c r="P12" s="209"/>
    </row>
    <row r="13" spans="1:16" ht="14.45" x14ac:dyDescent="0.3">
      <c r="A13" s="51"/>
      <c r="F13" s="51">
        <f ca="1">iScatter!AL28</f>
        <v>1</v>
      </c>
      <c r="G13" s="51"/>
      <c r="H13" s="243" t="str">
        <f>iScatter!B27</f>
        <v>CL</v>
      </c>
      <c r="I13" s="244" t="str">
        <f>iScatter!C27</f>
        <v>Chile</v>
      </c>
      <c r="J13" s="229">
        <f ca="1">iScatter!AG27</f>
        <v>15417.025699496753</v>
      </c>
      <c r="K13" s="226">
        <f ca="1">iScatter!AI27</f>
        <v>1.7733010343837201</v>
      </c>
      <c r="O13" s="209"/>
      <c r="P13" s="209"/>
    </row>
    <row r="14" spans="1:16" ht="14.45" x14ac:dyDescent="0.3">
      <c r="A14" s="51"/>
      <c r="F14" s="51">
        <f ca="1">iScatter!AL29</f>
        <v>1</v>
      </c>
      <c r="G14" s="51"/>
      <c r="H14" s="243" t="str">
        <f>iScatter!B28</f>
        <v>CO</v>
      </c>
      <c r="I14" s="244" t="str">
        <f>iScatter!C28</f>
        <v>Colombia</v>
      </c>
      <c r="J14" s="229">
        <f ca="1">iScatter!AG28</f>
        <v>7854.8435555174046</v>
      </c>
      <c r="K14" s="226">
        <f ca="1">iScatter!AI28</f>
        <v>1.3097656528619099</v>
      </c>
      <c r="O14" s="209"/>
      <c r="P14" s="209"/>
    </row>
    <row r="15" spans="1:16" ht="14.45" x14ac:dyDescent="0.3">
      <c r="A15" s="51"/>
      <c r="F15" s="51">
        <f ca="1">iScatter!AL30</f>
        <v>1</v>
      </c>
      <c r="G15" s="51"/>
      <c r="H15" s="243" t="str">
        <f>iScatter!B29</f>
        <v>CR</v>
      </c>
      <c r="I15" s="244" t="str">
        <f>iScatter!C29</f>
        <v>Costa Rica</v>
      </c>
      <c r="J15" s="229">
        <f ca="1">iScatter!AG29</f>
        <v>9432.7519954935178</v>
      </c>
      <c r="K15" s="226">
        <f ca="1">iScatter!AI29</f>
        <v>1.57</v>
      </c>
      <c r="O15" s="209"/>
      <c r="P15" s="209"/>
    </row>
    <row r="16" spans="1:16" ht="14.45" x14ac:dyDescent="0.3">
      <c r="A16" s="51"/>
      <c r="F16" s="51">
        <f ca="1">iScatter!AL31</f>
        <v>1</v>
      </c>
      <c r="G16" s="51"/>
      <c r="H16" s="243" t="str">
        <f>iScatter!B30</f>
        <v>EC</v>
      </c>
      <c r="I16" s="244" t="str">
        <f>iScatter!C30</f>
        <v>Ecuador</v>
      </c>
      <c r="J16" s="229">
        <f ca="1">iScatter!AG30</f>
        <v>5795.6604771010416</v>
      </c>
      <c r="K16" s="226">
        <f ca="1">iScatter!AI30</f>
        <v>0.383050668357373</v>
      </c>
      <c r="O16" s="209"/>
      <c r="P16" s="209"/>
    </row>
    <row r="17" spans="1:16" ht="14.45" x14ac:dyDescent="0.3">
      <c r="A17" s="51"/>
      <c r="F17" s="51">
        <f ca="1">iScatter!AL32</f>
        <v>1</v>
      </c>
      <c r="G17" s="51"/>
      <c r="H17" s="243" t="str">
        <f>iScatter!B31</f>
        <v>SV</v>
      </c>
      <c r="I17" s="244" t="str">
        <f>iScatter!C31</f>
        <v>El Salvador</v>
      </c>
      <c r="J17" s="229">
        <f ca="1">iScatter!AG31</f>
        <v>3818.7549185807861</v>
      </c>
      <c r="K17" s="226">
        <f ca="1">iScatter!AI31</f>
        <v>0.92</v>
      </c>
      <c r="O17" s="209"/>
      <c r="P17" s="209"/>
    </row>
    <row r="18" spans="1:16" ht="14.45" x14ac:dyDescent="0.3">
      <c r="A18" s="51"/>
      <c r="F18" s="51">
        <f ca="1">iScatter!AL33</f>
        <v>1</v>
      </c>
      <c r="G18" s="51"/>
      <c r="H18" s="243" t="str">
        <f>iScatter!B32</f>
        <v>GT</v>
      </c>
      <c r="I18" s="244" t="str">
        <f>iScatter!C32</f>
        <v>Guatemala</v>
      </c>
      <c r="J18" s="229">
        <f ca="1">iScatter!AG32</f>
        <v>3302.2178086726249</v>
      </c>
      <c r="K18" s="226">
        <f ca="1">iScatter!AI32</f>
        <v>1.1399999999999999</v>
      </c>
      <c r="O18" s="209"/>
      <c r="P18" s="209"/>
    </row>
    <row r="19" spans="1:16" ht="14.45" x14ac:dyDescent="0.3">
      <c r="A19" s="51"/>
      <c r="F19" s="51">
        <f ca="1">iScatter!AL34</f>
        <v>1</v>
      </c>
      <c r="G19" s="51"/>
      <c r="H19" s="243" t="str">
        <f>iScatter!B33</f>
        <v>GY</v>
      </c>
      <c r="I19" s="244" t="str">
        <f>iScatter!C33</f>
        <v>Guyana</v>
      </c>
      <c r="J19" s="229">
        <f ca="1">iScatter!AG33</f>
        <v>3680.1053872360535</v>
      </c>
      <c r="K19" s="226">
        <f ca="1">iScatter!AI33</f>
        <v>1.08</v>
      </c>
      <c r="O19" s="209"/>
      <c r="P19" s="209"/>
    </row>
    <row r="20" spans="1:16" ht="14.45" x14ac:dyDescent="0.3">
      <c r="A20" s="51"/>
      <c r="F20" s="51">
        <f ca="1">iScatter!AL35</f>
        <v>1</v>
      </c>
      <c r="G20" s="51"/>
      <c r="H20" s="243" t="str">
        <f>iScatter!B34</f>
        <v>HT</v>
      </c>
      <c r="I20" s="244" t="str">
        <f>iScatter!C34</f>
        <v>Haiti</v>
      </c>
      <c r="J20" s="229">
        <f ca="1">iScatter!AG34</f>
        <v>769.91888399892071</v>
      </c>
      <c r="K20" s="226">
        <f ca="1">iScatter!AI34</f>
        <v>1.25</v>
      </c>
      <c r="O20" s="209"/>
      <c r="P20" s="209"/>
    </row>
    <row r="21" spans="1:16" ht="14.45" x14ac:dyDescent="0.3">
      <c r="A21" s="51"/>
      <c r="F21" s="51">
        <f ca="1">iScatter!AL36</f>
        <v>1</v>
      </c>
      <c r="G21" s="51"/>
      <c r="H21" s="243" t="str">
        <f>iScatter!B35</f>
        <v>HN</v>
      </c>
      <c r="I21" s="244" t="str">
        <f>iScatter!C35</f>
        <v>Honduras</v>
      </c>
      <c r="J21" s="229">
        <f ca="1">iScatter!AG35</f>
        <v>2242.1655895622484</v>
      </c>
      <c r="K21" s="226">
        <f ca="1">iScatter!AI35</f>
        <v>1.25</v>
      </c>
      <c r="O21" s="209"/>
      <c r="P21" s="209"/>
    </row>
    <row r="22" spans="1:16" ht="14.45" x14ac:dyDescent="0.3">
      <c r="A22" s="51"/>
      <c r="F22" s="51">
        <f ca="1">iScatter!AL37</f>
        <v>1</v>
      </c>
      <c r="G22" s="51"/>
      <c r="H22" s="243" t="str">
        <f>iScatter!B36</f>
        <v>JM</v>
      </c>
      <c r="I22" s="244" t="str">
        <f>iScatter!C36</f>
        <v>Jamaica</v>
      </c>
      <c r="J22" s="229">
        <f ca="1">iScatter!AG36</f>
        <v>5628.6686660696978</v>
      </c>
      <c r="K22" s="226">
        <f ca="1">iScatter!AI36</f>
        <v>1.2</v>
      </c>
      <c r="O22" s="209"/>
      <c r="P22" s="209"/>
    </row>
    <row r="23" spans="1:16" ht="14.45" x14ac:dyDescent="0.3">
      <c r="A23" s="51"/>
      <c r="F23" s="51">
        <f ca="1">iScatter!AL38</f>
        <v>1</v>
      </c>
      <c r="G23" s="51"/>
      <c r="H23" s="243" t="str">
        <f>iScatter!B37</f>
        <v>MX</v>
      </c>
      <c r="I23" s="244" t="str">
        <f>iScatter!C37</f>
        <v>México</v>
      </c>
      <c r="J23" s="229">
        <f ca="1">iScatter!AG37</f>
        <v>10247.196880005571</v>
      </c>
      <c r="K23" s="226">
        <f ca="1">iScatter!AI37</f>
        <v>0.86</v>
      </c>
      <c r="O23" s="209"/>
      <c r="P23" s="209"/>
    </row>
    <row r="24" spans="1:16" x14ac:dyDescent="0.25">
      <c r="A24" s="51"/>
      <c r="F24" s="51">
        <f ca="1">iScatter!AL39</f>
        <v>1</v>
      </c>
      <c r="G24" s="51"/>
      <c r="H24" s="243" t="str">
        <f>iScatter!B38</f>
        <v>NI</v>
      </c>
      <c r="I24" s="244" t="str">
        <f>iScatter!C38</f>
        <v>Nicaragua</v>
      </c>
      <c r="J24" s="229">
        <f ca="1">iScatter!AG38</f>
        <v>1756.5624477512122</v>
      </c>
      <c r="K24" s="226">
        <f ca="1">iScatter!AI38</f>
        <v>1.23</v>
      </c>
      <c r="O24" s="209"/>
      <c r="P24" s="209"/>
    </row>
    <row r="25" spans="1:16" x14ac:dyDescent="0.25">
      <c r="A25" s="51"/>
      <c r="F25" s="51">
        <f ca="1">iScatter!AL40</f>
        <v>1</v>
      </c>
      <c r="G25" s="51"/>
      <c r="H25" s="243" t="str">
        <f>iScatter!B39</f>
        <v>PA</v>
      </c>
      <c r="I25" s="244" t="str">
        <f>iScatter!C39</f>
        <v>Panamá</v>
      </c>
      <c r="J25" s="229">
        <f ca="1">iScatter!AG39</f>
        <v>9918.7414500684008</v>
      </c>
      <c r="K25" s="226">
        <f ca="1">iScatter!AI39</f>
        <v>1.05</v>
      </c>
      <c r="O25" s="209"/>
      <c r="P25" s="209"/>
    </row>
    <row r="26" spans="1:16" x14ac:dyDescent="0.25">
      <c r="A26" s="51"/>
      <c r="F26" s="51">
        <f ca="1">iScatter!AL41</f>
        <v>1</v>
      </c>
      <c r="G26" s="51"/>
      <c r="H26" s="243" t="str">
        <f>iScatter!B40</f>
        <v>PY</v>
      </c>
      <c r="I26" s="244" t="str">
        <f>iScatter!C40</f>
        <v>Paraguay</v>
      </c>
      <c r="J26" s="229">
        <f ca="1">iScatter!AG40</f>
        <v>3904.3512512361508</v>
      </c>
      <c r="K26" s="226">
        <f ca="1">iScatter!AI40</f>
        <v>1.5993633210365299</v>
      </c>
      <c r="O26" s="209"/>
      <c r="P26" s="209"/>
    </row>
    <row r="27" spans="1:16" x14ac:dyDescent="0.25">
      <c r="A27" s="51"/>
      <c r="F27" s="51">
        <f ca="1">iScatter!AL42</f>
        <v>1</v>
      </c>
      <c r="G27" s="51"/>
      <c r="H27" s="243" t="str">
        <f>iScatter!B41</f>
        <v>PE</v>
      </c>
      <c r="I27" s="244" t="str">
        <f>iScatter!C41</f>
        <v>Peru</v>
      </c>
      <c r="J27" s="229">
        <f ca="1">iScatter!AG41</f>
        <v>6530.2552995996584</v>
      </c>
      <c r="K27" s="226">
        <f ca="1">iScatter!AI41</f>
        <v>1.3922916644345</v>
      </c>
      <c r="O27" s="209"/>
      <c r="P27" s="209"/>
    </row>
    <row r="28" spans="1:16" x14ac:dyDescent="0.25">
      <c r="A28" s="51"/>
      <c r="F28" s="51">
        <f ca="1">iScatter!AL43</f>
        <v>1</v>
      </c>
      <c r="G28" s="51"/>
      <c r="H28" s="243" t="str">
        <f>iScatter!B42</f>
        <v>DO</v>
      </c>
      <c r="I28" s="244" t="str">
        <f>iScatter!C42</f>
        <v>Dominican Republic</v>
      </c>
      <c r="J28" s="229">
        <f ca="1">iScatter!AG42</f>
        <v>5763.0165087427958</v>
      </c>
      <c r="K28" s="226">
        <f ca="1">iScatter!AI42</f>
        <v>1.58</v>
      </c>
      <c r="O28" s="209"/>
      <c r="P28" s="209"/>
    </row>
    <row r="29" spans="1:16" x14ac:dyDescent="0.25">
      <c r="A29" s="51"/>
      <c r="F29" s="51">
        <f ca="1">iScatter!AL44</f>
        <v>4</v>
      </c>
      <c r="G29" s="51"/>
      <c r="H29" s="243" t="str">
        <f>iScatter!B43</f>
        <v>SR</v>
      </c>
      <c r="I29" s="244" t="str">
        <f>iScatter!C43</f>
        <v>Suriname</v>
      </c>
      <c r="J29" s="229">
        <f ca="1">iScatter!AG43</f>
        <v>8677.6556776556772</v>
      </c>
      <c r="K29" s="226">
        <f ca="1">iScatter!AI43</f>
        <v>1.57</v>
      </c>
      <c r="O29" s="209"/>
      <c r="P29" s="209"/>
    </row>
    <row r="30" spans="1:16" x14ac:dyDescent="0.25">
      <c r="A30" s="51"/>
      <c r="F30" s="51">
        <f ca="1">iScatter!AL45</f>
        <v>1</v>
      </c>
      <c r="G30" s="51"/>
      <c r="H30" s="243" t="str">
        <f>iScatter!B44</f>
        <v>TT</v>
      </c>
      <c r="I30" s="244" t="str">
        <f>iScatter!C44</f>
        <v>Trinidad and Tobago</v>
      </c>
      <c r="J30" s="229" t="str">
        <f ca="1">iScatter!AG44</f>
        <v>–</v>
      </c>
      <c r="K30" s="226" t="str">
        <f ca="1">iScatter!AI44</f>
        <v>–</v>
      </c>
      <c r="O30" s="209"/>
      <c r="P30" s="209"/>
    </row>
    <row r="31" spans="1:16" x14ac:dyDescent="0.25">
      <c r="A31" s="51"/>
      <c r="F31" s="51">
        <f ca="1">iScatter!AL46</f>
        <v>1</v>
      </c>
      <c r="G31" s="51"/>
      <c r="H31" s="243" t="str">
        <f>iScatter!B45</f>
        <v>UY</v>
      </c>
      <c r="I31" s="244" t="str">
        <f>iScatter!C45</f>
        <v>Uruguay</v>
      </c>
      <c r="J31" s="229">
        <f ca="1">iScatter!AG45</f>
        <v>14612.244897959185</v>
      </c>
      <c r="K31" s="226">
        <f ca="1">iScatter!AI45</f>
        <v>2.0102454577494502</v>
      </c>
    </row>
    <row r="32" spans="1:16" x14ac:dyDescent="0.25">
      <c r="A32" s="51"/>
      <c r="G32" s="51"/>
      <c r="H32" s="245" t="str">
        <f>iScatter!B46</f>
        <v>VE</v>
      </c>
      <c r="I32" s="246" t="str">
        <f>iScatter!C46</f>
        <v>Venezuela</v>
      </c>
      <c r="J32" s="230">
        <f ca="1">iScatter!AG46</f>
        <v>12956.059220110445</v>
      </c>
      <c r="K32" s="227">
        <f ca="1">iScatter!AI46</f>
        <v>1.6319679201734501E-2</v>
      </c>
    </row>
    <row r="33" spans="3:8" ht="15" customHeight="1" x14ac:dyDescent="0.25"/>
    <row r="34" spans="3:8" x14ac:dyDescent="0.25">
      <c r="C34" s="210"/>
      <c r="E34" s="209"/>
      <c r="F34" s="9"/>
      <c r="G34" s="9"/>
      <c r="H34" s="9"/>
    </row>
    <row r="35" spans="3:8" x14ac:dyDescent="0.25">
      <c r="C35" s="210"/>
      <c r="E35" s="209"/>
    </row>
    <row r="36" spans="3:8" x14ac:dyDescent="0.25">
      <c r="C36" s="210"/>
      <c r="E36" s="209"/>
    </row>
    <row r="37" spans="3:8" x14ac:dyDescent="0.25">
      <c r="C37" s="210"/>
      <c r="E37" s="209"/>
    </row>
    <row r="38" spans="3:8" x14ac:dyDescent="0.25">
      <c r="C38" s="210"/>
      <c r="E38" s="209"/>
    </row>
    <row r="39" spans="3:8" x14ac:dyDescent="0.25">
      <c r="C39" s="210"/>
      <c r="E39" s="209"/>
    </row>
    <row r="40" spans="3:8" x14ac:dyDescent="0.25">
      <c r="C40" s="210"/>
      <c r="E40" s="209"/>
    </row>
    <row r="41" spans="3:8" x14ac:dyDescent="0.25">
      <c r="C41" s="210"/>
      <c r="E41" s="209"/>
    </row>
    <row r="42" spans="3:8" x14ac:dyDescent="0.25">
      <c r="C42" s="210"/>
      <c r="E42" s="209"/>
    </row>
    <row r="43" spans="3:8" x14ac:dyDescent="0.25">
      <c r="C43" s="210"/>
      <c r="E43" s="209"/>
    </row>
  </sheetData>
  <sheetProtection sheet="1" objects="1" scenarios="1"/>
  <mergeCells count="2">
    <mergeCell ref="J4:J6"/>
    <mergeCell ref="K4:K6"/>
  </mergeCells>
  <phoneticPr fontId="12" type="noConversion"/>
  <conditionalFormatting sqref="I7:I32">
    <cfRule type="expression" dxfId="6" priority="7" stopIfTrue="1">
      <formula>$F6=4</formula>
    </cfRule>
  </conditionalFormatting>
  <conditionalFormatting sqref="H7:H32">
    <cfRule type="expression" dxfId="5" priority="8" stopIfTrue="1">
      <formula>$F6=3</formula>
    </cfRule>
    <cfRule type="expression" dxfId="4" priority="9" stopIfTrue="1">
      <formula>$F6=2</formula>
    </cfRule>
  </conditionalFormatting>
  <pageMargins left="0.70866141732283472" right="0.70866141732283472" top="0.74803149606299213" bottom="0.74803149606299213" header="0.31496062992125984" footer="0.31496062992125984"/>
  <pageSetup scale="67" orientation="landscape" r:id="rId1"/>
  <headerFooter>
    <oddHeader>&amp;LFreight Transport and Logistics Yearbook 2014, IDB</oddHeader>
    <oddFooter>&amp;LFreight Transport and Logistics Regional Observatory</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21889" r:id="rId4" name="Drop Down 1">
              <controlPr defaultSize="0" autoLine="0" autoPict="0">
                <anchor moveWithCells="1">
                  <from>
                    <xdr:col>8</xdr:col>
                    <xdr:colOff>590550</xdr:colOff>
                    <xdr:row>1</xdr:row>
                    <xdr:rowOff>38100</xdr:rowOff>
                  </from>
                  <to>
                    <xdr:col>9</xdr:col>
                    <xdr:colOff>590550</xdr:colOff>
                    <xdr:row>1</xdr:row>
                    <xdr:rowOff>200025</xdr:rowOff>
                  </to>
                </anchor>
              </controlPr>
            </control>
          </mc:Choice>
        </mc:AlternateContent>
        <mc:AlternateContent xmlns:mc="http://schemas.openxmlformats.org/markup-compatibility/2006">
          <mc:Choice Requires="x14">
            <control shapeId="421893" r:id="rId5" name="Drop Down 5">
              <controlPr defaultSize="0" autoLine="0" autoPict="0">
                <anchor moveWithCells="1">
                  <from>
                    <xdr:col>10</xdr:col>
                    <xdr:colOff>57150</xdr:colOff>
                    <xdr:row>1</xdr:row>
                    <xdr:rowOff>28575</xdr:rowOff>
                  </from>
                  <to>
                    <xdr:col>11</xdr:col>
                    <xdr:colOff>0</xdr:colOff>
                    <xdr:row>1</xdr:row>
                    <xdr:rowOff>190500</xdr:rowOff>
                  </to>
                </anchor>
              </controlPr>
            </control>
          </mc:Choice>
        </mc:AlternateContent>
        <mc:AlternateContent xmlns:mc="http://schemas.openxmlformats.org/markup-compatibility/2006">
          <mc:Choice Requires="x14">
            <control shapeId="421895" r:id="rId6" name="Drop Down 7">
              <controlPr defaultSize="0" autoLine="0" autoPict="0">
                <anchor moveWithCells="1">
                  <from>
                    <xdr:col>2</xdr:col>
                    <xdr:colOff>0</xdr:colOff>
                    <xdr:row>1</xdr:row>
                    <xdr:rowOff>28575</xdr:rowOff>
                  </from>
                  <to>
                    <xdr:col>2</xdr:col>
                    <xdr:colOff>2190750</xdr:colOff>
                    <xdr:row>1</xdr:row>
                    <xdr:rowOff>200025</xdr:rowOff>
                  </to>
                </anchor>
              </controlPr>
            </control>
          </mc:Choice>
        </mc:AlternateContent>
        <mc:AlternateContent xmlns:mc="http://schemas.openxmlformats.org/markup-compatibility/2006">
          <mc:Choice Requires="x14">
            <control shapeId="421896" r:id="rId7" name="Drop Down 8">
              <controlPr defaultSize="0" autoLine="0" autoPict="0">
                <anchor moveWithCells="1">
                  <from>
                    <xdr:col>4</xdr:col>
                    <xdr:colOff>19050</xdr:colOff>
                    <xdr:row>1</xdr:row>
                    <xdr:rowOff>38100</xdr:rowOff>
                  </from>
                  <to>
                    <xdr:col>6</xdr:col>
                    <xdr:colOff>133350</xdr:colOff>
                    <xdr:row>1</xdr:row>
                    <xdr:rowOff>209550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D7"/>
  <sheetViews>
    <sheetView showGridLines="0" showRowColHeaders="0" workbookViewId="0">
      <selection activeCell="A2" sqref="A2"/>
    </sheetView>
  </sheetViews>
  <sheetFormatPr defaultColWidth="9.140625" defaultRowHeight="15" x14ac:dyDescent="0.25"/>
  <cols>
    <col min="1" max="1" width="1.28515625" customWidth="1"/>
    <col min="2" max="2" width="3.85546875" customWidth="1"/>
    <col min="3" max="3" width="124.85546875" customWidth="1"/>
    <col min="4" max="4" width="4.42578125" customWidth="1"/>
  </cols>
  <sheetData>
    <row r="1" spans="1:4" ht="29.1" customHeight="1" x14ac:dyDescent="0.3">
      <c r="A1" s="127" t="str">
        <f>UPPER(tblText!$A$18)</f>
        <v>METHODOLOGY</v>
      </c>
      <c r="B1" s="127"/>
      <c r="C1" s="127"/>
      <c r="D1" s="127"/>
    </row>
    <row r="2" spans="1:4" ht="14.45" x14ac:dyDescent="0.3">
      <c r="A2" s="124"/>
      <c r="B2" s="124"/>
      <c r="C2" s="124"/>
      <c r="D2" s="124"/>
    </row>
    <row r="4" spans="1:4" ht="102.75" customHeight="1" x14ac:dyDescent="0.3">
      <c r="C4" s="250" t="str">
        <f>tblText!A98</f>
        <v>Data for the Yearbook was collected both from primary and secondary sources. The collection from secondary sources was organized in four stages. The first stage focused on data available online in international organizations and official country websites. While data from international organizations has the advantage of being standardized and periodically updated, it encompassed a very small number of transport-related indicators. Thus, the majority of variables were collected from official government websites especially those of transport or public works ministries, mode-specific agencies, sectoral regulators and private operators. A detailed list of all the sources reviewed in this stage is in place so that data can be easily updated in the future.</v>
      </c>
    </row>
    <row r="5" spans="1:4" ht="87.75" customHeight="1" x14ac:dyDescent="0.3">
      <c r="C5" s="250" t="str">
        <f>tblText!A99</f>
        <v>The second stage included specific requests to national institutions in the twenty six Bank member borrowing countries, to address data gaps. In many cases, data was available yet it had not been made public on websites or official reports. The support from IDB specialists in the field was key at this stage, both to facilitate contacts with specific government offices and to check the accuracy and relevance of the data collected thus far in their countries. The third stage consisted of reviewing academic papers for relevant data to incorporate in the dataset, along with their citations.</v>
      </c>
    </row>
    <row r="6" spans="1:4" ht="85.5" customHeight="1" x14ac:dyDescent="0.3">
      <c r="C6" s="250" t="str">
        <f>tblText!A100</f>
        <v>In the fourth stage, in the cases of time series with sufficient data points, data were interpolated and extrapolated to further increase the database coverage. Separate compounded average growth rates for Caribbean and South American countries were also calculated and used to generate data for missing years in various indicators. All data processing is clearly indicated in the database. Quality checks were also performed to validate the estimates produced at this stage: examples of these are comparisons of countries with similar characteristics to identify possible outliers.</v>
      </c>
    </row>
    <row r="7" spans="1:4" ht="56.25" customHeight="1" x14ac:dyDescent="0.3">
      <c r="C7" s="250" t="str">
        <f>tblText!A101</f>
        <v>Finally, specific variables (most notably, rail and trucking tariffs) were collected directly by the Yearbook team. Brief guidelines were pre-established before the collection exercise to ensure standardization and facilitate comparisons among countries.</v>
      </c>
    </row>
  </sheetData>
  <pageMargins left="0.70866141732283472" right="0.70866141732283472" top="0.74803149606299213" bottom="0.74803149606299213" header="0.31496062992125984" footer="0.31496062992125984"/>
  <pageSetup scale="90" fitToHeight="0" orientation="landscape" r:id="rId1"/>
  <headerFooter>
    <oddHeader>&amp;LFreight Transport and Logistics Yearbook 2014, IDB</oddHeader>
    <oddFooter>&amp;LFreight Transport and Logistics Regional Observatory</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2:AD108"/>
  <sheetViews>
    <sheetView showGridLines="0" showRowColHeaders="0" workbookViewId="0">
      <pane ySplit="3" topLeftCell="A4" activePane="bottomLeft" state="frozen"/>
      <selection activeCell="O14" sqref="O13:O14"/>
      <selection pane="bottomLeft"/>
    </sheetView>
  </sheetViews>
  <sheetFormatPr defaultColWidth="9.140625" defaultRowHeight="11.25" x14ac:dyDescent="0.2"/>
  <cols>
    <col min="1" max="1" width="4.5703125" style="1" customWidth="1"/>
    <col min="2" max="3" width="9.140625" style="1" hidden="1" customWidth="1"/>
    <col min="4" max="4" width="43.5703125" style="1" bestFit="1" customWidth="1"/>
    <col min="5" max="30" width="7.7109375" style="1" customWidth="1"/>
    <col min="31" max="16384" width="9.140625" style="1"/>
  </cols>
  <sheetData>
    <row r="2" spans="2:30" ht="10.15" hidden="1" x14ac:dyDescent="0.2">
      <c r="E2" s="1" t="s">
        <v>691</v>
      </c>
      <c r="F2" s="1" t="s">
        <v>692</v>
      </c>
      <c r="G2" s="1" t="s">
        <v>693</v>
      </c>
      <c r="H2" s="1" t="s">
        <v>18</v>
      </c>
      <c r="I2" s="1" t="s">
        <v>694</v>
      </c>
      <c r="J2" s="1" t="s">
        <v>695</v>
      </c>
      <c r="K2" s="1" t="s">
        <v>696</v>
      </c>
      <c r="L2" s="1" t="s">
        <v>19</v>
      </c>
      <c r="M2" s="1" t="s">
        <v>20</v>
      </c>
      <c r="N2" s="1" t="s">
        <v>697</v>
      </c>
      <c r="O2" s="1" t="s">
        <v>27</v>
      </c>
      <c r="P2" s="1" t="s">
        <v>22</v>
      </c>
      <c r="Q2" s="1" t="s">
        <v>698</v>
      </c>
      <c r="R2" s="1" t="s">
        <v>699</v>
      </c>
      <c r="S2" s="1" t="s">
        <v>23</v>
      </c>
      <c r="T2" s="1" t="s">
        <v>700</v>
      </c>
      <c r="U2" s="1" t="s">
        <v>24</v>
      </c>
      <c r="V2" s="1" t="s">
        <v>25</v>
      </c>
      <c r="W2" s="1" t="s">
        <v>26</v>
      </c>
      <c r="X2" s="1" t="s">
        <v>701</v>
      </c>
      <c r="Y2" s="1" t="s">
        <v>702</v>
      </c>
      <c r="Z2" s="1" t="s">
        <v>21</v>
      </c>
      <c r="AA2" s="1" t="s">
        <v>703</v>
      </c>
      <c r="AB2" s="1" t="s">
        <v>704</v>
      </c>
      <c r="AC2" s="1" t="s">
        <v>705</v>
      </c>
      <c r="AD2" s="1" t="s">
        <v>706</v>
      </c>
    </row>
    <row r="3" spans="2:30" ht="26.25" customHeight="1" thickBot="1" x14ac:dyDescent="0.25">
      <c r="B3" s="1" t="str">
        <f>tblIndicators!B1</f>
        <v>IndiCode</v>
      </c>
      <c r="C3" s="1" t="str">
        <f>tblIndicators!E1</f>
        <v>HasData</v>
      </c>
      <c r="E3" s="3" t="s">
        <v>519</v>
      </c>
      <c r="F3" s="3" t="s">
        <v>527</v>
      </c>
      <c r="G3" s="3" t="s">
        <v>521</v>
      </c>
      <c r="H3" s="3" t="s">
        <v>238</v>
      </c>
      <c r="I3" s="3" t="s">
        <v>523</v>
      </c>
      <c r="J3" s="3" t="s">
        <v>525</v>
      </c>
      <c r="K3" s="3" t="s">
        <v>529</v>
      </c>
      <c r="L3" s="3" t="s">
        <v>463</v>
      </c>
      <c r="M3" s="3" t="s">
        <v>461</v>
      </c>
      <c r="N3" s="3" t="s">
        <v>531</v>
      </c>
      <c r="O3" s="2" t="s">
        <v>467</v>
      </c>
      <c r="P3" s="2" t="s">
        <v>460</v>
      </c>
      <c r="Q3" s="2" t="s">
        <v>533</v>
      </c>
      <c r="R3" s="2" t="s">
        <v>535</v>
      </c>
      <c r="S3" s="2" t="s">
        <v>464</v>
      </c>
      <c r="T3" s="2" t="s">
        <v>537</v>
      </c>
      <c r="U3" s="2" t="s">
        <v>465</v>
      </c>
      <c r="V3" s="2" t="s">
        <v>462</v>
      </c>
      <c r="W3" s="2" t="s">
        <v>459</v>
      </c>
      <c r="X3" s="2" t="s">
        <v>541</v>
      </c>
      <c r="Y3" s="2" t="s">
        <v>539</v>
      </c>
      <c r="Z3" s="2" t="s">
        <v>466</v>
      </c>
      <c r="AA3" s="2" t="s">
        <v>543</v>
      </c>
      <c r="AB3" s="2" t="s">
        <v>545</v>
      </c>
      <c r="AC3" s="2" t="s">
        <v>547</v>
      </c>
      <c r="AD3" s="2" t="s">
        <v>549</v>
      </c>
    </row>
    <row r="4" spans="2:30" ht="15" thickBot="1" x14ac:dyDescent="0.35">
      <c r="B4" s="1" t="str">
        <f>tblIndicators!B2</f>
        <v>GENERAL</v>
      </c>
      <c r="C4" s="1">
        <f>tblIndicators!E2</f>
        <v>0</v>
      </c>
      <c r="D4" s="20" t="str">
        <f>tblIndicators!O2</f>
        <v>General indicators</v>
      </c>
      <c r="E4" s="1" t="str">
        <f t="shared" ref="E4:T15" ca="1" si="0">IF($C4=0,"",INDEX(OFFSET(lu_DataCode,0,3),MATCH(CONCATENATE(E$2,"_",$B4),lu_DataCode,0)))</f>
        <v/>
      </c>
      <c r="F4" s="1" t="str">
        <f t="shared" ca="1" si="0"/>
        <v/>
      </c>
      <c r="G4" s="1" t="str">
        <f t="shared" ca="1" si="0"/>
        <v/>
      </c>
      <c r="H4" s="1" t="str">
        <f t="shared" ca="1" si="0"/>
        <v/>
      </c>
      <c r="I4" s="1" t="str">
        <f t="shared" ca="1" si="0"/>
        <v/>
      </c>
      <c r="J4" s="1" t="str">
        <f t="shared" ca="1" si="0"/>
        <v/>
      </c>
      <c r="K4" s="1" t="str">
        <f t="shared" ca="1" si="0"/>
        <v/>
      </c>
      <c r="L4" s="1" t="str">
        <f t="shared" ca="1" si="0"/>
        <v/>
      </c>
      <c r="M4" s="1" t="str">
        <f t="shared" ca="1" si="0"/>
        <v/>
      </c>
      <c r="N4" s="1" t="str">
        <f t="shared" ca="1" si="0"/>
        <v/>
      </c>
    </row>
    <row r="5" spans="2:30" ht="10.9" thickBot="1" x14ac:dyDescent="0.25">
      <c r="B5" s="1" t="str">
        <f>tblIndicators!B3</f>
        <v>GENERAL01</v>
      </c>
      <c r="C5" s="1">
        <f>tblIndicators!E3</f>
        <v>1</v>
      </c>
      <c r="D5" s="18" t="str">
        <f>tblIndicators!O3</f>
        <v>Transport sector  % GDP</v>
      </c>
      <c r="E5" s="21">
        <f t="shared" ca="1" si="0"/>
        <v>2012</v>
      </c>
      <c r="F5" s="21">
        <f t="shared" ca="1" si="0"/>
        <v>2012</v>
      </c>
      <c r="G5" s="21">
        <f t="shared" ca="1" si="0"/>
        <v>2012</v>
      </c>
      <c r="H5" s="21">
        <f t="shared" ca="1" si="0"/>
        <v>2012</v>
      </c>
      <c r="I5" s="21">
        <f t="shared" ca="1" si="0"/>
        <v>2012</v>
      </c>
      <c r="J5" s="21">
        <f t="shared" ca="1" si="0"/>
        <v>2012</v>
      </c>
      <c r="K5" s="21">
        <f t="shared" ca="1" si="0"/>
        <v>2012</v>
      </c>
      <c r="L5" s="21">
        <f t="shared" ca="1" si="0"/>
        <v>2012</v>
      </c>
      <c r="M5" s="21">
        <f t="shared" ca="1" si="0"/>
        <v>2012</v>
      </c>
      <c r="N5" s="21">
        <f t="shared" ca="1" si="0"/>
        <v>2012</v>
      </c>
      <c r="O5" s="21">
        <f t="shared" ca="1" si="0"/>
        <v>2012</v>
      </c>
      <c r="P5" s="21">
        <f t="shared" ca="1" si="0"/>
        <v>2012</v>
      </c>
      <c r="Q5" s="21">
        <f t="shared" ca="1" si="0"/>
        <v>2012</v>
      </c>
      <c r="R5" s="21">
        <f t="shared" ca="1" si="0"/>
        <v>2012</v>
      </c>
      <c r="S5" s="21" t="e">
        <f t="shared" ca="1" si="0"/>
        <v>#N/A</v>
      </c>
      <c r="T5" s="21">
        <f t="shared" ca="1" si="0"/>
        <v>2012</v>
      </c>
      <c r="U5" s="21">
        <f t="shared" ref="U5:AD20" ca="1" si="1">IF($C5=0,"",INDEX(OFFSET(lu_DataCode,0,3),MATCH(CONCATENATE(U$2,"_",$B5),lu_DataCode,0)))</f>
        <v>2012</v>
      </c>
      <c r="V5" s="21">
        <f t="shared" ca="1" si="1"/>
        <v>2012</v>
      </c>
      <c r="W5" s="21">
        <f t="shared" ca="1" si="1"/>
        <v>2012</v>
      </c>
      <c r="X5" s="21">
        <f t="shared" ca="1" si="1"/>
        <v>2012</v>
      </c>
      <c r="Y5" s="21">
        <f t="shared" ca="1" si="1"/>
        <v>2012</v>
      </c>
      <c r="Z5" s="21">
        <f t="shared" ca="1" si="1"/>
        <v>2012</v>
      </c>
      <c r="AA5" s="21">
        <f t="shared" ca="1" si="1"/>
        <v>2012</v>
      </c>
      <c r="AB5" s="21">
        <f t="shared" ca="1" si="1"/>
        <v>2012</v>
      </c>
      <c r="AC5" s="21">
        <f t="shared" ca="1" si="1"/>
        <v>2012</v>
      </c>
      <c r="AD5" s="21">
        <f t="shared" ca="1" si="1"/>
        <v>2012</v>
      </c>
    </row>
    <row r="6" spans="2:30" ht="10.9" thickBot="1" x14ac:dyDescent="0.25">
      <c r="B6" s="1" t="str">
        <f>tblIndicators!B4</f>
        <v>GENERAL02</v>
      </c>
      <c r="C6" s="1">
        <f>tblIndicators!E4</f>
        <v>1</v>
      </c>
      <c r="D6" s="19" t="str">
        <f>tblIndicators!O4</f>
        <v>Population</v>
      </c>
      <c r="E6" s="21">
        <f t="shared" ca="1" si="0"/>
        <v>2012</v>
      </c>
      <c r="F6" s="21">
        <f t="shared" ca="1" si="0"/>
        <v>2012</v>
      </c>
      <c r="G6" s="21">
        <f t="shared" ca="1" si="0"/>
        <v>2012</v>
      </c>
      <c r="H6" s="21">
        <f t="shared" ca="1" si="0"/>
        <v>2012</v>
      </c>
      <c r="I6" s="21">
        <f t="shared" ca="1" si="0"/>
        <v>2012</v>
      </c>
      <c r="J6" s="21">
        <f t="shared" ca="1" si="0"/>
        <v>2012</v>
      </c>
      <c r="K6" s="21">
        <f t="shared" ca="1" si="0"/>
        <v>2012</v>
      </c>
      <c r="L6" s="21">
        <f t="shared" ca="1" si="0"/>
        <v>2012</v>
      </c>
      <c r="M6" s="21">
        <f t="shared" ca="1" si="0"/>
        <v>2012</v>
      </c>
      <c r="N6" s="21">
        <f t="shared" ca="1" si="0"/>
        <v>2012</v>
      </c>
      <c r="O6" s="21">
        <f t="shared" ca="1" si="0"/>
        <v>2012</v>
      </c>
      <c r="P6" s="21">
        <f t="shared" ca="1" si="0"/>
        <v>2012</v>
      </c>
      <c r="Q6" s="21">
        <f t="shared" ca="1" si="0"/>
        <v>2012</v>
      </c>
      <c r="R6" s="21">
        <f t="shared" ca="1" si="0"/>
        <v>2012</v>
      </c>
      <c r="S6" s="21">
        <f t="shared" ca="1" si="0"/>
        <v>2012</v>
      </c>
      <c r="T6" s="21">
        <f t="shared" ca="1" si="0"/>
        <v>2012</v>
      </c>
      <c r="U6" s="21">
        <f t="shared" ca="1" si="1"/>
        <v>2012</v>
      </c>
      <c r="V6" s="21">
        <f t="shared" ca="1" si="1"/>
        <v>2012</v>
      </c>
      <c r="W6" s="21">
        <f t="shared" ca="1" si="1"/>
        <v>2012</v>
      </c>
      <c r="X6" s="21">
        <f t="shared" ca="1" si="1"/>
        <v>2012</v>
      </c>
      <c r="Y6" s="21">
        <f t="shared" ca="1" si="1"/>
        <v>2012</v>
      </c>
      <c r="Z6" s="21">
        <f t="shared" ca="1" si="1"/>
        <v>2012</v>
      </c>
      <c r="AA6" s="21">
        <f t="shared" ca="1" si="1"/>
        <v>2012</v>
      </c>
      <c r="AB6" s="21">
        <f t="shared" ca="1" si="1"/>
        <v>2012</v>
      </c>
      <c r="AC6" s="21">
        <f t="shared" ca="1" si="1"/>
        <v>2012</v>
      </c>
      <c r="AD6" s="21">
        <f t="shared" ca="1" si="1"/>
        <v>2012</v>
      </c>
    </row>
    <row r="7" spans="2:30" ht="10.9" thickBot="1" x14ac:dyDescent="0.25">
      <c r="B7" s="1" t="str">
        <f>tblIndicators!B5</f>
        <v>GENERAL03</v>
      </c>
      <c r="C7" s="1">
        <f>tblIndicators!E5</f>
        <v>1</v>
      </c>
      <c r="D7" s="19" t="str">
        <f>tblIndicators!O5</f>
        <v>Land area</v>
      </c>
      <c r="E7" s="21">
        <f t="shared" ca="1" si="0"/>
        <v>2012</v>
      </c>
      <c r="F7" s="21">
        <f t="shared" ca="1" si="0"/>
        <v>2012</v>
      </c>
      <c r="G7" s="21">
        <f t="shared" ca="1" si="0"/>
        <v>2012</v>
      </c>
      <c r="H7" s="21">
        <f t="shared" ca="1" si="0"/>
        <v>2012</v>
      </c>
      <c r="I7" s="21">
        <f t="shared" ca="1" si="0"/>
        <v>2012</v>
      </c>
      <c r="J7" s="21">
        <f t="shared" ca="1" si="0"/>
        <v>2012</v>
      </c>
      <c r="K7" s="21">
        <f t="shared" ca="1" si="0"/>
        <v>2012</v>
      </c>
      <c r="L7" s="21">
        <f t="shared" ca="1" si="0"/>
        <v>2012</v>
      </c>
      <c r="M7" s="21">
        <f t="shared" ca="1" si="0"/>
        <v>2012</v>
      </c>
      <c r="N7" s="21">
        <f t="shared" ca="1" si="0"/>
        <v>2012</v>
      </c>
      <c r="O7" s="21">
        <f t="shared" ca="1" si="0"/>
        <v>2012</v>
      </c>
      <c r="P7" s="21">
        <f t="shared" ca="1" si="0"/>
        <v>2012</v>
      </c>
      <c r="Q7" s="21">
        <f t="shared" ca="1" si="0"/>
        <v>2012</v>
      </c>
      <c r="R7" s="21">
        <f t="shared" ca="1" si="0"/>
        <v>2012</v>
      </c>
      <c r="S7" s="21">
        <f t="shared" ca="1" si="0"/>
        <v>2012</v>
      </c>
      <c r="T7" s="21">
        <f t="shared" ca="1" si="0"/>
        <v>2012</v>
      </c>
      <c r="U7" s="21">
        <f t="shared" ca="1" si="1"/>
        <v>2012</v>
      </c>
      <c r="V7" s="21">
        <f t="shared" ca="1" si="1"/>
        <v>2012</v>
      </c>
      <c r="W7" s="21">
        <f t="shared" ca="1" si="1"/>
        <v>2012</v>
      </c>
      <c r="X7" s="21">
        <f t="shared" ca="1" si="1"/>
        <v>2012</v>
      </c>
      <c r="Y7" s="21">
        <f t="shared" ca="1" si="1"/>
        <v>2012</v>
      </c>
      <c r="Z7" s="21">
        <f t="shared" ca="1" si="1"/>
        <v>2012</v>
      </c>
      <c r="AA7" s="21">
        <f t="shared" ca="1" si="1"/>
        <v>2012</v>
      </c>
      <c r="AB7" s="21">
        <f t="shared" ca="1" si="1"/>
        <v>2012</v>
      </c>
      <c r="AC7" s="21">
        <f t="shared" ca="1" si="1"/>
        <v>2012</v>
      </c>
      <c r="AD7" s="21">
        <f t="shared" ca="1" si="1"/>
        <v>2012</v>
      </c>
    </row>
    <row r="8" spans="2:30" ht="10.9" thickBot="1" x14ac:dyDescent="0.25">
      <c r="B8" s="1" t="str">
        <f>tblIndicators!B6</f>
        <v>GENERAL04</v>
      </c>
      <c r="C8" s="1">
        <f>tblIndicators!E6</f>
        <v>1</v>
      </c>
      <c r="D8" s="19" t="str">
        <f>tblIndicators!O6</f>
        <v>Gross Domestic Product (GDP)</v>
      </c>
      <c r="E8" s="21">
        <f t="shared" ca="1" si="0"/>
        <v>2012</v>
      </c>
      <c r="F8" s="21">
        <f t="shared" ca="1" si="0"/>
        <v>2012</v>
      </c>
      <c r="G8" s="21">
        <f t="shared" ca="1" si="0"/>
        <v>2012</v>
      </c>
      <c r="H8" s="21">
        <f t="shared" ca="1" si="0"/>
        <v>2012</v>
      </c>
      <c r="I8" s="21">
        <f t="shared" ca="1" si="0"/>
        <v>2012</v>
      </c>
      <c r="J8" s="21">
        <f t="shared" ca="1" si="0"/>
        <v>2012</v>
      </c>
      <c r="K8" s="21">
        <f t="shared" ca="1" si="0"/>
        <v>2012</v>
      </c>
      <c r="L8" s="21">
        <f t="shared" ca="1" si="0"/>
        <v>2012</v>
      </c>
      <c r="M8" s="21">
        <f t="shared" ca="1" si="0"/>
        <v>2012</v>
      </c>
      <c r="N8" s="21">
        <f t="shared" ca="1" si="0"/>
        <v>2012</v>
      </c>
      <c r="O8" s="21">
        <f t="shared" ca="1" si="0"/>
        <v>2012</v>
      </c>
      <c r="P8" s="21">
        <f t="shared" ca="1" si="0"/>
        <v>2012</v>
      </c>
      <c r="Q8" s="21">
        <f t="shared" ca="1" si="0"/>
        <v>2012</v>
      </c>
      <c r="R8" s="21">
        <f t="shared" ca="1" si="0"/>
        <v>2012</v>
      </c>
      <c r="S8" s="21">
        <f t="shared" ca="1" si="0"/>
        <v>2012</v>
      </c>
      <c r="T8" s="21">
        <f t="shared" ca="1" si="0"/>
        <v>2012</v>
      </c>
      <c r="U8" s="21">
        <f t="shared" ca="1" si="1"/>
        <v>2012</v>
      </c>
      <c r="V8" s="21">
        <f t="shared" ca="1" si="1"/>
        <v>2012</v>
      </c>
      <c r="W8" s="21">
        <f t="shared" ca="1" si="1"/>
        <v>2012</v>
      </c>
      <c r="X8" s="21">
        <f t="shared" ca="1" si="1"/>
        <v>2012</v>
      </c>
      <c r="Y8" s="21">
        <f t="shared" ca="1" si="1"/>
        <v>2012</v>
      </c>
      <c r="Z8" s="21">
        <f t="shared" ca="1" si="1"/>
        <v>2012</v>
      </c>
      <c r="AA8" s="21">
        <f t="shared" ca="1" si="1"/>
        <v>2012</v>
      </c>
      <c r="AB8" s="21">
        <f t="shared" ca="1" si="1"/>
        <v>2012</v>
      </c>
      <c r="AC8" s="21">
        <f t="shared" ca="1" si="1"/>
        <v>2012</v>
      </c>
      <c r="AD8" s="21">
        <f t="shared" ca="1" si="1"/>
        <v>2012</v>
      </c>
    </row>
    <row r="9" spans="2:30" ht="10.9" thickBot="1" x14ac:dyDescent="0.25">
      <c r="B9" s="1" t="str">
        <f>tblIndicators!B7</f>
        <v>GENERAL05</v>
      </c>
      <c r="C9" s="1">
        <f>tblIndicators!E7</f>
        <v>1</v>
      </c>
      <c r="D9" s="19" t="str">
        <f>tblIndicators!O7</f>
        <v>GDP-PPP</v>
      </c>
      <c r="E9" s="21">
        <f t="shared" ca="1" si="0"/>
        <v>2012</v>
      </c>
      <c r="F9" s="21">
        <f t="shared" ca="1" si="0"/>
        <v>2012</v>
      </c>
      <c r="G9" s="21">
        <f t="shared" ca="1" si="0"/>
        <v>2012</v>
      </c>
      <c r="H9" s="21">
        <f t="shared" ca="1" si="0"/>
        <v>2012</v>
      </c>
      <c r="I9" s="21">
        <f t="shared" ca="1" si="0"/>
        <v>2012</v>
      </c>
      <c r="J9" s="21">
        <f t="shared" ca="1" si="0"/>
        <v>2012</v>
      </c>
      <c r="K9" s="21">
        <f t="shared" ca="1" si="0"/>
        <v>2012</v>
      </c>
      <c r="L9" s="21">
        <f t="shared" ca="1" si="0"/>
        <v>2012</v>
      </c>
      <c r="M9" s="21">
        <f t="shared" ca="1" si="0"/>
        <v>2012</v>
      </c>
      <c r="N9" s="21">
        <f t="shared" ca="1" si="0"/>
        <v>2012</v>
      </c>
      <c r="O9" s="21">
        <f t="shared" ca="1" si="0"/>
        <v>2012</v>
      </c>
      <c r="P9" s="21">
        <f t="shared" ca="1" si="0"/>
        <v>2012</v>
      </c>
      <c r="Q9" s="21">
        <f t="shared" ca="1" si="0"/>
        <v>2012</v>
      </c>
      <c r="R9" s="21">
        <f t="shared" ca="1" si="0"/>
        <v>2012</v>
      </c>
      <c r="S9" s="21">
        <f t="shared" ca="1" si="0"/>
        <v>2012</v>
      </c>
      <c r="T9" s="21">
        <f t="shared" ca="1" si="0"/>
        <v>2012</v>
      </c>
      <c r="U9" s="21">
        <f t="shared" ca="1" si="1"/>
        <v>2012</v>
      </c>
      <c r="V9" s="21">
        <f t="shared" ca="1" si="1"/>
        <v>2012</v>
      </c>
      <c r="W9" s="21">
        <f t="shared" ca="1" si="1"/>
        <v>2012</v>
      </c>
      <c r="X9" s="21">
        <f t="shared" ca="1" si="1"/>
        <v>2012</v>
      </c>
      <c r="Y9" s="21">
        <f t="shared" ca="1" si="1"/>
        <v>2012</v>
      </c>
      <c r="Z9" s="21">
        <f t="shared" ca="1" si="1"/>
        <v>2012</v>
      </c>
      <c r="AA9" s="21">
        <f t="shared" ca="1" si="1"/>
        <v>2012</v>
      </c>
      <c r="AB9" s="21">
        <f t="shared" ca="1" si="1"/>
        <v>2012</v>
      </c>
      <c r="AC9" s="21">
        <f t="shared" ca="1" si="1"/>
        <v>2012</v>
      </c>
      <c r="AD9" s="21">
        <f t="shared" ca="1" si="1"/>
        <v>2012</v>
      </c>
    </row>
    <row r="10" spans="2:30" ht="10.9" thickBot="1" x14ac:dyDescent="0.25">
      <c r="B10" s="1" t="str">
        <f>tblIndicators!B8</f>
        <v>GENERAL06</v>
      </c>
      <c r="C10" s="1">
        <f>tblIndicators!E8</f>
        <v>1</v>
      </c>
      <c r="D10" s="19" t="str">
        <f>tblIndicators!O8</f>
        <v>Transport service imports</v>
      </c>
      <c r="E10" s="21">
        <f t="shared" ca="1" si="0"/>
        <v>2012</v>
      </c>
      <c r="F10" s="21">
        <f t="shared" ca="1" si="0"/>
        <v>2012</v>
      </c>
      <c r="G10" s="21">
        <f t="shared" ca="1" si="0"/>
        <v>2012</v>
      </c>
      <c r="H10" s="21">
        <f t="shared" ca="1" si="0"/>
        <v>2012</v>
      </c>
      <c r="I10" s="21">
        <f t="shared" ca="1" si="0"/>
        <v>2012</v>
      </c>
      <c r="J10" s="21">
        <f t="shared" ca="1" si="0"/>
        <v>2012</v>
      </c>
      <c r="K10" s="21">
        <f t="shared" ca="1" si="0"/>
        <v>2012</v>
      </c>
      <c r="L10" s="21">
        <f t="shared" ca="1" si="0"/>
        <v>2012</v>
      </c>
      <c r="M10" s="21">
        <f t="shared" ca="1" si="0"/>
        <v>2012</v>
      </c>
      <c r="N10" s="21">
        <f t="shared" ca="1" si="0"/>
        <v>2012</v>
      </c>
      <c r="O10" s="21">
        <f t="shared" ca="1" si="0"/>
        <v>2012</v>
      </c>
      <c r="P10" s="21">
        <f t="shared" ca="1" si="0"/>
        <v>2012</v>
      </c>
      <c r="Q10" s="21">
        <f t="shared" ca="1" si="0"/>
        <v>2012</v>
      </c>
      <c r="R10" s="21">
        <f t="shared" ca="1" si="0"/>
        <v>2012</v>
      </c>
      <c r="S10" s="21">
        <f t="shared" ca="1" si="0"/>
        <v>2012</v>
      </c>
      <c r="T10" s="21">
        <f t="shared" ca="1" si="0"/>
        <v>2012</v>
      </c>
      <c r="U10" s="21">
        <f t="shared" ca="1" si="1"/>
        <v>2012</v>
      </c>
      <c r="V10" s="21">
        <f t="shared" ca="1" si="1"/>
        <v>2012</v>
      </c>
      <c r="W10" s="21">
        <f t="shared" ca="1" si="1"/>
        <v>2012</v>
      </c>
      <c r="X10" s="21">
        <f t="shared" ca="1" si="1"/>
        <v>2012</v>
      </c>
      <c r="Y10" s="21">
        <f t="shared" ca="1" si="1"/>
        <v>2012</v>
      </c>
      <c r="Z10" s="21">
        <f t="shared" ca="1" si="1"/>
        <v>2012</v>
      </c>
      <c r="AA10" s="21">
        <f t="shared" ca="1" si="1"/>
        <v>2012</v>
      </c>
      <c r="AB10" s="21">
        <f t="shared" ca="1" si="1"/>
        <v>2012</v>
      </c>
      <c r="AC10" s="21">
        <f t="shared" ca="1" si="1"/>
        <v>2012</v>
      </c>
      <c r="AD10" s="21">
        <f t="shared" ca="1" si="1"/>
        <v>2012</v>
      </c>
    </row>
    <row r="11" spans="2:30" ht="10.9" thickBot="1" x14ac:dyDescent="0.25">
      <c r="B11" s="1" t="str">
        <f>tblIndicators!B9</f>
        <v>GENERAL07</v>
      </c>
      <c r="C11" s="1">
        <f>tblIndicators!E9</f>
        <v>1</v>
      </c>
      <c r="D11" s="19" t="str">
        <f>tblIndicators!O9</f>
        <v>Transport service exports</v>
      </c>
      <c r="E11" s="21">
        <f t="shared" ca="1" si="0"/>
        <v>2012</v>
      </c>
      <c r="F11" s="21">
        <f t="shared" ca="1" si="0"/>
        <v>2012</v>
      </c>
      <c r="G11" s="21">
        <f t="shared" ca="1" si="0"/>
        <v>2012</v>
      </c>
      <c r="H11" s="21">
        <f t="shared" ca="1" si="0"/>
        <v>2012</v>
      </c>
      <c r="I11" s="21">
        <f t="shared" ca="1" si="0"/>
        <v>2012</v>
      </c>
      <c r="J11" s="21">
        <f t="shared" ca="1" si="0"/>
        <v>2012</v>
      </c>
      <c r="K11" s="21">
        <f t="shared" ca="1" si="0"/>
        <v>2012</v>
      </c>
      <c r="L11" s="21">
        <f t="shared" ca="1" si="0"/>
        <v>2012</v>
      </c>
      <c r="M11" s="21">
        <f t="shared" ca="1" si="0"/>
        <v>2012</v>
      </c>
      <c r="N11" s="21">
        <f t="shared" ca="1" si="0"/>
        <v>2012</v>
      </c>
      <c r="O11" s="21">
        <f t="shared" ca="1" si="0"/>
        <v>2012</v>
      </c>
      <c r="P11" s="21">
        <f t="shared" ca="1" si="0"/>
        <v>2012</v>
      </c>
      <c r="Q11" s="21">
        <f t="shared" ca="1" si="0"/>
        <v>2012</v>
      </c>
      <c r="R11" s="21" t="e">
        <f t="shared" ca="1" si="0"/>
        <v>#N/A</v>
      </c>
      <c r="S11" s="21">
        <f t="shared" ca="1" si="0"/>
        <v>2012</v>
      </c>
      <c r="T11" s="21">
        <f t="shared" ca="1" si="0"/>
        <v>2012</v>
      </c>
      <c r="U11" s="21">
        <f t="shared" ca="1" si="1"/>
        <v>2012</v>
      </c>
      <c r="V11" s="21">
        <f t="shared" ca="1" si="1"/>
        <v>2012</v>
      </c>
      <c r="W11" s="21">
        <f t="shared" ca="1" si="1"/>
        <v>2012</v>
      </c>
      <c r="X11" s="21">
        <f t="shared" ca="1" si="1"/>
        <v>2012</v>
      </c>
      <c r="Y11" s="21">
        <f t="shared" ca="1" si="1"/>
        <v>2012</v>
      </c>
      <c r="Z11" s="21" t="e">
        <f t="shared" ca="1" si="1"/>
        <v>#N/A</v>
      </c>
      <c r="AA11" s="21">
        <f t="shared" ca="1" si="1"/>
        <v>2012</v>
      </c>
      <c r="AB11" s="21">
        <f t="shared" ca="1" si="1"/>
        <v>2012</v>
      </c>
      <c r="AC11" s="21">
        <f t="shared" ca="1" si="1"/>
        <v>2012</v>
      </c>
      <c r="AD11" s="21">
        <f t="shared" ca="1" si="1"/>
        <v>2012</v>
      </c>
    </row>
    <row r="12" spans="2:30" ht="10.9" thickBot="1" x14ac:dyDescent="0.25">
      <c r="B12" s="1" t="str">
        <f>tblIndicators!B10</f>
        <v>GENERAL08</v>
      </c>
      <c r="C12" s="1">
        <f>tblIndicators!E10</f>
        <v>1</v>
      </c>
      <c r="D12" s="19" t="str">
        <f>tblIndicators!O10</f>
        <v>Value of exports</v>
      </c>
      <c r="E12" s="21">
        <f t="shared" ca="1" si="0"/>
        <v>2012</v>
      </c>
      <c r="F12" s="21">
        <f t="shared" ca="1" si="0"/>
        <v>2012</v>
      </c>
      <c r="G12" s="21">
        <f t="shared" ca="1" si="0"/>
        <v>2012</v>
      </c>
      <c r="H12" s="21">
        <f t="shared" ca="1" si="0"/>
        <v>2012</v>
      </c>
      <c r="I12" s="21">
        <f t="shared" ca="1" si="0"/>
        <v>2012</v>
      </c>
      <c r="J12" s="21">
        <f t="shared" ca="1" si="0"/>
        <v>2012</v>
      </c>
      <c r="K12" s="21">
        <f t="shared" ca="1" si="0"/>
        <v>2012</v>
      </c>
      <c r="L12" s="21">
        <f t="shared" ca="1" si="0"/>
        <v>2012</v>
      </c>
      <c r="M12" s="21">
        <f t="shared" ca="1" si="0"/>
        <v>2012</v>
      </c>
      <c r="N12" s="21">
        <f t="shared" ca="1" si="0"/>
        <v>2012</v>
      </c>
      <c r="O12" s="21">
        <f t="shared" ca="1" si="0"/>
        <v>2012</v>
      </c>
      <c r="P12" s="21">
        <f t="shared" ca="1" si="0"/>
        <v>2012</v>
      </c>
      <c r="Q12" s="21">
        <f t="shared" ca="1" si="0"/>
        <v>2012</v>
      </c>
      <c r="R12" s="21">
        <f t="shared" ca="1" si="0"/>
        <v>2012</v>
      </c>
      <c r="S12" s="21">
        <f t="shared" ca="1" si="0"/>
        <v>2012</v>
      </c>
      <c r="T12" s="21">
        <f t="shared" ca="1" si="0"/>
        <v>2012</v>
      </c>
      <c r="U12" s="21">
        <f t="shared" ca="1" si="1"/>
        <v>2012</v>
      </c>
      <c r="V12" s="21">
        <f t="shared" ca="1" si="1"/>
        <v>2012</v>
      </c>
      <c r="W12" s="21">
        <f t="shared" ca="1" si="1"/>
        <v>2012</v>
      </c>
      <c r="X12" s="21">
        <f t="shared" ca="1" si="1"/>
        <v>2012</v>
      </c>
      <c r="Y12" s="21">
        <f t="shared" ca="1" si="1"/>
        <v>2012</v>
      </c>
      <c r="Z12" s="21">
        <f t="shared" ca="1" si="1"/>
        <v>2012</v>
      </c>
      <c r="AA12" s="21">
        <f t="shared" ca="1" si="1"/>
        <v>2012</v>
      </c>
      <c r="AB12" s="21">
        <f t="shared" ca="1" si="1"/>
        <v>2012</v>
      </c>
      <c r="AC12" s="21">
        <f t="shared" ca="1" si="1"/>
        <v>2012</v>
      </c>
      <c r="AD12" s="21">
        <f t="shared" ca="1" si="1"/>
        <v>2012</v>
      </c>
    </row>
    <row r="13" spans="2:30" ht="10.9" thickBot="1" x14ac:dyDescent="0.25">
      <c r="B13" s="1" t="str">
        <f>tblIndicators!B11</f>
        <v>GENERAL09</v>
      </c>
      <c r="C13" s="1">
        <f>tblIndicators!E11</f>
        <v>1</v>
      </c>
      <c r="D13" s="19" t="str">
        <f>tblIndicators!O11</f>
        <v>Volume of exports</v>
      </c>
      <c r="E13" s="21">
        <f t="shared" ca="1" si="0"/>
        <v>2012</v>
      </c>
      <c r="F13" s="21">
        <f t="shared" ca="1" si="0"/>
        <v>2012</v>
      </c>
      <c r="G13" s="21">
        <f t="shared" ca="1" si="0"/>
        <v>2012</v>
      </c>
      <c r="H13" s="21">
        <f t="shared" ca="1" si="0"/>
        <v>2012</v>
      </c>
      <c r="I13" s="21">
        <f t="shared" ca="1" si="0"/>
        <v>2012</v>
      </c>
      <c r="J13" s="21">
        <f t="shared" ca="1" si="0"/>
        <v>2012</v>
      </c>
      <c r="K13" s="21">
        <f t="shared" ca="1" si="0"/>
        <v>2012</v>
      </c>
      <c r="L13" s="21">
        <f t="shared" ca="1" si="0"/>
        <v>2012</v>
      </c>
      <c r="M13" s="21">
        <f t="shared" ca="1" si="0"/>
        <v>2012</v>
      </c>
      <c r="N13" s="21">
        <f t="shared" ca="1" si="0"/>
        <v>2012</v>
      </c>
      <c r="O13" s="21">
        <f t="shared" ca="1" si="0"/>
        <v>2012</v>
      </c>
      <c r="P13" s="21">
        <f t="shared" ca="1" si="0"/>
        <v>2012</v>
      </c>
      <c r="Q13" s="21">
        <f t="shared" ca="1" si="0"/>
        <v>2012</v>
      </c>
      <c r="R13" s="21" t="e">
        <f t="shared" ca="1" si="0"/>
        <v>#N/A</v>
      </c>
      <c r="S13" s="21">
        <f t="shared" ca="1" si="0"/>
        <v>2012</v>
      </c>
      <c r="T13" s="21">
        <f t="shared" ca="1" si="0"/>
        <v>2012</v>
      </c>
      <c r="U13" s="21">
        <f t="shared" ca="1" si="1"/>
        <v>2012</v>
      </c>
      <c r="V13" s="21">
        <f t="shared" ca="1" si="1"/>
        <v>2012</v>
      </c>
      <c r="W13" s="21">
        <f t="shared" ca="1" si="1"/>
        <v>2012</v>
      </c>
      <c r="X13" s="21">
        <f t="shared" ca="1" si="1"/>
        <v>2012</v>
      </c>
      <c r="Y13" s="21">
        <f t="shared" ca="1" si="1"/>
        <v>2012</v>
      </c>
      <c r="Z13" s="21">
        <f t="shared" ca="1" si="1"/>
        <v>2012</v>
      </c>
      <c r="AA13" s="21">
        <f t="shared" ca="1" si="1"/>
        <v>2012</v>
      </c>
      <c r="AB13" s="21">
        <f t="shared" ca="1" si="1"/>
        <v>2012</v>
      </c>
      <c r="AC13" s="21">
        <f t="shared" ca="1" si="1"/>
        <v>2012</v>
      </c>
      <c r="AD13" s="21">
        <f t="shared" ca="1" si="1"/>
        <v>2012</v>
      </c>
    </row>
    <row r="14" spans="2:30" ht="10.9" thickBot="1" x14ac:dyDescent="0.25">
      <c r="B14" s="1" t="str">
        <f>tblIndicators!B12</f>
        <v>GENERAL10</v>
      </c>
      <c r="C14" s="1">
        <f>tblIndicators!E12</f>
        <v>1</v>
      </c>
      <c r="D14" s="19" t="str">
        <f>tblIndicators!O12</f>
        <v>Value of imports</v>
      </c>
      <c r="E14" s="21">
        <f t="shared" ca="1" si="0"/>
        <v>2012</v>
      </c>
      <c r="F14" s="21">
        <f t="shared" ca="1" si="0"/>
        <v>2012</v>
      </c>
      <c r="G14" s="21">
        <f t="shared" ca="1" si="0"/>
        <v>2012</v>
      </c>
      <c r="H14" s="21">
        <f t="shared" ca="1" si="0"/>
        <v>2012</v>
      </c>
      <c r="I14" s="21">
        <f t="shared" ca="1" si="0"/>
        <v>2012</v>
      </c>
      <c r="J14" s="21">
        <f t="shared" ca="1" si="0"/>
        <v>2012</v>
      </c>
      <c r="K14" s="21">
        <f t="shared" ca="1" si="0"/>
        <v>2012</v>
      </c>
      <c r="L14" s="21">
        <f t="shared" ca="1" si="0"/>
        <v>2012</v>
      </c>
      <c r="M14" s="21">
        <f t="shared" ca="1" si="0"/>
        <v>2012</v>
      </c>
      <c r="N14" s="21">
        <f t="shared" ca="1" si="0"/>
        <v>2012</v>
      </c>
      <c r="O14" s="21">
        <f t="shared" ca="1" si="0"/>
        <v>2012</v>
      </c>
      <c r="P14" s="21">
        <f t="shared" ca="1" si="0"/>
        <v>2012</v>
      </c>
      <c r="Q14" s="21">
        <f t="shared" ca="1" si="0"/>
        <v>2012</v>
      </c>
      <c r="R14" s="21">
        <f t="shared" ca="1" si="0"/>
        <v>2012</v>
      </c>
      <c r="S14" s="21">
        <f t="shared" ca="1" si="0"/>
        <v>2012</v>
      </c>
      <c r="T14" s="21">
        <f t="shared" ca="1" si="0"/>
        <v>2012</v>
      </c>
      <c r="U14" s="21">
        <f t="shared" ca="1" si="1"/>
        <v>2012</v>
      </c>
      <c r="V14" s="21">
        <f t="shared" ca="1" si="1"/>
        <v>2012</v>
      </c>
      <c r="W14" s="21">
        <f t="shared" ca="1" si="1"/>
        <v>2012</v>
      </c>
      <c r="X14" s="21">
        <f t="shared" ca="1" si="1"/>
        <v>2012</v>
      </c>
      <c r="Y14" s="21">
        <f t="shared" ca="1" si="1"/>
        <v>2012</v>
      </c>
      <c r="Z14" s="21">
        <f t="shared" ca="1" si="1"/>
        <v>2012</v>
      </c>
      <c r="AA14" s="21">
        <f t="shared" ca="1" si="1"/>
        <v>2012</v>
      </c>
      <c r="AB14" s="21">
        <f t="shared" ca="1" si="1"/>
        <v>2012</v>
      </c>
      <c r="AC14" s="21">
        <f t="shared" ca="1" si="1"/>
        <v>2012</v>
      </c>
      <c r="AD14" s="21">
        <f t="shared" ca="1" si="1"/>
        <v>2012</v>
      </c>
    </row>
    <row r="15" spans="2:30" ht="10.9" thickBot="1" x14ac:dyDescent="0.25">
      <c r="B15" s="1" t="str">
        <f>tblIndicators!B13</f>
        <v>GENERAL11</v>
      </c>
      <c r="C15" s="1">
        <f>tblIndicators!E13</f>
        <v>1</v>
      </c>
      <c r="D15" s="19" t="str">
        <f>tblIndicators!O13</f>
        <v>Volume of imports</v>
      </c>
      <c r="E15" s="21">
        <f t="shared" ca="1" si="0"/>
        <v>2012</v>
      </c>
      <c r="F15" s="21">
        <f t="shared" ca="1" si="0"/>
        <v>2012</v>
      </c>
      <c r="G15" s="21">
        <f t="shared" ca="1" si="0"/>
        <v>2012</v>
      </c>
      <c r="H15" s="21">
        <f t="shared" ca="1" si="0"/>
        <v>2012</v>
      </c>
      <c r="I15" s="21">
        <f t="shared" ca="1" si="0"/>
        <v>2012</v>
      </c>
      <c r="J15" s="21">
        <f t="shared" ref="E15:T31" ca="1" si="2">IF($C15=0,"",INDEX(OFFSET(lu_DataCode,0,3),MATCH(CONCATENATE(J$2,"_",$B15),lu_DataCode,0)))</f>
        <v>2012</v>
      </c>
      <c r="K15" s="21">
        <f t="shared" ca="1" si="2"/>
        <v>2012</v>
      </c>
      <c r="L15" s="21">
        <f t="shared" ca="1" si="2"/>
        <v>2012</v>
      </c>
      <c r="M15" s="21">
        <f t="shared" ca="1" si="2"/>
        <v>2012</v>
      </c>
      <c r="N15" s="21">
        <f t="shared" ca="1" si="2"/>
        <v>2012</v>
      </c>
      <c r="O15" s="21">
        <f t="shared" ca="1" si="2"/>
        <v>2012</v>
      </c>
      <c r="P15" s="21">
        <f t="shared" ca="1" si="2"/>
        <v>2012</v>
      </c>
      <c r="Q15" s="21">
        <f t="shared" ca="1" si="2"/>
        <v>2012</v>
      </c>
      <c r="R15" s="21" t="e">
        <f t="shared" ca="1" si="2"/>
        <v>#N/A</v>
      </c>
      <c r="S15" s="21">
        <f t="shared" ca="1" si="2"/>
        <v>2012</v>
      </c>
      <c r="T15" s="21">
        <f t="shared" ca="1" si="2"/>
        <v>2012</v>
      </c>
      <c r="U15" s="21">
        <f t="shared" ca="1" si="1"/>
        <v>2012</v>
      </c>
      <c r="V15" s="21">
        <f t="shared" ca="1" si="1"/>
        <v>2012</v>
      </c>
      <c r="W15" s="21">
        <f t="shared" ca="1" si="1"/>
        <v>2012</v>
      </c>
      <c r="X15" s="21">
        <f t="shared" ca="1" si="1"/>
        <v>2012</v>
      </c>
      <c r="Y15" s="21">
        <f t="shared" ca="1" si="1"/>
        <v>2012</v>
      </c>
      <c r="Z15" s="21">
        <f t="shared" ca="1" si="1"/>
        <v>2012</v>
      </c>
      <c r="AA15" s="21">
        <f t="shared" ca="1" si="1"/>
        <v>2012</v>
      </c>
      <c r="AB15" s="21">
        <f t="shared" ca="1" si="1"/>
        <v>2012</v>
      </c>
      <c r="AC15" s="21">
        <f t="shared" ca="1" si="1"/>
        <v>2012</v>
      </c>
      <c r="AD15" s="21" t="e">
        <f t="shared" ca="1" si="1"/>
        <v>#N/A</v>
      </c>
    </row>
    <row r="16" spans="2:30" ht="15" thickBot="1" x14ac:dyDescent="0.35">
      <c r="B16" s="1" t="str">
        <f>tblIndicators!B14</f>
        <v>ROAD</v>
      </c>
      <c r="C16" s="1">
        <f>tblIndicators!E14</f>
        <v>0</v>
      </c>
      <c r="D16" s="20" t="str">
        <f>tblIndicators!O14</f>
        <v>Road transportation</v>
      </c>
      <c r="E16" s="21" t="str">
        <f t="shared" ca="1" si="2"/>
        <v/>
      </c>
      <c r="F16" s="21" t="str">
        <f t="shared" ca="1" si="2"/>
        <v/>
      </c>
      <c r="G16" s="21" t="str">
        <f t="shared" ca="1" si="2"/>
        <v/>
      </c>
      <c r="H16" s="21" t="str">
        <f t="shared" ca="1" si="2"/>
        <v/>
      </c>
      <c r="I16" s="21" t="str">
        <f t="shared" ca="1" si="2"/>
        <v/>
      </c>
      <c r="J16" s="21" t="str">
        <f t="shared" ca="1" si="2"/>
        <v/>
      </c>
      <c r="K16" s="21" t="str">
        <f t="shared" ca="1" si="2"/>
        <v/>
      </c>
      <c r="L16" s="21" t="str">
        <f t="shared" ca="1" si="2"/>
        <v/>
      </c>
      <c r="M16" s="21" t="str">
        <f t="shared" ca="1" si="2"/>
        <v/>
      </c>
      <c r="N16" s="21" t="str">
        <f t="shared" ca="1" si="2"/>
        <v/>
      </c>
      <c r="O16" s="21" t="str">
        <f t="shared" ca="1" si="2"/>
        <v/>
      </c>
      <c r="P16" s="21" t="str">
        <f t="shared" ca="1" si="2"/>
        <v/>
      </c>
      <c r="Q16" s="21" t="str">
        <f t="shared" ca="1" si="2"/>
        <v/>
      </c>
      <c r="R16" s="21" t="str">
        <f t="shared" ca="1" si="2"/>
        <v/>
      </c>
      <c r="S16" s="21" t="str">
        <f t="shared" ca="1" si="2"/>
        <v/>
      </c>
      <c r="T16" s="21" t="str">
        <f t="shared" ca="1" si="2"/>
        <v/>
      </c>
      <c r="U16" s="21" t="str">
        <f t="shared" ca="1" si="1"/>
        <v/>
      </c>
      <c r="V16" s="21" t="str">
        <f t="shared" ca="1" si="1"/>
        <v/>
      </c>
      <c r="W16" s="21" t="str">
        <f t="shared" ca="1" si="1"/>
        <v/>
      </c>
      <c r="X16" s="21" t="str">
        <f t="shared" ca="1" si="1"/>
        <v/>
      </c>
      <c r="Y16" s="21" t="str">
        <f t="shared" ca="1" si="1"/>
        <v/>
      </c>
      <c r="Z16" s="21" t="str">
        <f t="shared" ca="1" si="1"/>
        <v/>
      </c>
      <c r="AA16" s="21" t="str">
        <f t="shared" ca="1" si="1"/>
        <v/>
      </c>
      <c r="AB16" s="21" t="str">
        <f t="shared" ca="1" si="1"/>
        <v/>
      </c>
      <c r="AC16" s="21" t="str">
        <f t="shared" ca="1" si="1"/>
        <v/>
      </c>
      <c r="AD16" s="21" t="str">
        <f t="shared" ca="1" si="1"/>
        <v/>
      </c>
    </row>
    <row r="17" spans="2:30" ht="10.9" thickBot="1" x14ac:dyDescent="0.25">
      <c r="B17" s="1" t="str">
        <f>tblIndicators!B15</f>
        <v>ROAD01</v>
      </c>
      <c r="C17" s="1">
        <f>tblIndicators!E15</f>
        <v>1</v>
      </c>
      <c r="D17" s="19" t="str">
        <f>tblIndicators!O15</f>
        <v>Road network</v>
      </c>
      <c r="E17" s="21">
        <f t="shared" ca="1" si="2"/>
        <v>2012</v>
      </c>
      <c r="F17" s="21">
        <f t="shared" ca="1" si="2"/>
        <v>2012</v>
      </c>
      <c r="G17" s="21">
        <f t="shared" ca="1" si="2"/>
        <v>2012</v>
      </c>
      <c r="H17" s="21">
        <f t="shared" ca="1" si="2"/>
        <v>2012</v>
      </c>
      <c r="I17" s="21">
        <f t="shared" ca="1" si="2"/>
        <v>2012</v>
      </c>
      <c r="J17" s="21">
        <f t="shared" ca="1" si="2"/>
        <v>2012</v>
      </c>
      <c r="K17" s="21">
        <f t="shared" ca="1" si="2"/>
        <v>2012</v>
      </c>
      <c r="L17" s="21">
        <f t="shared" ca="1" si="2"/>
        <v>2012</v>
      </c>
      <c r="M17" s="21">
        <f t="shared" ca="1" si="2"/>
        <v>2012</v>
      </c>
      <c r="N17" s="21">
        <f t="shared" ca="1" si="2"/>
        <v>2012</v>
      </c>
      <c r="O17" s="21">
        <f t="shared" ca="1" si="2"/>
        <v>2012</v>
      </c>
      <c r="P17" s="21">
        <f t="shared" ca="1" si="2"/>
        <v>2012</v>
      </c>
      <c r="Q17" s="21">
        <f t="shared" ca="1" si="2"/>
        <v>2012</v>
      </c>
      <c r="R17" s="21">
        <f t="shared" ca="1" si="2"/>
        <v>2012</v>
      </c>
      <c r="S17" s="21">
        <f t="shared" ca="1" si="2"/>
        <v>2012</v>
      </c>
      <c r="T17" s="21">
        <f t="shared" ca="1" si="2"/>
        <v>2012</v>
      </c>
      <c r="U17" s="21">
        <f t="shared" ca="1" si="1"/>
        <v>2012</v>
      </c>
      <c r="V17" s="21">
        <f t="shared" ca="1" si="1"/>
        <v>2012</v>
      </c>
      <c r="W17" s="21">
        <f t="shared" ca="1" si="1"/>
        <v>2012</v>
      </c>
      <c r="X17" s="21">
        <f t="shared" ca="1" si="1"/>
        <v>2012</v>
      </c>
      <c r="Y17" s="21">
        <f t="shared" ca="1" si="1"/>
        <v>2012</v>
      </c>
      <c r="Z17" s="21">
        <f t="shared" ca="1" si="1"/>
        <v>2012</v>
      </c>
      <c r="AA17" s="21">
        <f t="shared" ca="1" si="1"/>
        <v>2012</v>
      </c>
      <c r="AB17" s="21">
        <f t="shared" ca="1" si="1"/>
        <v>2012</v>
      </c>
      <c r="AC17" s="21">
        <f t="shared" ca="1" si="1"/>
        <v>2012</v>
      </c>
      <c r="AD17" s="21">
        <f t="shared" ca="1" si="1"/>
        <v>2012</v>
      </c>
    </row>
    <row r="18" spans="2:30" ht="10.9" thickBot="1" x14ac:dyDescent="0.25">
      <c r="B18" s="1" t="str">
        <f>tblIndicators!B16</f>
        <v>ROAD02</v>
      </c>
      <c r="C18" s="1">
        <f>tblIndicators!E16</f>
        <v>1</v>
      </c>
      <c r="D18" s="19" t="str">
        <f>tblIndicators!O16</f>
        <v>Freeways</v>
      </c>
      <c r="E18" s="21">
        <f t="shared" ca="1" si="2"/>
        <v>2012</v>
      </c>
      <c r="F18" s="21" t="e">
        <f t="shared" ca="1" si="2"/>
        <v>#N/A</v>
      </c>
      <c r="G18" s="21" t="e">
        <f t="shared" ca="1" si="2"/>
        <v>#N/A</v>
      </c>
      <c r="H18" s="21" t="e">
        <f t="shared" ca="1" si="2"/>
        <v>#N/A</v>
      </c>
      <c r="I18" s="21">
        <f t="shared" ca="1" si="2"/>
        <v>2012</v>
      </c>
      <c r="J18" s="21">
        <f t="shared" ca="1" si="2"/>
        <v>2012</v>
      </c>
      <c r="K18" s="21" t="e">
        <f t="shared" ca="1" si="2"/>
        <v>#N/A</v>
      </c>
      <c r="L18" s="21">
        <f t="shared" ca="1" si="2"/>
        <v>2012</v>
      </c>
      <c r="M18" s="21">
        <f t="shared" ca="1" si="2"/>
        <v>2012</v>
      </c>
      <c r="N18" s="21" t="e">
        <f t="shared" ca="1" si="2"/>
        <v>#N/A</v>
      </c>
      <c r="O18" s="21" t="e">
        <f t="shared" ca="1" si="2"/>
        <v>#N/A</v>
      </c>
      <c r="P18" s="21" t="e">
        <f t="shared" ca="1" si="2"/>
        <v>#N/A</v>
      </c>
      <c r="Q18" s="21">
        <f t="shared" ca="1" si="2"/>
        <v>2012</v>
      </c>
      <c r="R18" s="21" t="e">
        <f t="shared" ca="1" si="2"/>
        <v>#N/A</v>
      </c>
      <c r="S18" s="21" t="e">
        <f t="shared" ca="1" si="2"/>
        <v>#N/A</v>
      </c>
      <c r="T18" s="21">
        <f t="shared" ca="1" si="2"/>
        <v>2012</v>
      </c>
      <c r="U18" s="21">
        <f t="shared" ca="1" si="1"/>
        <v>2012</v>
      </c>
      <c r="V18" s="21" t="e">
        <f t="shared" ca="1" si="1"/>
        <v>#N/A</v>
      </c>
      <c r="W18" s="21">
        <f t="shared" ca="1" si="1"/>
        <v>2012</v>
      </c>
      <c r="X18" s="21">
        <f t="shared" ca="1" si="1"/>
        <v>2012</v>
      </c>
      <c r="Y18" s="21" t="e">
        <f t="shared" ca="1" si="1"/>
        <v>#N/A</v>
      </c>
      <c r="Z18" s="21">
        <f t="shared" ca="1" si="1"/>
        <v>2012</v>
      </c>
      <c r="AA18" s="21" t="e">
        <f t="shared" ca="1" si="1"/>
        <v>#N/A</v>
      </c>
      <c r="AB18" s="21" t="e">
        <f t="shared" ca="1" si="1"/>
        <v>#N/A</v>
      </c>
      <c r="AC18" s="21">
        <f t="shared" ca="1" si="1"/>
        <v>2012</v>
      </c>
      <c r="AD18" s="21" t="e">
        <f t="shared" ca="1" si="1"/>
        <v>#N/A</v>
      </c>
    </row>
    <row r="19" spans="2:30" ht="10.9" thickBot="1" x14ac:dyDescent="0.25">
      <c r="B19" s="1" t="str">
        <f>tblIndicators!B17</f>
        <v>ROAD03</v>
      </c>
      <c r="C19" s="1">
        <f>tblIndicators!E17</f>
        <v>1</v>
      </c>
      <c r="D19" s="19" t="str">
        <f>tblIndicators!O17</f>
        <v>Primary network</v>
      </c>
      <c r="E19" s="21">
        <f t="shared" ca="1" si="2"/>
        <v>2012</v>
      </c>
      <c r="F19" s="21" t="e">
        <f t="shared" ca="1" si="2"/>
        <v>#N/A</v>
      </c>
      <c r="G19" s="21">
        <f t="shared" ca="1" si="2"/>
        <v>2012</v>
      </c>
      <c r="H19" s="21">
        <f t="shared" ca="1" si="2"/>
        <v>2012</v>
      </c>
      <c r="I19" s="21">
        <f t="shared" ca="1" si="2"/>
        <v>2012</v>
      </c>
      <c r="J19" s="21">
        <f t="shared" ca="1" si="2"/>
        <v>2012</v>
      </c>
      <c r="K19" s="21">
        <f t="shared" ca="1" si="2"/>
        <v>2012</v>
      </c>
      <c r="L19" s="21">
        <f t="shared" ca="1" si="2"/>
        <v>2012</v>
      </c>
      <c r="M19" s="21">
        <f t="shared" ca="1" si="2"/>
        <v>2012</v>
      </c>
      <c r="N19" s="21">
        <f t="shared" ca="1" si="2"/>
        <v>2012</v>
      </c>
      <c r="O19" s="21">
        <f t="shared" ca="1" si="2"/>
        <v>2012</v>
      </c>
      <c r="P19" s="21">
        <f t="shared" ca="1" si="2"/>
        <v>2012</v>
      </c>
      <c r="Q19" s="21">
        <f t="shared" ca="1" si="2"/>
        <v>2012</v>
      </c>
      <c r="R19" s="21" t="e">
        <f t="shared" ca="1" si="2"/>
        <v>#N/A</v>
      </c>
      <c r="S19" s="21">
        <f t="shared" ca="1" si="2"/>
        <v>2012</v>
      </c>
      <c r="T19" s="21">
        <f t="shared" ca="1" si="2"/>
        <v>2012</v>
      </c>
      <c r="U19" s="21">
        <f t="shared" ca="1" si="1"/>
        <v>2012</v>
      </c>
      <c r="V19" s="21">
        <f t="shared" ca="1" si="1"/>
        <v>2012</v>
      </c>
      <c r="W19" s="21">
        <f t="shared" ca="1" si="1"/>
        <v>2012</v>
      </c>
      <c r="X19" s="21">
        <f t="shared" ca="1" si="1"/>
        <v>2012</v>
      </c>
      <c r="Y19" s="21">
        <f t="shared" ca="1" si="1"/>
        <v>2012</v>
      </c>
      <c r="Z19" s="21">
        <f t="shared" ca="1" si="1"/>
        <v>2012</v>
      </c>
      <c r="AA19" s="21" t="e">
        <f t="shared" ca="1" si="1"/>
        <v>#N/A</v>
      </c>
      <c r="AB19" s="21">
        <f t="shared" ca="1" si="1"/>
        <v>2012</v>
      </c>
      <c r="AC19" s="21">
        <f t="shared" ca="1" si="1"/>
        <v>2012</v>
      </c>
      <c r="AD19" s="21" t="e">
        <f t="shared" ca="1" si="1"/>
        <v>#N/A</v>
      </c>
    </row>
    <row r="20" spans="2:30" ht="10.9" thickBot="1" x14ac:dyDescent="0.25">
      <c r="B20" s="1" t="str">
        <f>tblIndicators!B18</f>
        <v>ROAD04</v>
      </c>
      <c r="C20" s="1">
        <f>tblIndicators!E18</f>
        <v>1</v>
      </c>
      <c r="D20" s="19" t="str">
        <f>tblIndicators!O18</f>
        <v>Secondary network</v>
      </c>
      <c r="E20" s="21">
        <f t="shared" ca="1" si="2"/>
        <v>2012</v>
      </c>
      <c r="F20" s="21" t="e">
        <f t="shared" ca="1" si="2"/>
        <v>#N/A</v>
      </c>
      <c r="G20" s="21">
        <f t="shared" ca="1" si="2"/>
        <v>2012</v>
      </c>
      <c r="H20" s="21">
        <f t="shared" ca="1" si="2"/>
        <v>2012</v>
      </c>
      <c r="I20" s="21">
        <f t="shared" ca="1" si="2"/>
        <v>2012</v>
      </c>
      <c r="J20" s="21">
        <f t="shared" ca="1" si="2"/>
        <v>2012</v>
      </c>
      <c r="K20" s="21">
        <f t="shared" ca="1" si="2"/>
        <v>2012</v>
      </c>
      <c r="L20" s="21">
        <f t="shared" ca="1" si="2"/>
        <v>2012</v>
      </c>
      <c r="M20" s="21">
        <f t="shared" ca="1" si="2"/>
        <v>2012</v>
      </c>
      <c r="N20" s="21">
        <f t="shared" ca="1" si="2"/>
        <v>2012</v>
      </c>
      <c r="O20" s="21">
        <f t="shared" ca="1" si="2"/>
        <v>2012</v>
      </c>
      <c r="P20" s="21" t="e">
        <f t="shared" ca="1" si="2"/>
        <v>#N/A</v>
      </c>
      <c r="Q20" s="21">
        <f t="shared" ca="1" si="2"/>
        <v>2012</v>
      </c>
      <c r="R20" s="21" t="e">
        <f t="shared" ca="1" si="2"/>
        <v>#N/A</v>
      </c>
      <c r="S20" s="21" t="e">
        <f t="shared" ca="1" si="2"/>
        <v>#N/A</v>
      </c>
      <c r="T20" s="21">
        <f t="shared" ca="1" si="2"/>
        <v>2012</v>
      </c>
      <c r="U20" s="21">
        <f t="shared" ca="1" si="1"/>
        <v>2012</v>
      </c>
      <c r="V20" s="21">
        <f t="shared" ca="1" si="1"/>
        <v>2012</v>
      </c>
      <c r="W20" s="21">
        <f t="shared" ca="1" si="1"/>
        <v>2012</v>
      </c>
      <c r="X20" s="21">
        <f t="shared" ca="1" si="1"/>
        <v>2012</v>
      </c>
      <c r="Y20" s="21">
        <f t="shared" ca="1" si="1"/>
        <v>2012</v>
      </c>
      <c r="Z20" s="21">
        <f t="shared" ca="1" si="1"/>
        <v>2012</v>
      </c>
      <c r="AA20" s="21" t="e">
        <f t="shared" ca="1" si="1"/>
        <v>#N/A</v>
      </c>
      <c r="AB20" s="21">
        <f t="shared" ca="1" si="1"/>
        <v>2012</v>
      </c>
      <c r="AC20" s="21">
        <f t="shared" ca="1" si="1"/>
        <v>2012</v>
      </c>
      <c r="AD20" s="21" t="e">
        <f t="shared" ca="1" si="1"/>
        <v>#N/A</v>
      </c>
    </row>
    <row r="21" spans="2:30" ht="10.9" thickBot="1" x14ac:dyDescent="0.25">
      <c r="B21" s="1" t="str">
        <f>tblIndicators!B19</f>
        <v>ROAD05</v>
      </c>
      <c r="C21" s="1">
        <f>tblIndicators!E19</f>
        <v>1</v>
      </c>
      <c r="D21" s="19" t="str">
        <f>tblIndicators!O19</f>
        <v>Other networks</v>
      </c>
      <c r="E21" s="21">
        <f t="shared" ca="1" si="2"/>
        <v>2012</v>
      </c>
      <c r="F21" s="21" t="e">
        <f t="shared" ca="1" si="2"/>
        <v>#N/A</v>
      </c>
      <c r="G21" s="21">
        <f t="shared" ca="1" si="2"/>
        <v>2012</v>
      </c>
      <c r="H21" s="21">
        <f t="shared" ca="1" si="2"/>
        <v>2012</v>
      </c>
      <c r="I21" s="21">
        <f t="shared" ca="1" si="2"/>
        <v>2012</v>
      </c>
      <c r="J21" s="21">
        <f t="shared" ca="1" si="2"/>
        <v>2012</v>
      </c>
      <c r="K21" s="21" t="e">
        <f t="shared" ca="1" si="2"/>
        <v>#N/A</v>
      </c>
      <c r="L21" s="21">
        <f t="shared" ca="1" si="2"/>
        <v>2012</v>
      </c>
      <c r="M21" s="21">
        <f t="shared" ca="1" si="2"/>
        <v>2012</v>
      </c>
      <c r="N21" s="21">
        <f t="shared" ca="1" si="2"/>
        <v>2012</v>
      </c>
      <c r="O21" s="21">
        <f t="shared" ca="1" si="2"/>
        <v>2012</v>
      </c>
      <c r="P21" s="21">
        <f t="shared" ca="1" si="2"/>
        <v>2012</v>
      </c>
      <c r="Q21" s="21">
        <f t="shared" ca="1" si="2"/>
        <v>2012</v>
      </c>
      <c r="R21" s="21" t="e">
        <f t="shared" ca="1" si="2"/>
        <v>#N/A</v>
      </c>
      <c r="S21" s="21">
        <f t="shared" ca="1" si="2"/>
        <v>2012</v>
      </c>
      <c r="T21" s="21">
        <f t="shared" ca="1" si="2"/>
        <v>2012</v>
      </c>
      <c r="U21" s="21">
        <f t="shared" ref="U21:AD45" ca="1" si="3">IF($C21=0,"",INDEX(OFFSET(lu_DataCode,0,3),MATCH(CONCATENATE(U$2,"_",$B21),lu_DataCode,0)))</f>
        <v>2012</v>
      </c>
      <c r="V21" s="21">
        <f t="shared" ca="1" si="3"/>
        <v>2012</v>
      </c>
      <c r="W21" s="21">
        <f t="shared" ca="1" si="3"/>
        <v>2012</v>
      </c>
      <c r="X21" s="21">
        <f t="shared" ca="1" si="3"/>
        <v>2012</v>
      </c>
      <c r="Y21" s="21">
        <f t="shared" ca="1" si="3"/>
        <v>2012</v>
      </c>
      <c r="Z21" s="21">
        <f t="shared" ca="1" si="3"/>
        <v>2012</v>
      </c>
      <c r="AA21" s="21" t="e">
        <f t="shared" ca="1" si="3"/>
        <v>#N/A</v>
      </c>
      <c r="AB21" s="21">
        <f t="shared" ca="1" si="3"/>
        <v>2012</v>
      </c>
      <c r="AC21" s="21">
        <f t="shared" ca="1" si="3"/>
        <v>2012</v>
      </c>
      <c r="AD21" s="21" t="e">
        <f t="shared" ca="1" si="3"/>
        <v>#N/A</v>
      </c>
    </row>
    <row r="22" spans="2:30" ht="10.9" thickBot="1" x14ac:dyDescent="0.25">
      <c r="B22" s="1" t="str">
        <f>tblIndicators!B20</f>
        <v>ROAD06</v>
      </c>
      <c r="C22" s="1">
        <f>tblIndicators!E20</f>
        <v>1</v>
      </c>
      <c r="D22" s="19" t="str">
        <f>tblIndicators!O20</f>
        <v>Paved network</v>
      </c>
      <c r="E22" s="21">
        <f t="shared" ca="1" si="2"/>
        <v>2012</v>
      </c>
      <c r="F22" s="21">
        <f t="shared" ca="1" si="2"/>
        <v>2012</v>
      </c>
      <c r="G22" s="21">
        <f t="shared" ca="1" si="2"/>
        <v>2012</v>
      </c>
      <c r="H22" s="21">
        <f t="shared" ca="1" si="2"/>
        <v>2012</v>
      </c>
      <c r="I22" s="21">
        <f t="shared" ca="1" si="2"/>
        <v>2012</v>
      </c>
      <c r="J22" s="21">
        <f t="shared" ca="1" si="2"/>
        <v>2012</v>
      </c>
      <c r="K22" s="21">
        <f t="shared" ca="1" si="2"/>
        <v>2012</v>
      </c>
      <c r="L22" s="21">
        <f t="shared" ca="1" si="2"/>
        <v>2012</v>
      </c>
      <c r="M22" s="21">
        <f t="shared" ca="1" si="2"/>
        <v>2012</v>
      </c>
      <c r="N22" s="21">
        <f t="shared" ca="1" si="2"/>
        <v>2012</v>
      </c>
      <c r="O22" s="21">
        <f t="shared" ca="1" si="2"/>
        <v>2012</v>
      </c>
      <c r="P22" s="21">
        <f t="shared" ca="1" si="2"/>
        <v>2012</v>
      </c>
      <c r="Q22" s="21">
        <f t="shared" ca="1" si="2"/>
        <v>2012</v>
      </c>
      <c r="R22" s="21" t="e">
        <f t="shared" ca="1" si="2"/>
        <v>#N/A</v>
      </c>
      <c r="S22" s="21">
        <f t="shared" ca="1" si="2"/>
        <v>2012</v>
      </c>
      <c r="T22" s="21">
        <f t="shared" ca="1" si="2"/>
        <v>2012</v>
      </c>
      <c r="U22" s="21">
        <f t="shared" ca="1" si="3"/>
        <v>2012</v>
      </c>
      <c r="V22" s="21">
        <f t="shared" ca="1" si="3"/>
        <v>2012</v>
      </c>
      <c r="W22" s="21">
        <f t="shared" ca="1" si="3"/>
        <v>2012</v>
      </c>
      <c r="X22" s="21">
        <f t="shared" ca="1" si="3"/>
        <v>2012</v>
      </c>
      <c r="Y22" s="21">
        <f t="shared" ca="1" si="3"/>
        <v>2012</v>
      </c>
      <c r="Z22" s="21">
        <f t="shared" ca="1" si="3"/>
        <v>2012</v>
      </c>
      <c r="AA22" s="21">
        <f t="shared" ca="1" si="3"/>
        <v>2012</v>
      </c>
      <c r="AB22" s="21" t="e">
        <f t="shared" ca="1" si="3"/>
        <v>#N/A</v>
      </c>
      <c r="AC22" s="21">
        <f t="shared" ca="1" si="3"/>
        <v>2012</v>
      </c>
      <c r="AD22" s="21" t="e">
        <f t="shared" ca="1" si="3"/>
        <v>#N/A</v>
      </c>
    </row>
    <row r="23" spans="2:30" ht="10.9" thickBot="1" x14ac:dyDescent="0.25">
      <c r="B23" s="1" t="str">
        <f>tblIndicators!B21</f>
        <v>ROAD07</v>
      </c>
      <c r="C23" s="1">
        <f>tblIndicators!E21</f>
        <v>1</v>
      </c>
      <c r="D23" s="19" t="str">
        <f>tblIndicators!O21</f>
        <v>Heavy vehicles</v>
      </c>
      <c r="E23" s="21">
        <f t="shared" ca="1" si="2"/>
        <v>2012</v>
      </c>
      <c r="F23" s="21">
        <f t="shared" ca="1" si="2"/>
        <v>2012</v>
      </c>
      <c r="G23" s="21">
        <f t="shared" ca="1" si="2"/>
        <v>2012</v>
      </c>
      <c r="H23" s="21" t="e">
        <f t="shared" ca="1" si="2"/>
        <v>#N/A</v>
      </c>
      <c r="I23" s="21">
        <f t="shared" ca="1" si="2"/>
        <v>2012</v>
      </c>
      <c r="J23" s="21">
        <f t="shared" ca="1" si="2"/>
        <v>2012</v>
      </c>
      <c r="K23" s="21">
        <f t="shared" ca="1" si="2"/>
        <v>2012</v>
      </c>
      <c r="L23" s="21">
        <f t="shared" ca="1" si="2"/>
        <v>2012</v>
      </c>
      <c r="M23" s="21">
        <f t="shared" ca="1" si="2"/>
        <v>2012</v>
      </c>
      <c r="N23" s="21">
        <f t="shared" ca="1" si="2"/>
        <v>2012</v>
      </c>
      <c r="O23" s="21">
        <f t="shared" ca="1" si="2"/>
        <v>2012</v>
      </c>
      <c r="P23" s="21">
        <f t="shared" ca="1" si="2"/>
        <v>2012</v>
      </c>
      <c r="Q23" s="21">
        <f t="shared" ca="1" si="2"/>
        <v>2012</v>
      </c>
      <c r="R23" s="21" t="e">
        <f t="shared" ca="1" si="2"/>
        <v>#N/A</v>
      </c>
      <c r="S23" s="21">
        <f t="shared" ca="1" si="2"/>
        <v>2012</v>
      </c>
      <c r="T23" s="21">
        <f t="shared" ca="1" si="2"/>
        <v>2012</v>
      </c>
      <c r="U23" s="21">
        <f t="shared" ca="1" si="3"/>
        <v>2012</v>
      </c>
      <c r="V23" s="21">
        <f t="shared" ca="1" si="3"/>
        <v>2012</v>
      </c>
      <c r="W23" s="21">
        <f t="shared" ca="1" si="3"/>
        <v>2012</v>
      </c>
      <c r="X23" s="21">
        <f t="shared" ca="1" si="3"/>
        <v>2012</v>
      </c>
      <c r="Y23" s="21">
        <f t="shared" ca="1" si="3"/>
        <v>2012</v>
      </c>
      <c r="Z23" s="21">
        <f t="shared" ca="1" si="3"/>
        <v>2012</v>
      </c>
      <c r="AA23" s="21">
        <f t="shared" ca="1" si="3"/>
        <v>2012</v>
      </c>
      <c r="AB23" s="21" t="e">
        <f t="shared" ca="1" si="3"/>
        <v>#N/A</v>
      </c>
      <c r="AC23" s="21">
        <f t="shared" ca="1" si="3"/>
        <v>2012</v>
      </c>
      <c r="AD23" s="21">
        <f t="shared" ca="1" si="3"/>
        <v>2012</v>
      </c>
    </row>
    <row r="24" spans="2:30" ht="10.9" thickBot="1" x14ac:dyDescent="0.25">
      <c r="B24" s="1" t="str">
        <f>tblIndicators!B22</f>
        <v>ROAD08</v>
      </c>
      <c r="C24" s="1">
        <f>tblIndicators!E22</f>
        <v>1</v>
      </c>
      <c r="D24" s="19" t="str">
        <f>tblIndicators!O22</f>
        <v>Light trucks under 3.5 ton</v>
      </c>
      <c r="E24" s="21">
        <f t="shared" ca="1" si="2"/>
        <v>2012</v>
      </c>
      <c r="F24" s="21" t="e">
        <f t="shared" ca="1" si="2"/>
        <v>#N/A</v>
      </c>
      <c r="G24" s="21" t="e">
        <f t="shared" ca="1" si="2"/>
        <v>#N/A</v>
      </c>
      <c r="H24" s="21" t="e">
        <f t="shared" ca="1" si="2"/>
        <v>#N/A</v>
      </c>
      <c r="I24" s="21" t="e">
        <f t="shared" ca="1" si="2"/>
        <v>#N/A</v>
      </c>
      <c r="J24" s="21">
        <f t="shared" ca="1" si="2"/>
        <v>2012</v>
      </c>
      <c r="K24" s="21" t="e">
        <f t="shared" ca="1" si="2"/>
        <v>#N/A</v>
      </c>
      <c r="L24" s="21">
        <f t="shared" ca="1" si="2"/>
        <v>2012</v>
      </c>
      <c r="M24" s="21">
        <f t="shared" ca="1" si="2"/>
        <v>2012</v>
      </c>
      <c r="N24" s="21">
        <f t="shared" ca="1" si="2"/>
        <v>2012</v>
      </c>
      <c r="O24" s="21">
        <f t="shared" ca="1" si="2"/>
        <v>2012</v>
      </c>
      <c r="P24" s="21">
        <f t="shared" ca="1" si="2"/>
        <v>2012</v>
      </c>
      <c r="Q24" s="21">
        <f t="shared" ca="1" si="2"/>
        <v>2012</v>
      </c>
      <c r="R24" s="21" t="e">
        <f t="shared" ca="1" si="2"/>
        <v>#N/A</v>
      </c>
      <c r="S24" s="21">
        <f t="shared" ca="1" si="2"/>
        <v>2012</v>
      </c>
      <c r="T24" s="21">
        <f t="shared" ca="1" si="2"/>
        <v>2012</v>
      </c>
      <c r="U24" s="21">
        <f t="shared" ca="1" si="3"/>
        <v>2012</v>
      </c>
      <c r="V24" s="21">
        <f t="shared" ca="1" si="3"/>
        <v>2012</v>
      </c>
      <c r="W24" s="21">
        <f t="shared" ca="1" si="3"/>
        <v>2012</v>
      </c>
      <c r="X24" s="21">
        <f t="shared" ca="1" si="3"/>
        <v>2012</v>
      </c>
      <c r="Y24" s="21">
        <f t="shared" ca="1" si="3"/>
        <v>2012</v>
      </c>
      <c r="Z24" s="21" t="e">
        <f t="shared" ca="1" si="3"/>
        <v>#N/A</v>
      </c>
      <c r="AA24" s="21">
        <f t="shared" ca="1" si="3"/>
        <v>2012</v>
      </c>
      <c r="AB24" s="21" t="e">
        <f t="shared" ca="1" si="3"/>
        <v>#N/A</v>
      </c>
      <c r="AC24" s="21">
        <f t="shared" ca="1" si="3"/>
        <v>2012</v>
      </c>
      <c r="AD24" s="21" t="e">
        <f t="shared" ca="1" si="3"/>
        <v>#N/A</v>
      </c>
    </row>
    <row r="25" spans="2:30" ht="10.9" thickBot="1" x14ac:dyDescent="0.25">
      <c r="B25" s="1" t="str">
        <f>tblIndicators!B23</f>
        <v>ROAD09</v>
      </c>
      <c r="C25" s="1">
        <f>tblIndicators!E23</f>
        <v>1</v>
      </c>
      <c r="D25" s="19" t="str">
        <f>tblIndicators!O23</f>
        <v>Heavy trucks over 3.5 ton</v>
      </c>
      <c r="E25" s="21">
        <f t="shared" ca="1" si="2"/>
        <v>2012</v>
      </c>
      <c r="F25" s="21" t="e">
        <f t="shared" ca="1" si="2"/>
        <v>#N/A</v>
      </c>
      <c r="G25" s="21" t="e">
        <f t="shared" ca="1" si="2"/>
        <v>#N/A</v>
      </c>
      <c r="H25" s="21" t="e">
        <f t="shared" ca="1" si="2"/>
        <v>#N/A</v>
      </c>
      <c r="I25" s="21" t="e">
        <f t="shared" ca="1" si="2"/>
        <v>#N/A</v>
      </c>
      <c r="J25" s="21">
        <f t="shared" ca="1" si="2"/>
        <v>2012</v>
      </c>
      <c r="K25" s="21" t="e">
        <f t="shared" ca="1" si="2"/>
        <v>#N/A</v>
      </c>
      <c r="L25" s="21">
        <f t="shared" ca="1" si="2"/>
        <v>2012</v>
      </c>
      <c r="M25" s="21">
        <f t="shared" ca="1" si="2"/>
        <v>2012</v>
      </c>
      <c r="N25" s="21">
        <f t="shared" ca="1" si="2"/>
        <v>2012</v>
      </c>
      <c r="O25" s="21">
        <f t="shared" ca="1" si="2"/>
        <v>2012</v>
      </c>
      <c r="P25" s="21">
        <f t="shared" ca="1" si="2"/>
        <v>2012</v>
      </c>
      <c r="Q25" s="21">
        <f t="shared" ca="1" si="2"/>
        <v>2012</v>
      </c>
      <c r="R25" s="21" t="e">
        <f t="shared" ca="1" si="2"/>
        <v>#N/A</v>
      </c>
      <c r="S25" s="21">
        <f t="shared" ca="1" si="2"/>
        <v>2012</v>
      </c>
      <c r="T25" s="21">
        <f t="shared" ca="1" si="2"/>
        <v>2012</v>
      </c>
      <c r="U25" s="21">
        <f t="shared" ca="1" si="3"/>
        <v>2012</v>
      </c>
      <c r="V25" s="21">
        <f t="shared" ca="1" si="3"/>
        <v>2012</v>
      </c>
      <c r="W25" s="21">
        <f t="shared" ca="1" si="3"/>
        <v>2012</v>
      </c>
      <c r="X25" s="21">
        <f t="shared" ca="1" si="3"/>
        <v>2012</v>
      </c>
      <c r="Y25" s="21">
        <f t="shared" ca="1" si="3"/>
        <v>2012</v>
      </c>
      <c r="Z25" s="21" t="e">
        <f t="shared" ca="1" si="3"/>
        <v>#N/A</v>
      </c>
      <c r="AA25" s="21">
        <f t="shared" ca="1" si="3"/>
        <v>2012</v>
      </c>
      <c r="AB25" s="21" t="e">
        <f t="shared" ca="1" si="3"/>
        <v>#N/A</v>
      </c>
      <c r="AC25" s="21">
        <f t="shared" ca="1" si="3"/>
        <v>2012</v>
      </c>
      <c r="AD25" s="21" t="e">
        <f t="shared" ca="1" si="3"/>
        <v>#N/A</v>
      </c>
    </row>
    <row r="26" spans="2:30" ht="10.9" thickBot="1" x14ac:dyDescent="0.25">
      <c r="B26" s="1" t="str">
        <f>tblIndicators!B24</f>
        <v>ROAD11</v>
      </c>
      <c r="C26" s="1">
        <f>tblIndicators!E24</f>
        <v>1</v>
      </c>
      <c r="D26" s="19" t="str">
        <f>tblIndicators!O24</f>
        <v>Fleet average age</v>
      </c>
      <c r="E26" s="21">
        <f t="shared" ca="1" si="2"/>
        <v>2012</v>
      </c>
      <c r="F26" s="21" t="e">
        <f t="shared" ca="1" si="2"/>
        <v>#N/A</v>
      </c>
      <c r="G26" s="21" t="e">
        <f t="shared" ca="1" si="2"/>
        <v>#N/A</v>
      </c>
      <c r="H26" s="21">
        <f t="shared" ca="1" si="2"/>
        <v>2012</v>
      </c>
      <c r="I26" s="21" t="e">
        <f t="shared" ca="1" si="2"/>
        <v>#N/A</v>
      </c>
      <c r="J26" s="21">
        <f t="shared" ca="1" si="2"/>
        <v>2012</v>
      </c>
      <c r="K26" s="21">
        <f t="shared" ca="1" si="2"/>
        <v>2012</v>
      </c>
      <c r="L26" s="21">
        <f t="shared" ca="1" si="2"/>
        <v>2012</v>
      </c>
      <c r="M26" s="21">
        <f t="shared" ca="1" si="2"/>
        <v>2012</v>
      </c>
      <c r="N26" s="21" t="e">
        <f t="shared" ca="1" si="2"/>
        <v>#N/A</v>
      </c>
      <c r="O26" s="21">
        <f t="shared" ca="1" si="2"/>
        <v>2012</v>
      </c>
      <c r="P26" s="21">
        <f t="shared" ca="1" si="2"/>
        <v>2012</v>
      </c>
      <c r="Q26" s="21" t="e">
        <f t="shared" ca="1" si="2"/>
        <v>#N/A</v>
      </c>
      <c r="R26" s="21" t="e">
        <f t="shared" ca="1" si="2"/>
        <v>#N/A</v>
      </c>
      <c r="S26" s="21">
        <f t="shared" ca="1" si="2"/>
        <v>2012</v>
      </c>
      <c r="T26" s="21" t="e">
        <f t="shared" ca="1" si="2"/>
        <v>#N/A</v>
      </c>
      <c r="U26" s="21">
        <f t="shared" ca="1" si="3"/>
        <v>2012</v>
      </c>
      <c r="V26" s="21">
        <f t="shared" ca="1" si="3"/>
        <v>2012</v>
      </c>
      <c r="W26" s="21">
        <f t="shared" ca="1" si="3"/>
        <v>2012</v>
      </c>
      <c r="X26" s="21">
        <f t="shared" ca="1" si="3"/>
        <v>2012</v>
      </c>
      <c r="Y26" s="21">
        <f t="shared" ca="1" si="3"/>
        <v>2012</v>
      </c>
      <c r="Z26" s="21">
        <f t="shared" ca="1" si="3"/>
        <v>2012</v>
      </c>
      <c r="AA26" s="21" t="e">
        <f t="shared" ca="1" si="3"/>
        <v>#N/A</v>
      </c>
      <c r="AB26" s="21" t="e">
        <f t="shared" ca="1" si="3"/>
        <v>#N/A</v>
      </c>
      <c r="AC26" s="21">
        <f t="shared" ca="1" si="3"/>
        <v>2012</v>
      </c>
      <c r="AD26" s="21" t="e">
        <f t="shared" ca="1" si="3"/>
        <v>#N/A</v>
      </c>
    </row>
    <row r="27" spans="2:30" ht="10.9" thickBot="1" x14ac:dyDescent="0.25">
      <c r="B27" s="1" t="str">
        <f>tblIndicators!B25</f>
        <v>ROAD12</v>
      </c>
      <c r="C27" s="1">
        <f>tblIndicators!E25</f>
        <v>1</v>
      </c>
      <c r="D27" s="19" t="str">
        <f>tblIndicators!O25</f>
        <v>Number of trailers</v>
      </c>
      <c r="E27" s="21">
        <f t="shared" ca="1" si="2"/>
        <v>2012</v>
      </c>
      <c r="F27" s="21" t="e">
        <f t="shared" ca="1" si="2"/>
        <v>#N/A</v>
      </c>
      <c r="G27" s="21">
        <f t="shared" ca="1" si="2"/>
        <v>2012</v>
      </c>
      <c r="H27" s="21" t="e">
        <f t="shared" ca="1" si="2"/>
        <v>#N/A</v>
      </c>
      <c r="I27" s="21" t="e">
        <f t="shared" ca="1" si="2"/>
        <v>#N/A</v>
      </c>
      <c r="J27" s="21">
        <f t="shared" ca="1" si="2"/>
        <v>2012</v>
      </c>
      <c r="K27" s="21">
        <f t="shared" ca="1" si="2"/>
        <v>2012</v>
      </c>
      <c r="L27" s="21">
        <f t="shared" ca="1" si="2"/>
        <v>2012</v>
      </c>
      <c r="M27" s="21" t="e">
        <f t="shared" ca="1" si="2"/>
        <v>#N/A</v>
      </c>
      <c r="N27" s="21" t="e">
        <f t="shared" ca="1" si="2"/>
        <v>#N/A</v>
      </c>
      <c r="O27" s="21">
        <f t="shared" ca="1" si="2"/>
        <v>2012</v>
      </c>
      <c r="P27" s="21">
        <f t="shared" ca="1" si="2"/>
        <v>2012</v>
      </c>
      <c r="Q27" s="21">
        <f t="shared" ca="1" si="2"/>
        <v>2012</v>
      </c>
      <c r="R27" s="21" t="e">
        <f t="shared" ca="1" si="2"/>
        <v>#N/A</v>
      </c>
      <c r="S27" s="21">
        <f t="shared" ca="1" si="2"/>
        <v>2012</v>
      </c>
      <c r="T27" s="21">
        <f t="shared" ca="1" si="2"/>
        <v>2012</v>
      </c>
      <c r="U27" s="21">
        <f t="shared" ca="1" si="3"/>
        <v>2012</v>
      </c>
      <c r="V27" s="21">
        <f t="shared" ca="1" si="3"/>
        <v>2012</v>
      </c>
      <c r="W27" s="21">
        <f t="shared" ca="1" si="3"/>
        <v>2012</v>
      </c>
      <c r="X27" s="21">
        <f t="shared" ca="1" si="3"/>
        <v>2012</v>
      </c>
      <c r="Y27" s="21">
        <f t="shared" ca="1" si="3"/>
        <v>2012</v>
      </c>
      <c r="Z27" s="21" t="e">
        <f t="shared" ca="1" si="3"/>
        <v>#N/A</v>
      </c>
      <c r="AA27" s="21" t="e">
        <f t="shared" ca="1" si="3"/>
        <v>#N/A</v>
      </c>
      <c r="AB27" s="21" t="e">
        <f t="shared" ca="1" si="3"/>
        <v>#N/A</v>
      </c>
      <c r="AC27" s="21">
        <f t="shared" ca="1" si="3"/>
        <v>2012</v>
      </c>
      <c r="AD27" s="21" t="e">
        <f t="shared" ca="1" si="3"/>
        <v>#N/A</v>
      </c>
    </row>
    <row r="28" spans="2:30" ht="10.9" thickBot="1" x14ac:dyDescent="0.25">
      <c r="B28" s="1" t="str">
        <f>tblIndicators!B26</f>
        <v>ROAD14</v>
      </c>
      <c r="C28" s="1">
        <f>tblIndicators!E26</f>
        <v>1</v>
      </c>
      <c r="D28" s="19" t="str">
        <f>tblIndicators!O26</f>
        <v>Total vehicles</v>
      </c>
      <c r="E28" s="21">
        <f t="shared" ca="1" si="2"/>
        <v>2012</v>
      </c>
      <c r="F28" s="21">
        <f t="shared" ca="1" si="2"/>
        <v>2012</v>
      </c>
      <c r="G28" s="21">
        <f t="shared" ca="1" si="2"/>
        <v>2012</v>
      </c>
      <c r="H28" s="21">
        <f t="shared" ca="1" si="2"/>
        <v>2012</v>
      </c>
      <c r="I28" s="21">
        <f t="shared" ca="1" si="2"/>
        <v>2012</v>
      </c>
      <c r="J28" s="21">
        <f t="shared" ca="1" si="2"/>
        <v>2012</v>
      </c>
      <c r="K28" s="21">
        <f t="shared" ca="1" si="2"/>
        <v>2012</v>
      </c>
      <c r="L28" s="21">
        <f t="shared" ca="1" si="2"/>
        <v>2012</v>
      </c>
      <c r="M28" s="21">
        <f t="shared" ca="1" si="2"/>
        <v>2012</v>
      </c>
      <c r="N28" s="21">
        <f t="shared" ca="1" si="2"/>
        <v>2012</v>
      </c>
      <c r="O28" s="21">
        <f t="shared" ca="1" si="2"/>
        <v>2012</v>
      </c>
      <c r="P28" s="21">
        <f t="shared" ca="1" si="2"/>
        <v>2012</v>
      </c>
      <c r="Q28" s="21">
        <f t="shared" ca="1" si="2"/>
        <v>2012</v>
      </c>
      <c r="R28" s="21" t="e">
        <f t="shared" ca="1" si="2"/>
        <v>#N/A</v>
      </c>
      <c r="S28" s="21">
        <f t="shared" ca="1" si="2"/>
        <v>2012</v>
      </c>
      <c r="T28" s="21">
        <f t="shared" ca="1" si="2"/>
        <v>2012</v>
      </c>
      <c r="U28" s="21">
        <f t="shared" ca="1" si="3"/>
        <v>2012</v>
      </c>
      <c r="V28" s="21">
        <f t="shared" ca="1" si="3"/>
        <v>2012</v>
      </c>
      <c r="W28" s="21">
        <f t="shared" ca="1" si="3"/>
        <v>2012</v>
      </c>
      <c r="X28" s="21">
        <f t="shared" ca="1" si="3"/>
        <v>2012</v>
      </c>
      <c r="Y28" s="21">
        <f t="shared" ca="1" si="3"/>
        <v>2012</v>
      </c>
      <c r="Z28" s="21">
        <f t="shared" ca="1" si="3"/>
        <v>2012</v>
      </c>
      <c r="AA28" s="21">
        <f t="shared" ca="1" si="3"/>
        <v>2012</v>
      </c>
      <c r="AB28" s="21">
        <f t="shared" ca="1" si="3"/>
        <v>2012</v>
      </c>
      <c r="AC28" s="21">
        <f t="shared" ca="1" si="3"/>
        <v>2012</v>
      </c>
      <c r="AD28" s="21" t="e">
        <f t="shared" ca="1" si="3"/>
        <v>#N/A</v>
      </c>
    </row>
    <row r="29" spans="2:30" ht="10.9" thickBot="1" x14ac:dyDescent="0.25">
      <c r="B29" s="1" t="str">
        <f>tblIndicators!B27</f>
        <v>ROAD15</v>
      </c>
      <c r="C29" s="1">
        <f>tblIndicators!E27</f>
        <v>1</v>
      </c>
      <c r="D29" s="19" t="str">
        <f>tblIndicators!O27</f>
        <v>Number of motor carrier operators</v>
      </c>
      <c r="E29" s="21">
        <f t="shared" ca="1" si="2"/>
        <v>2012</v>
      </c>
      <c r="F29" s="21" t="e">
        <f t="shared" ca="1" si="2"/>
        <v>#N/A</v>
      </c>
      <c r="G29" s="21" t="e">
        <f t="shared" ca="1" si="2"/>
        <v>#N/A</v>
      </c>
      <c r="H29" s="21" t="e">
        <f t="shared" ca="1" si="2"/>
        <v>#N/A</v>
      </c>
      <c r="I29" s="21" t="e">
        <f t="shared" ca="1" si="2"/>
        <v>#N/A</v>
      </c>
      <c r="J29" s="21">
        <f t="shared" ca="1" si="2"/>
        <v>2012</v>
      </c>
      <c r="K29" s="21">
        <f t="shared" ca="1" si="2"/>
        <v>2012</v>
      </c>
      <c r="L29" s="21">
        <f t="shared" ca="1" si="2"/>
        <v>2012</v>
      </c>
      <c r="M29" s="21">
        <f t="shared" ca="1" si="2"/>
        <v>2012</v>
      </c>
      <c r="N29" s="21" t="e">
        <f t="shared" ca="1" si="2"/>
        <v>#N/A</v>
      </c>
      <c r="O29" s="21">
        <f t="shared" ca="1" si="2"/>
        <v>2012</v>
      </c>
      <c r="P29" s="21">
        <f t="shared" ca="1" si="2"/>
        <v>2012</v>
      </c>
      <c r="Q29" s="21" t="e">
        <f t="shared" ca="1" si="2"/>
        <v>#N/A</v>
      </c>
      <c r="R29" s="21" t="e">
        <f t="shared" ca="1" si="2"/>
        <v>#N/A</v>
      </c>
      <c r="S29" s="21">
        <f t="shared" ca="1" si="2"/>
        <v>2012</v>
      </c>
      <c r="T29" s="21">
        <f t="shared" ca="1" si="2"/>
        <v>2012</v>
      </c>
      <c r="U29" s="21">
        <f t="shared" ca="1" si="3"/>
        <v>2012</v>
      </c>
      <c r="V29" s="21">
        <f t="shared" ca="1" si="3"/>
        <v>2012</v>
      </c>
      <c r="W29" s="21">
        <f t="shared" ca="1" si="3"/>
        <v>2012</v>
      </c>
      <c r="X29" s="21">
        <f t="shared" ca="1" si="3"/>
        <v>2012</v>
      </c>
      <c r="Y29" s="21">
        <f t="shared" ca="1" si="3"/>
        <v>2012</v>
      </c>
      <c r="Z29" s="21" t="e">
        <f t="shared" ca="1" si="3"/>
        <v>#N/A</v>
      </c>
      <c r="AA29" s="21" t="e">
        <f t="shared" ca="1" si="3"/>
        <v>#N/A</v>
      </c>
      <c r="AB29" s="21" t="e">
        <f t="shared" ca="1" si="3"/>
        <v>#N/A</v>
      </c>
      <c r="AC29" s="21">
        <f t="shared" ca="1" si="3"/>
        <v>2012</v>
      </c>
      <c r="AD29" s="21" t="e">
        <f t="shared" ca="1" si="3"/>
        <v>#N/A</v>
      </c>
    </row>
    <row r="30" spans="2:30" ht="10.9" thickBot="1" x14ac:dyDescent="0.25">
      <c r="B30" s="1" t="str">
        <f>tblIndicators!B28</f>
        <v>ROAD16</v>
      </c>
      <c r="C30" s="1">
        <f>tblIndicators!E28</f>
        <v>1</v>
      </c>
      <c r="D30" s="19" t="str">
        <f>tblIndicators!O28</f>
        <v>Motor carrier operators with 1-2 units</v>
      </c>
      <c r="E30" s="21">
        <f t="shared" ca="1" si="2"/>
        <v>2012</v>
      </c>
      <c r="F30" s="21" t="e">
        <f t="shared" ca="1" si="2"/>
        <v>#N/A</v>
      </c>
      <c r="G30" s="21" t="e">
        <f t="shared" ca="1" si="2"/>
        <v>#N/A</v>
      </c>
      <c r="H30" s="21" t="e">
        <f t="shared" ca="1" si="2"/>
        <v>#N/A</v>
      </c>
      <c r="I30" s="21" t="e">
        <f t="shared" ca="1" si="2"/>
        <v>#N/A</v>
      </c>
      <c r="J30" s="21" t="e">
        <f t="shared" ca="1" si="2"/>
        <v>#N/A</v>
      </c>
      <c r="K30" s="21" t="e">
        <f t="shared" ca="1" si="2"/>
        <v>#N/A</v>
      </c>
      <c r="L30" s="21">
        <f t="shared" ca="1" si="2"/>
        <v>2012</v>
      </c>
      <c r="M30" s="21" t="e">
        <f t="shared" ca="1" si="2"/>
        <v>#N/A</v>
      </c>
      <c r="N30" s="21" t="e">
        <f t="shared" ca="1" si="2"/>
        <v>#N/A</v>
      </c>
      <c r="O30" s="21" t="e">
        <f t="shared" ca="1" si="2"/>
        <v>#N/A</v>
      </c>
      <c r="P30" s="21" t="e">
        <f t="shared" ca="1" si="2"/>
        <v>#N/A</v>
      </c>
      <c r="Q30" s="21" t="e">
        <f t="shared" ca="1" si="2"/>
        <v>#N/A</v>
      </c>
      <c r="R30" s="21" t="e">
        <f t="shared" ca="1" si="2"/>
        <v>#N/A</v>
      </c>
      <c r="S30" s="21" t="e">
        <f t="shared" ca="1" si="2"/>
        <v>#N/A</v>
      </c>
      <c r="T30" s="21" t="e">
        <f t="shared" ca="1" si="2"/>
        <v>#N/A</v>
      </c>
      <c r="U30" s="21">
        <f t="shared" ca="1" si="3"/>
        <v>2012</v>
      </c>
      <c r="V30" s="21" t="e">
        <f t="shared" ca="1" si="3"/>
        <v>#N/A</v>
      </c>
      <c r="W30" s="21" t="e">
        <f t="shared" ca="1" si="3"/>
        <v>#N/A</v>
      </c>
      <c r="X30" s="21">
        <f t="shared" ca="1" si="3"/>
        <v>2012</v>
      </c>
      <c r="Y30" s="21" t="e">
        <f t="shared" ca="1" si="3"/>
        <v>#N/A</v>
      </c>
      <c r="Z30" s="21" t="e">
        <f t="shared" ca="1" si="3"/>
        <v>#N/A</v>
      </c>
      <c r="AA30" s="21" t="e">
        <f t="shared" ca="1" si="3"/>
        <v>#N/A</v>
      </c>
      <c r="AB30" s="21" t="e">
        <f t="shared" ca="1" si="3"/>
        <v>#N/A</v>
      </c>
      <c r="AC30" s="21" t="e">
        <f t="shared" ca="1" si="3"/>
        <v>#N/A</v>
      </c>
      <c r="AD30" s="21" t="e">
        <f t="shared" ca="1" si="3"/>
        <v>#N/A</v>
      </c>
    </row>
    <row r="31" spans="2:30" ht="10.9" thickBot="1" x14ac:dyDescent="0.25">
      <c r="B31" s="1" t="str">
        <f>tblIndicators!B29</f>
        <v>ROAD17</v>
      </c>
      <c r="C31" s="1">
        <f>tblIndicators!E29</f>
        <v>1</v>
      </c>
      <c r="D31" s="19" t="str">
        <f>tblIndicators!O29</f>
        <v>Average number of vehicles per operator</v>
      </c>
      <c r="E31" s="21">
        <f t="shared" ca="1" si="2"/>
        <v>2012</v>
      </c>
      <c r="F31" s="21" t="e">
        <f t="shared" ca="1" si="2"/>
        <v>#N/A</v>
      </c>
      <c r="G31" s="21" t="e">
        <f t="shared" ca="1" si="2"/>
        <v>#N/A</v>
      </c>
      <c r="H31" s="21" t="e">
        <f t="shared" ca="1" si="2"/>
        <v>#N/A</v>
      </c>
      <c r="I31" s="21" t="e">
        <f t="shared" ref="E31:T46" ca="1" si="4">IF($C31=0,"",INDEX(OFFSET(lu_DataCode,0,3),MATCH(CONCATENATE(I$2,"_",$B31),lu_DataCode,0)))</f>
        <v>#N/A</v>
      </c>
      <c r="J31" s="21">
        <f t="shared" ca="1" si="4"/>
        <v>2012</v>
      </c>
      <c r="K31" s="21">
        <f t="shared" ca="1" si="4"/>
        <v>2012</v>
      </c>
      <c r="L31" s="21">
        <f t="shared" ca="1" si="4"/>
        <v>2012</v>
      </c>
      <c r="M31" s="21">
        <f t="shared" ca="1" si="4"/>
        <v>2012</v>
      </c>
      <c r="N31" s="21" t="e">
        <f t="shared" ca="1" si="4"/>
        <v>#N/A</v>
      </c>
      <c r="O31" s="21">
        <f t="shared" ca="1" si="4"/>
        <v>2012</v>
      </c>
      <c r="P31" s="21">
        <f t="shared" ca="1" si="4"/>
        <v>2012</v>
      </c>
      <c r="Q31" s="21" t="e">
        <f t="shared" ca="1" si="4"/>
        <v>#N/A</v>
      </c>
      <c r="R31" s="21" t="e">
        <f t="shared" ca="1" si="4"/>
        <v>#N/A</v>
      </c>
      <c r="S31" s="21">
        <f t="shared" ca="1" si="4"/>
        <v>2012</v>
      </c>
      <c r="T31" s="21" t="e">
        <f t="shared" ca="1" si="4"/>
        <v>#N/A</v>
      </c>
      <c r="U31" s="21">
        <f t="shared" ca="1" si="3"/>
        <v>2012</v>
      </c>
      <c r="V31" s="21">
        <f t="shared" ca="1" si="3"/>
        <v>2012</v>
      </c>
      <c r="W31" s="21">
        <f t="shared" ca="1" si="3"/>
        <v>2012</v>
      </c>
      <c r="X31" s="21">
        <f t="shared" ca="1" si="3"/>
        <v>2012</v>
      </c>
      <c r="Y31" s="21" t="e">
        <f t="shared" ca="1" si="3"/>
        <v>#N/A</v>
      </c>
      <c r="Z31" s="21">
        <f t="shared" ca="1" si="3"/>
        <v>2012</v>
      </c>
      <c r="AA31" s="21" t="e">
        <f t="shared" ca="1" si="3"/>
        <v>#N/A</v>
      </c>
      <c r="AB31" s="21" t="e">
        <f t="shared" ca="1" si="3"/>
        <v>#N/A</v>
      </c>
      <c r="AC31" s="21">
        <f t="shared" ca="1" si="3"/>
        <v>2012</v>
      </c>
      <c r="AD31" s="21" t="e">
        <f t="shared" ca="1" si="3"/>
        <v>#N/A</v>
      </c>
    </row>
    <row r="32" spans="2:30" ht="10.9" thickBot="1" x14ac:dyDescent="0.25">
      <c r="B32" s="1" t="str">
        <f>tblIndicators!B30</f>
        <v>ROAD18</v>
      </c>
      <c r="C32" s="1">
        <f>tblIndicators!E30</f>
        <v>1</v>
      </c>
      <c r="D32" s="19" t="str">
        <f>tblIndicators!O30</f>
        <v>Direct employment surface transportation</v>
      </c>
      <c r="E32" s="21">
        <f t="shared" ca="1" si="4"/>
        <v>2012</v>
      </c>
      <c r="F32" s="21" t="e">
        <f t="shared" ca="1" si="4"/>
        <v>#N/A</v>
      </c>
      <c r="G32" s="21" t="e">
        <f t="shared" ca="1" si="4"/>
        <v>#N/A</v>
      </c>
      <c r="H32" s="21" t="e">
        <f t="shared" ca="1" si="4"/>
        <v>#N/A</v>
      </c>
      <c r="I32" s="21" t="e">
        <f t="shared" ca="1" si="4"/>
        <v>#N/A</v>
      </c>
      <c r="J32" s="21">
        <f t="shared" ca="1" si="4"/>
        <v>2012</v>
      </c>
      <c r="K32" s="21">
        <f t="shared" ca="1" si="4"/>
        <v>2012</v>
      </c>
      <c r="L32" s="21">
        <f t="shared" ca="1" si="4"/>
        <v>2012</v>
      </c>
      <c r="M32" s="21" t="e">
        <f t="shared" ca="1" si="4"/>
        <v>#N/A</v>
      </c>
      <c r="N32" s="21" t="e">
        <f t="shared" ca="1" si="4"/>
        <v>#N/A</v>
      </c>
      <c r="O32" s="21" t="e">
        <f t="shared" ca="1" si="4"/>
        <v>#N/A</v>
      </c>
      <c r="P32" s="21">
        <f t="shared" ca="1" si="4"/>
        <v>2012</v>
      </c>
      <c r="Q32" s="21" t="e">
        <f t="shared" ca="1" si="4"/>
        <v>#N/A</v>
      </c>
      <c r="R32" s="21" t="e">
        <f t="shared" ca="1" si="4"/>
        <v>#N/A</v>
      </c>
      <c r="S32" s="21" t="e">
        <f t="shared" ca="1" si="4"/>
        <v>#N/A</v>
      </c>
      <c r="T32" s="21">
        <f t="shared" ca="1" si="4"/>
        <v>2012</v>
      </c>
      <c r="U32" s="21">
        <f t="shared" ca="1" si="3"/>
        <v>2012</v>
      </c>
      <c r="V32" s="21" t="e">
        <f t="shared" ca="1" si="3"/>
        <v>#N/A</v>
      </c>
      <c r="W32" s="21" t="e">
        <f t="shared" ca="1" si="3"/>
        <v>#N/A</v>
      </c>
      <c r="X32" s="21">
        <f t="shared" ca="1" si="3"/>
        <v>2012</v>
      </c>
      <c r="Y32" s="21" t="e">
        <f t="shared" ca="1" si="3"/>
        <v>#N/A</v>
      </c>
      <c r="Z32" s="21">
        <f t="shared" ca="1" si="3"/>
        <v>2012</v>
      </c>
      <c r="AA32" s="21" t="e">
        <f t="shared" ca="1" si="3"/>
        <v>#N/A</v>
      </c>
      <c r="AB32" s="21" t="e">
        <f t="shared" ca="1" si="3"/>
        <v>#N/A</v>
      </c>
      <c r="AC32" s="21">
        <f t="shared" ca="1" si="3"/>
        <v>2012</v>
      </c>
      <c r="AD32" s="21" t="e">
        <f t="shared" ca="1" si="3"/>
        <v>#N/A</v>
      </c>
    </row>
    <row r="33" spans="2:30" ht="10.9" thickBot="1" x14ac:dyDescent="0.25">
      <c r="B33" s="1" t="str">
        <f>tblIndicators!B31</f>
        <v>ROAD19</v>
      </c>
      <c r="C33" s="1">
        <f>tblIndicators!E31</f>
        <v>1</v>
      </c>
      <c r="D33" s="19" t="str">
        <f>tblIndicators!O31</f>
        <v>Annual diesel oil consumption</v>
      </c>
      <c r="E33" s="21">
        <f t="shared" ca="1" si="4"/>
        <v>2012</v>
      </c>
      <c r="F33" s="21">
        <f t="shared" ca="1" si="4"/>
        <v>2012</v>
      </c>
      <c r="G33" s="21">
        <f t="shared" ca="1" si="4"/>
        <v>2012</v>
      </c>
      <c r="H33" s="21">
        <f t="shared" ca="1" si="4"/>
        <v>2012</v>
      </c>
      <c r="I33" s="21">
        <f t="shared" ca="1" si="4"/>
        <v>2012</v>
      </c>
      <c r="J33" s="21">
        <f t="shared" ca="1" si="4"/>
        <v>2012</v>
      </c>
      <c r="K33" s="21">
        <f t="shared" ca="1" si="4"/>
        <v>2012</v>
      </c>
      <c r="L33" s="21">
        <f t="shared" ca="1" si="4"/>
        <v>2012</v>
      </c>
      <c r="M33" s="21">
        <f t="shared" ca="1" si="4"/>
        <v>2012</v>
      </c>
      <c r="N33" s="21">
        <f t="shared" ca="1" si="4"/>
        <v>2012</v>
      </c>
      <c r="O33" s="21">
        <f t="shared" ca="1" si="4"/>
        <v>2012</v>
      </c>
      <c r="P33" s="21">
        <f t="shared" ca="1" si="4"/>
        <v>2012</v>
      </c>
      <c r="Q33" s="21">
        <f t="shared" ca="1" si="4"/>
        <v>2012</v>
      </c>
      <c r="R33" s="21">
        <f t="shared" ca="1" si="4"/>
        <v>2012</v>
      </c>
      <c r="S33" s="21">
        <f t="shared" ca="1" si="4"/>
        <v>2012</v>
      </c>
      <c r="T33" s="21">
        <f t="shared" ca="1" si="4"/>
        <v>2012</v>
      </c>
      <c r="U33" s="21">
        <f t="shared" ca="1" si="3"/>
        <v>2012</v>
      </c>
      <c r="V33" s="21">
        <f t="shared" ca="1" si="3"/>
        <v>2012</v>
      </c>
      <c r="W33" s="21">
        <f t="shared" ca="1" si="3"/>
        <v>2012</v>
      </c>
      <c r="X33" s="21">
        <f t="shared" ca="1" si="3"/>
        <v>2012</v>
      </c>
      <c r="Y33" s="21">
        <f t="shared" ca="1" si="3"/>
        <v>2012</v>
      </c>
      <c r="Z33" s="21">
        <f t="shared" ca="1" si="3"/>
        <v>2012</v>
      </c>
      <c r="AA33" s="21">
        <f t="shared" ca="1" si="3"/>
        <v>2012</v>
      </c>
      <c r="AB33" s="21">
        <f t="shared" ca="1" si="3"/>
        <v>2012</v>
      </c>
      <c r="AC33" s="21">
        <f t="shared" ca="1" si="3"/>
        <v>2012</v>
      </c>
      <c r="AD33" s="21">
        <f t="shared" ca="1" si="3"/>
        <v>2012</v>
      </c>
    </row>
    <row r="34" spans="2:30" ht="10.9" thickBot="1" x14ac:dyDescent="0.25">
      <c r="B34" s="1" t="str">
        <f>tblIndicators!B32</f>
        <v>ROAD20</v>
      </c>
      <c r="C34" s="1">
        <f>tblIndicators!E32</f>
        <v>1</v>
      </c>
      <c r="D34" s="19" t="str">
        <f>tblIndicators!O32</f>
        <v>Annual gasoline comsumption</v>
      </c>
      <c r="E34" s="21">
        <f t="shared" ca="1" si="4"/>
        <v>2012</v>
      </c>
      <c r="F34" s="21">
        <f t="shared" ca="1" si="4"/>
        <v>2012</v>
      </c>
      <c r="G34" s="21">
        <f t="shared" ca="1" si="4"/>
        <v>2012</v>
      </c>
      <c r="H34" s="21">
        <f t="shared" ca="1" si="4"/>
        <v>2012</v>
      </c>
      <c r="I34" s="21">
        <f t="shared" ca="1" si="4"/>
        <v>2012</v>
      </c>
      <c r="J34" s="21">
        <f t="shared" ca="1" si="4"/>
        <v>2012</v>
      </c>
      <c r="K34" s="21">
        <f t="shared" ca="1" si="4"/>
        <v>2012</v>
      </c>
      <c r="L34" s="21">
        <f t="shared" ca="1" si="4"/>
        <v>2012</v>
      </c>
      <c r="M34" s="21">
        <f t="shared" ca="1" si="4"/>
        <v>2012</v>
      </c>
      <c r="N34" s="21">
        <f t="shared" ca="1" si="4"/>
        <v>2012</v>
      </c>
      <c r="O34" s="21">
        <f t="shared" ca="1" si="4"/>
        <v>2012</v>
      </c>
      <c r="P34" s="21">
        <f t="shared" ca="1" si="4"/>
        <v>2012</v>
      </c>
      <c r="Q34" s="21">
        <f t="shared" ca="1" si="4"/>
        <v>2012</v>
      </c>
      <c r="R34" s="21">
        <f t="shared" ca="1" si="4"/>
        <v>2012</v>
      </c>
      <c r="S34" s="21">
        <f t="shared" ca="1" si="4"/>
        <v>2012</v>
      </c>
      <c r="T34" s="21">
        <f t="shared" ca="1" si="4"/>
        <v>2012</v>
      </c>
      <c r="U34" s="21">
        <f t="shared" ca="1" si="3"/>
        <v>2012</v>
      </c>
      <c r="V34" s="21">
        <f t="shared" ca="1" si="3"/>
        <v>2012</v>
      </c>
      <c r="W34" s="21">
        <f t="shared" ca="1" si="3"/>
        <v>2012</v>
      </c>
      <c r="X34" s="21">
        <f t="shared" ca="1" si="3"/>
        <v>2012</v>
      </c>
      <c r="Y34" s="21">
        <f t="shared" ca="1" si="3"/>
        <v>2012</v>
      </c>
      <c r="Z34" s="21">
        <f t="shared" ca="1" si="3"/>
        <v>2012</v>
      </c>
      <c r="AA34" s="21">
        <f t="shared" ca="1" si="3"/>
        <v>2012</v>
      </c>
      <c r="AB34" s="21">
        <f t="shared" ca="1" si="3"/>
        <v>2012</v>
      </c>
      <c r="AC34" s="21">
        <f t="shared" ca="1" si="3"/>
        <v>2012</v>
      </c>
      <c r="AD34" s="21">
        <f t="shared" ca="1" si="3"/>
        <v>2012</v>
      </c>
    </row>
    <row r="35" spans="2:30" ht="10.9" thickBot="1" x14ac:dyDescent="0.25">
      <c r="B35" s="1" t="str">
        <f>tblIndicators!B33</f>
        <v>ROAD21</v>
      </c>
      <c r="C35" s="1">
        <f>tblIndicators!E33</f>
        <v>1</v>
      </c>
      <c r="D35" s="19" t="str">
        <f>tblIndicators!O33</f>
        <v>Retail price diesel oil</v>
      </c>
      <c r="E35" s="21">
        <f t="shared" ca="1" si="4"/>
        <v>2012</v>
      </c>
      <c r="F35" s="21">
        <f t="shared" ca="1" si="4"/>
        <v>2012</v>
      </c>
      <c r="G35" s="21">
        <f t="shared" ca="1" si="4"/>
        <v>2012</v>
      </c>
      <c r="H35" s="21">
        <f t="shared" ca="1" si="4"/>
        <v>2012</v>
      </c>
      <c r="I35" s="21">
        <f t="shared" ca="1" si="4"/>
        <v>2012</v>
      </c>
      <c r="J35" s="21">
        <f t="shared" ca="1" si="4"/>
        <v>2012</v>
      </c>
      <c r="K35" s="21">
        <f t="shared" ca="1" si="4"/>
        <v>2012</v>
      </c>
      <c r="L35" s="21">
        <f t="shared" ca="1" si="4"/>
        <v>2012</v>
      </c>
      <c r="M35" s="21">
        <f t="shared" ca="1" si="4"/>
        <v>2012</v>
      </c>
      <c r="N35" s="21">
        <f t="shared" ca="1" si="4"/>
        <v>2012</v>
      </c>
      <c r="O35" s="21">
        <f t="shared" ca="1" si="4"/>
        <v>2012</v>
      </c>
      <c r="P35" s="21">
        <f t="shared" ca="1" si="4"/>
        <v>2012</v>
      </c>
      <c r="Q35" s="21">
        <f t="shared" ca="1" si="4"/>
        <v>2012</v>
      </c>
      <c r="R35" s="21">
        <f t="shared" ca="1" si="4"/>
        <v>2012</v>
      </c>
      <c r="S35" s="21">
        <f t="shared" ca="1" si="4"/>
        <v>2012</v>
      </c>
      <c r="T35" s="21">
        <f t="shared" ca="1" si="4"/>
        <v>2012</v>
      </c>
      <c r="U35" s="21">
        <f t="shared" ca="1" si="3"/>
        <v>2012</v>
      </c>
      <c r="V35" s="21">
        <f t="shared" ca="1" si="3"/>
        <v>2012</v>
      </c>
      <c r="W35" s="21">
        <f t="shared" ca="1" si="3"/>
        <v>2012</v>
      </c>
      <c r="X35" s="21">
        <f t="shared" ca="1" si="3"/>
        <v>2012</v>
      </c>
      <c r="Y35" s="21">
        <f t="shared" ca="1" si="3"/>
        <v>2012</v>
      </c>
      <c r="Z35" s="21">
        <f t="shared" ca="1" si="3"/>
        <v>2012</v>
      </c>
      <c r="AA35" s="21">
        <f t="shared" ca="1" si="3"/>
        <v>2012</v>
      </c>
      <c r="AB35" s="21" t="e">
        <f t="shared" ca="1" si="3"/>
        <v>#N/A</v>
      </c>
      <c r="AC35" s="21">
        <f t="shared" ca="1" si="3"/>
        <v>2012</v>
      </c>
      <c r="AD35" s="21">
        <f t="shared" ca="1" si="3"/>
        <v>2012</v>
      </c>
    </row>
    <row r="36" spans="2:30" ht="10.9" thickBot="1" x14ac:dyDescent="0.25">
      <c r="B36" s="1" t="str">
        <f>tblIndicators!B34</f>
        <v>ROAD22</v>
      </c>
      <c r="C36" s="1">
        <f>tblIndicators!E34</f>
        <v>1</v>
      </c>
      <c r="D36" s="19" t="str">
        <f>tblIndicators!O34</f>
        <v>Retail price gasoline</v>
      </c>
      <c r="E36" s="21">
        <f t="shared" ca="1" si="4"/>
        <v>2012</v>
      </c>
      <c r="F36" s="21">
        <f t="shared" ca="1" si="4"/>
        <v>2012</v>
      </c>
      <c r="G36" s="21">
        <f t="shared" ca="1" si="4"/>
        <v>2012</v>
      </c>
      <c r="H36" s="21">
        <f t="shared" ca="1" si="4"/>
        <v>2012</v>
      </c>
      <c r="I36" s="21">
        <f t="shared" ca="1" si="4"/>
        <v>2012</v>
      </c>
      <c r="J36" s="21">
        <f t="shared" ca="1" si="4"/>
        <v>2012</v>
      </c>
      <c r="K36" s="21">
        <f t="shared" ca="1" si="4"/>
        <v>2012</v>
      </c>
      <c r="L36" s="21">
        <f t="shared" ca="1" si="4"/>
        <v>2012</v>
      </c>
      <c r="M36" s="21">
        <f t="shared" ca="1" si="4"/>
        <v>2012</v>
      </c>
      <c r="N36" s="21">
        <f t="shared" ca="1" si="4"/>
        <v>2012</v>
      </c>
      <c r="O36" s="21">
        <f t="shared" ca="1" si="4"/>
        <v>2012</v>
      </c>
      <c r="P36" s="21">
        <f t="shared" ca="1" si="4"/>
        <v>2012</v>
      </c>
      <c r="Q36" s="21">
        <f t="shared" ca="1" si="4"/>
        <v>2012</v>
      </c>
      <c r="R36" s="21">
        <f t="shared" ca="1" si="4"/>
        <v>2012</v>
      </c>
      <c r="S36" s="21">
        <f t="shared" ca="1" si="4"/>
        <v>2012</v>
      </c>
      <c r="T36" s="21">
        <f t="shared" ca="1" si="4"/>
        <v>2012</v>
      </c>
      <c r="U36" s="21">
        <f t="shared" ca="1" si="3"/>
        <v>2012</v>
      </c>
      <c r="V36" s="21">
        <f t="shared" ca="1" si="3"/>
        <v>2012</v>
      </c>
      <c r="W36" s="21">
        <f t="shared" ca="1" si="3"/>
        <v>2012</v>
      </c>
      <c r="X36" s="21">
        <f t="shared" ca="1" si="3"/>
        <v>2012</v>
      </c>
      <c r="Y36" s="21">
        <f t="shared" ca="1" si="3"/>
        <v>2012</v>
      </c>
      <c r="Z36" s="21">
        <f t="shared" ca="1" si="3"/>
        <v>2012</v>
      </c>
      <c r="AA36" s="21">
        <f t="shared" ca="1" si="3"/>
        <v>2012</v>
      </c>
      <c r="AB36" s="21" t="e">
        <f t="shared" ca="1" si="3"/>
        <v>#N/A</v>
      </c>
      <c r="AC36" s="21">
        <f t="shared" ca="1" si="3"/>
        <v>2012</v>
      </c>
      <c r="AD36" s="21">
        <f t="shared" ca="1" si="3"/>
        <v>2012</v>
      </c>
    </row>
    <row r="37" spans="2:30" ht="12" thickBot="1" x14ac:dyDescent="0.25">
      <c r="B37" s="1" t="str">
        <f>tblIndicators!B35</f>
        <v>ROAD23</v>
      </c>
      <c r="C37" s="1">
        <f>tblIndicators!E35</f>
        <v>1</v>
      </c>
      <c r="D37" s="19" t="str">
        <f>tblIndicators!O35</f>
        <v>Estimated CO2 emissions road transport</v>
      </c>
      <c r="E37" s="21">
        <f t="shared" ca="1" si="4"/>
        <v>2012</v>
      </c>
      <c r="F37" s="21">
        <f t="shared" ca="1" si="4"/>
        <v>2012</v>
      </c>
      <c r="G37" s="21">
        <f t="shared" ca="1" si="4"/>
        <v>2012</v>
      </c>
      <c r="H37" s="21">
        <f t="shared" ca="1" si="4"/>
        <v>2012</v>
      </c>
      <c r="I37" s="21">
        <f t="shared" ca="1" si="4"/>
        <v>2012</v>
      </c>
      <c r="J37" s="21">
        <f t="shared" ca="1" si="4"/>
        <v>2012</v>
      </c>
      <c r="K37" s="21">
        <f t="shared" ca="1" si="4"/>
        <v>2012</v>
      </c>
      <c r="L37" s="21">
        <f t="shared" ca="1" si="4"/>
        <v>2012</v>
      </c>
      <c r="M37" s="21">
        <f t="shared" ca="1" si="4"/>
        <v>2012</v>
      </c>
      <c r="N37" s="21">
        <f t="shared" ca="1" si="4"/>
        <v>2012</v>
      </c>
      <c r="O37" s="21">
        <f t="shared" ca="1" si="4"/>
        <v>2012</v>
      </c>
      <c r="P37" s="21">
        <f t="shared" ca="1" si="4"/>
        <v>2012</v>
      </c>
      <c r="Q37" s="21">
        <f t="shared" ca="1" si="4"/>
        <v>2012</v>
      </c>
      <c r="R37" s="21">
        <f t="shared" ca="1" si="4"/>
        <v>2012</v>
      </c>
      <c r="S37" s="21">
        <f t="shared" ca="1" si="4"/>
        <v>2012</v>
      </c>
      <c r="T37" s="21">
        <f t="shared" ca="1" si="4"/>
        <v>2012</v>
      </c>
      <c r="U37" s="21">
        <f t="shared" ca="1" si="3"/>
        <v>2012</v>
      </c>
      <c r="V37" s="21">
        <f t="shared" ca="1" si="3"/>
        <v>2012</v>
      </c>
      <c r="W37" s="21">
        <f t="shared" ca="1" si="3"/>
        <v>2012</v>
      </c>
      <c r="X37" s="21">
        <f t="shared" ca="1" si="3"/>
        <v>2012</v>
      </c>
      <c r="Y37" s="21">
        <f t="shared" ca="1" si="3"/>
        <v>2012</v>
      </c>
      <c r="Z37" s="21">
        <f t="shared" ca="1" si="3"/>
        <v>2012</v>
      </c>
      <c r="AA37" s="21">
        <f t="shared" ca="1" si="3"/>
        <v>2012</v>
      </c>
      <c r="AB37" s="21">
        <f t="shared" ca="1" si="3"/>
        <v>2012</v>
      </c>
      <c r="AC37" s="21">
        <f t="shared" ca="1" si="3"/>
        <v>2012</v>
      </c>
      <c r="AD37" s="21">
        <f t="shared" ca="1" si="3"/>
        <v>2012</v>
      </c>
    </row>
    <row r="38" spans="2:30" ht="12" thickBot="1" x14ac:dyDescent="0.25">
      <c r="B38" s="1" t="str">
        <f>tblIndicators!B36</f>
        <v>ROAD24</v>
      </c>
      <c r="C38" s="1">
        <f>tblIndicators!E36</f>
        <v>1</v>
      </c>
      <c r="D38" s="19" t="str">
        <f>tblIndicators!O36</f>
        <v>Domestic road freight productivity</v>
      </c>
      <c r="E38" s="21">
        <f t="shared" ca="1" si="4"/>
        <v>2012</v>
      </c>
      <c r="F38" s="21" t="e">
        <f t="shared" ca="1" si="4"/>
        <v>#N/A</v>
      </c>
      <c r="G38" s="21" t="e">
        <f t="shared" ca="1" si="4"/>
        <v>#N/A</v>
      </c>
      <c r="H38" s="21">
        <f t="shared" ca="1" si="4"/>
        <v>2012</v>
      </c>
      <c r="I38" s="21" t="e">
        <f t="shared" ca="1" si="4"/>
        <v>#N/A</v>
      </c>
      <c r="J38" s="21">
        <f t="shared" ca="1" si="4"/>
        <v>2012</v>
      </c>
      <c r="K38" s="21" t="e">
        <f t="shared" ca="1" si="4"/>
        <v>#N/A</v>
      </c>
      <c r="L38" s="21">
        <f t="shared" ca="1" si="4"/>
        <v>2012</v>
      </c>
      <c r="M38" s="21">
        <f t="shared" ca="1" si="4"/>
        <v>2012</v>
      </c>
      <c r="N38" s="21" t="e">
        <f t="shared" ca="1" si="4"/>
        <v>#N/A</v>
      </c>
      <c r="O38" s="21">
        <f t="shared" ca="1" si="4"/>
        <v>2012</v>
      </c>
      <c r="P38" s="21">
        <f t="shared" ca="1" si="4"/>
        <v>2012</v>
      </c>
      <c r="Q38" s="21" t="e">
        <f t="shared" ca="1" si="4"/>
        <v>#N/A</v>
      </c>
      <c r="R38" s="21" t="e">
        <f t="shared" ca="1" si="4"/>
        <v>#N/A</v>
      </c>
      <c r="S38" s="21">
        <f t="shared" ca="1" si="4"/>
        <v>2012</v>
      </c>
      <c r="T38" s="21" t="e">
        <f t="shared" ca="1" si="4"/>
        <v>#N/A</v>
      </c>
      <c r="U38" s="21">
        <f t="shared" ca="1" si="3"/>
        <v>2012</v>
      </c>
      <c r="V38" s="21">
        <f t="shared" ca="1" si="3"/>
        <v>2012</v>
      </c>
      <c r="W38" s="21">
        <f t="shared" ca="1" si="3"/>
        <v>2012</v>
      </c>
      <c r="X38" s="21">
        <f t="shared" ca="1" si="3"/>
        <v>2012</v>
      </c>
      <c r="Y38" s="21" t="e">
        <f t="shared" ca="1" si="3"/>
        <v>#N/A</v>
      </c>
      <c r="Z38" s="21" t="e">
        <f t="shared" ca="1" si="3"/>
        <v>#N/A</v>
      </c>
      <c r="AA38" s="21" t="e">
        <f t="shared" ca="1" si="3"/>
        <v>#N/A</v>
      </c>
      <c r="AB38" s="21" t="e">
        <f t="shared" ca="1" si="3"/>
        <v>#N/A</v>
      </c>
      <c r="AC38" s="21">
        <f t="shared" ca="1" si="3"/>
        <v>2012</v>
      </c>
      <c r="AD38" s="21" t="e">
        <f t="shared" ca="1" si="3"/>
        <v>#N/A</v>
      </c>
    </row>
    <row r="39" spans="2:30" ht="12" thickBot="1" x14ac:dyDescent="0.25">
      <c r="B39" s="1" t="str">
        <f>tblIndicators!B37</f>
        <v>ROAD25</v>
      </c>
      <c r="C39" s="1">
        <f>tblIndicators!E37</f>
        <v>1</v>
      </c>
      <c r="D39" s="19" t="str">
        <f>tblIndicators!O37</f>
        <v>Domestic road freight carried</v>
      </c>
      <c r="E39" s="21">
        <f t="shared" ca="1" si="4"/>
        <v>2012</v>
      </c>
      <c r="F39" s="21" t="e">
        <f t="shared" ca="1" si="4"/>
        <v>#N/A</v>
      </c>
      <c r="G39" s="21" t="e">
        <f t="shared" ca="1" si="4"/>
        <v>#N/A</v>
      </c>
      <c r="H39" s="21">
        <f t="shared" ca="1" si="4"/>
        <v>2012</v>
      </c>
      <c r="I39" s="21" t="e">
        <f t="shared" ca="1" si="4"/>
        <v>#N/A</v>
      </c>
      <c r="J39" s="21">
        <f t="shared" ca="1" si="4"/>
        <v>2012</v>
      </c>
      <c r="K39" s="21">
        <f t="shared" ca="1" si="4"/>
        <v>2012</v>
      </c>
      <c r="L39" s="21">
        <f t="shared" ca="1" si="4"/>
        <v>2012</v>
      </c>
      <c r="M39" s="21">
        <f t="shared" ca="1" si="4"/>
        <v>2012</v>
      </c>
      <c r="N39" s="21" t="e">
        <f t="shared" ca="1" si="4"/>
        <v>#N/A</v>
      </c>
      <c r="O39" s="21">
        <f t="shared" ca="1" si="4"/>
        <v>2012</v>
      </c>
      <c r="P39" s="21">
        <f t="shared" ca="1" si="4"/>
        <v>2012</v>
      </c>
      <c r="Q39" s="21" t="e">
        <f t="shared" ca="1" si="4"/>
        <v>#N/A</v>
      </c>
      <c r="R39" s="21" t="e">
        <f t="shared" ca="1" si="4"/>
        <v>#N/A</v>
      </c>
      <c r="S39" s="21">
        <f t="shared" ca="1" si="4"/>
        <v>2012</v>
      </c>
      <c r="T39" s="21" t="e">
        <f t="shared" ca="1" si="4"/>
        <v>#N/A</v>
      </c>
      <c r="U39" s="21">
        <f t="shared" ca="1" si="3"/>
        <v>2012</v>
      </c>
      <c r="V39" s="21">
        <f t="shared" ca="1" si="3"/>
        <v>2012</v>
      </c>
      <c r="W39" s="21">
        <f t="shared" ca="1" si="3"/>
        <v>2012</v>
      </c>
      <c r="X39" s="21">
        <f t="shared" ca="1" si="3"/>
        <v>2012</v>
      </c>
      <c r="Y39" s="21" t="e">
        <f t="shared" ca="1" si="3"/>
        <v>#N/A</v>
      </c>
      <c r="Z39" s="21" t="e">
        <f t="shared" ca="1" si="3"/>
        <v>#N/A</v>
      </c>
      <c r="AA39" s="21" t="e">
        <f t="shared" ca="1" si="3"/>
        <v>#N/A</v>
      </c>
      <c r="AB39" s="21" t="e">
        <f t="shared" ca="1" si="3"/>
        <v>#N/A</v>
      </c>
      <c r="AC39" s="21">
        <f t="shared" ca="1" si="3"/>
        <v>2012</v>
      </c>
      <c r="AD39" s="21" t="e">
        <f t="shared" ca="1" si="3"/>
        <v>#N/A</v>
      </c>
    </row>
    <row r="40" spans="2:30" ht="12" thickBot="1" x14ac:dyDescent="0.25">
      <c r="B40" s="1" t="str">
        <f>tblIndicators!B38</f>
        <v>ROAD26</v>
      </c>
      <c r="C40" s="1">
        <f>tblIndicators!E38</f>
        <v>1</v>
      </c>
      <c r="D40" s="19" t="str">
        <f>tblIndicators!O38</f>
        <v>Median distance</v>
      </c>
      <c r="E40" s="21">
        <f t="shared" ca="1" si="4"/>
        <v>2012</v>
      </c>
      <c r="F40" s="21" t="e">
        <f t="shared" ca="1" si="4"/>
        <v>#N/A</v>
      </c>
      <c r="G40" s="21" t="e">
        <f t="shared" ca="1" si="4"/>
        <v>#N/A</v>
      </c>
      <c r="H40" s="21">
        <f t="shared" ca="1" si="4"/>
        <v>2012</v>
      </c>
      <c r="I40" s="21" t="e">
        <f t="shared" ca="1" si="4"/>
        <v>#N/A</v>
      </c>
      <c r="J40" s="21">
        <f t="shared" ca="1" si="4"/>
        <v>2012</v>
      </c>
      <c r="K40" s="21" t="e">
        <f t="shared" ca="1" si="4"/>
        <v>#N/A</v>
      </c>
      <c r="L40" s="21">
        <f t="shared" ca="1" si="4"/>
        <v>2012</v>
      </c>
      <c r="M40" s="21">
        <f t="shared" ca="1" si="4"/>
        <v>2012</v>
      </c>
      <c r="N40" s="21" t="e">
        <f t="shared" ca="1" si="4"/>
        <v>#N/A</v>
      </c>
      <c r="O40" s="21">
        <f t="shared" ca="1" si="4"/>
        <v>2012</v>
      </c>
      <c r="P40" s="21">
        <f t="shared" ca="1" si="4"/>
        <v>2012</v>
      </c>
      <c r="Q40" s="21">
        <f t="shared" ca="1" si="4"/>
        <v>2012</v>
      </c>
      <c r="R40" s="21" t="e">
        <f t="shared" ca="1" si="4"/>
        <v>#N/A</v>
      </c>
      <c r="S40" s="21">
        <f t="shared" ca="1" si="4"/>
        <v>2012</v>
      </c>
      <c r="T40" s="21" t="e">
        <f t="shared" ca="1" si="4"/>
        <v>#N/A</v>
      </c>
      <c r="U40" s="21">
        <f t="shared" ca="1" si="3"/>
        <v>2012</v>
      </c>
      <c r="V40" s="21">
        <f t="shared" ca="1" si="3"/>
        <v>2012</v>
      </c>
      <c r="W40" s="21">
        <f t="shared" ca="1" si="3"/>
        <v>2012</v>
      </c>
      <c r="X40" s="21">
        <f t="shared" ca="1" si="3"/>
        <v>2012</v>
      </c>
      <c r="Y40" s="21" t="e">
        <f t="shared" ca="1" si="3"/>
        <v>#N/A</v>
      </c>
      <c r="Z40" s="21" t="e">
        <f t="shared" ca="1" si="3"/>
        <v>#N/A</v>
      </c>
      <c r="AA40" s="21" t="e">
        <f t="shared" ca="1" si="3"/>
        <v>#N/A</v>
      </c>
      <c r="AB40" s="21" t="e">
        <f t="shared" ca="1" si="3"/>
        <v>#N/A</v>
      </c>
      <c r="AC40" s="21">
        <f t="shared" ca="1" si="3"/>
        <v>2012</v>
      </c>
      <c r="AD40" s="21" t="e">
        <f t="shared" ca="1" si="3"/>
        <v>#N/A</v>
      </c>
    </row>
    <row r="41" spans="2:30" ht="12" thickBot="1" x14ac:dyDescent="0.25">
      <c r="B41" s="1" t="str">
        <f>tblIndicators!B39</f>
        <v>ROAD27</v>
      </c>
      <c r="C41" s="1">
        <f>tblIndicators!E39</f>
        <v>1</v>
      </c>
      <c r="D41" s="19" t="str">
        <f>tblIndicators!O39</f>
        <v>Freight vehicle traffic -productivity</v>
      </c>
      <c r="E41" s="21" t="e">
        <f t="shared" ca="1" si="4"/>
        <v>#N/A</v>
      </c>
      <c r="F41" s="21" t="e">
        <f t="shared" ca="1" si="4"/>
        <v>#N/A</v>
      </c>
      <c r="G41" s="21" t="e">
        <f t="shared" ca="1" si="4"/>
        <v>#N/A</v>
      </c>
      <c r="H41" s="21">
        <f t="shared" ca="1" si="4"/>
        <v>2012</v>
      </c>
      <c r="I41" s="21" t="e">
        <f t="shared" ca="1" si="4"/>
        <v>#N/A</v>
      </c>
      <c r="J41" s="21">
        <f t="shared" ca="1" si="4"/>
        <v>2012</v>
      </c>
      <c r="K41" s="21" t="e">
        <f t="shared" ca="1" si="4"/>
        <v>#N/A</v>
      </c>
      <c r="L41" s="21">
        <f t="shared" ca="1" si="4"/>
        <v>2012</v>
      </c>
      <c r="M41" s="21">
        <f t="shared" ca="1" si="4"/>
        <v>2012</v>
      </c>
      <c r="N41" s="21" t="e">
        <f t="shared" ca="1" si="4"/>
        <v>#N/A</v>
      </c>
      <c r="O41" s="21">
        <f t="shared" ca="1" si="4"/>
        <v>2012</v>
      </c>
      <c r="P41" s="21">
        <f t="shared" ca="1" si="4"/>
        <v>2012</v>
      </c>
      <c r="Q41" s="21" t="e">
        <f t="shared" ca="1" si="4"/>
        <v>#N/A</v>
      </c>
      <c r="R41" s="21" t="e">
        <f t="shared" ca="1" si="4"/>
        <v>#N/A</v>
      </c>
      <c r="S41" s="21">
        <f t="shared" ca="1" si="4"/>
        <v>2012</v>
      </c>
      <c r="T41" s="21" t="e">
        <f t="shared" ca="1" si="4"/>
        <v>#N/A</v>
      </c>
      <c r="U41" s="21">
        <f t="shared" ca="1" si="3"/>
        <v>2012</v>
      </c>
      <c r="V41" s="21">
        <f t="shared" ca="1" si="3"/>
        <v>2012</v>
      </c>
      <c r="W41" s="21">
        <f t="shared" ca="1" si="3"/>
        <v>2012</v>
      </c>
      <c r="X41" s="21">
        <f t="shared" ca="1" si="3"/>
        <v>2012</v>
      </c>
      <c r="Y41" s="21" t="e">
        <f t="shared" ca="1" si="3"/>
        <v>#N/A</v>
      </c>
      <c r="Z41" s="21" t="e">
        <f t="shared" ca="1" si="3"/>
        <v>#N/A</v>
      </c>
      <c r="AA41" s="21" t="e">
        <f t="shared" ca="1" si="3"/>
        <v>#N/A</v>
      </c>
      <c r="AB41" s="21" t="e">
        <f t="shared" ca="1" si="3"/>
        <v>#N/A</v>
      </c>
      <c r="AC41" s="21">
        <f t="shared" ca="1" si="3"/>
        <v>2012</v>
      </c>
      <c r="AD41" s="21" t="e">
        <f t="shared" ca="1" si="3"/>
        <v>#N/A</v>
      </c>
    </row>
    <row r="42" spans="2:30" ht="12" thickBot="1" x14ac:dyDescent="0.25">
      <c r="B42" s="1" t="str">
        <f>tblIndicators!B40</f>
        <v>ROAD29</v>
      </c>
      <c r="C42" s="1">
        <f>tblIndicators!E40</f>
        <v>1</v>
      </c>
      <c r="D42" s="19" t="str">
        <f>tblIndicators!O40</f>
        <v>Annual average distance per vehicle</v>
      </c>
      <c r="E42" s="21">
        <f t="shared" ca="1" si="4"/>
        <v>2012</v>
      </c>
      <c r="F42" s="21" t="e">
        <f t="shared" ca="1" si="4"/>
        <v>#N/A</v>
      </c>
      <c r="G42" s="21" t="e">
        <f t="shared" ca="1" si="4"/>
        <v>#N/A</v>
      </c>
      <c r="H42" s="21">
        <f t="shared" ca="1" si="4"/>
        <v>2012</v>
      </c>
      <c r="I42" s="21" t="e">
        <f t="shared" ca="1" si="4"/>
        <v>#N/A</v>
      </c>
      <c r="J42" s="21">
        <f t="shared" ca="1" si="4"/>
        <v>2012</v>
      </c>
      <c r="K42" s="21" t="e">
        <f t="shared" ca="1" si="4"/>
        <v>#N/A</v>
      </c>
      <c r="L42" s="21">
        <f t="shared" ca="1" si="4"/>
        <v>2012</v>
      </c>
      <c r="M42" s="21">
        <f t="shared" ca="1" si="4"/>
        <v>2012</v>
      </c>
      <c r="N42" s="21">
        <f t="shared" ca="1" si="4"/>
        <v>2012</v>
      </c>
      <c r="O42" s="21">
        <f t="shared" ca="1" si="4"/>
        <v>2012</v>
      </c>
      <c r="P42" s="21">
        <f t="shared" ca="1" si="4"/>
        <v>2012</v>
      </c>
      <c r="Q42" s="21">
        <f t="shared" ca="1" si="4"/>
        <v>2012</v>
      </c>
      <c r="R42" s="21" t="e">
        <f t="shared" ca="1" si="4"/>
        <v>#N/A</v>
      </c>
      <c r="S42" s="21">
        <f t="shared" ca="1" si="4"/>
        <v>2012</v>
      </c>
      <c r="T42" s="21" t="e">
        <f t="shared" ca="1" si="4"/>
        <v>#N/A</v>
      </c>
      <c r="U42" s="21">
        <f t="shared" ca="1" si="3"/>
        <v>2012</v>
      </c>
      <c r="V42" s="21">
        <f t="shared" ca="1" si="3"/>
        <v>2012</v>
      </c>
      <c r="W42" s="21">
        <f t="shared" ca="1" si="3"/>
        <v>2012</v>
      </c>
      <c r="X42" s="21">
        <f t="shared" ca="1" si="3"/>
        <v>2012</v>
      </c>
      <c r="Y42" s="21">
        <f t="shared" ca="1" si="3"/>
        <v>2012</v>
      </c>
      <c r="Z42" s="21">
        <f t="shared" ca="1" si="3"/>
        <v>2012</v>
      </c>
      <c r="AA42" s="21" t="e">
        <f t="shared" ca="1" si="3"/>
        <v>#N/A</v>
      </c>
      <c r="AB42" s="21" t="e">
        <f t="shared" ca="1" si="3"/>
        <v>#N/A</v>
      </c>
      <c r="AC42" s="21">
        <f t="shared" ca="1" si="3"/>
        <v>2012</v>
      </c>
      <c r="AD42" s="21" t="e">
        <f t="shared" ca="1" si="3"/>
        <v>#N/A</v>
      </c>
    </row>
    <row r="43" spans="2:30" ht="12" thickBot="1" x14ac:dyDescent="0.25">
      <c r="B43" s="1" t="str">
        <f>tblIndicators!B41</f>
        <v>ROAD30</v>
      </c>
      <c r="C43" s="1">
        <f>tblIndicators!E41</f>
        <v>1</v>
      </c>
      <c r="D43" s="19" t="str">
        <f>tblIndicators!O41</f>
        <v>Empty hauls</v>
      </c>
      <c r="E43" s="21">
        <f t="shared" ca="1" si="4"/>
        <v>2012</v>
      </c>
      <c r="F43" s="21" t="e">
        <f t="shared" ca="1" si="4"/>
        <v>#N/A</v>
      </c>
      <c r="G43" s="21" t="e">
        <f t="shared" ca="1" si="4"/>
        <v>#N/A</v>
      </c>
      <c r="H43" s="21" t="e">
        <f t="shared" ca="1" si="4"/>
        <v>#N/A</v>
      </c>
      <c r="I43" s="21" t="e">
        <f t="shared" ca="1" si="4"/>
        <v>#N/A</v>
      </c>
      <c r="J43" s="21">
        <f t="shared" ca="1" si="4"/>
        <v>2012</v>
      </c>
      <c r="K43" s="21" t="e">
        <f t="shared" ca="1" si="4"/>
        <v>#N/A</v>
      </c>
      <c r="L43" s="21">
        <f t="shared" ca="1" si="4"/>
        <v>2012</v>
      </c>
      <c r="M43" s="21">
        <f t="shared" ca="1" si="4"/>
        <v>2012</v>
      </c>
      <c r="N43" s="21" t="e">
        <f t="shared" ca="1" si="4"/>
        <v>#N/A</v>
      </c>
      <c r="O43" s="21">
        <f t="shared" ca="1" si="4"/>
        <v>2012</v>
      </c>
      <c r="P43" s="21">
        <f t="shared" ca="1" si="4"/>
        <v>2012</v>
      </c>
      <c r="Q43" s="21" t="e">
        <f t="shared" ca="1" si="4"/>
        <v>#N/A</v>
      </c>
      <c r="R43" s="21" t="e">
        <f t="shared" ca="1" si="4"/>
        <v>#N/A</v>
      </c>
      <c r="S43" s="21" t="e">
        <f t="shared" ca="1" si="4"/>
        <v>#N/A</v>
      </c>
      <c r="T43" s="21" t="e">
        <f t="shared" ca="1" si="4"/>
        <v>#N/A</v>
      </c>
      <c r="U43" s="21">
        <f t="shared" ca="1" si="3"/>
        <v>2012</v>
      </c>
      <c r="V43" s="21" t="e">
        <f t="shared" ca="1" si="3"/>
        <v>#N/A</v>
      </c>
      <c r="W43" s="21" t="e">
        <f t="shared" ca="1" si="3"/>
        <v>#N/A</v>
      </c>
      <c r="X43" s="21">
        <f t="shared" ca="1" si="3"/>
        <v>2012</v>
      </c>
      <c r="Y43" s="21" t="e">
        <f t="shared" ca="1" si="3"/>
        <v>#N/A</v>
      </c>
      <c r="Z43" s="21">
        <f t="shared" ca="1" si="3"/>
        <v>2012</v>
      </c>
      <c r="AA43" s="21" t="e">
        <f t="shared" ca="1" si="3"/>
        <v>#N/A</v>
      </c>
      <c r="AB43" s="21" t="e">
        <f t="shared" ca="1" si="3"/>
        <v>#N/A</v>
      </c>
      <c r="AC43" s="21">
        <f t="shared" ca="1" si="3"/>
        <v>2012</v>
      </c>
      <c r="AD43" s="21" t="e">
        <f t="shared" ca="1" si="3"/>
        <v>#N/A</v>
      </c>
    </row>
    <row r="44" spans="2:30" ht="12" thickBot="1" x14ac:dyDescent="0.25">
      <c r="B44" s="1" t="str">
        <f>tblIndicators!B42</f>
        <v>ROAD32</v>
      </c>
      <c r="C44" s="1">
        <f>tblIndicators!E42</f>
        <v>1</v>
      </c>
      <c r="D44" s="19" t="str">
        <f>tblIndicators!O42</f>
        <v>Average road freight tariff</v>
      </c>
      <c r="E44" s="21">
        <f t="shared" ca="1" si="4"/>
        <v>2012</v>
      </c>
      <c r="F44" s="21">
        <f t="shared" ca="1" si="4"/>
        <v>2012</v>
      </c>
      <c r="G44" s="21">
        <f t="shared" ca="1" si="4"/>
        <v>2012</v>
      </c>
      <c r="H44" s="21">
        <f t="shared" ca="1" si="4"/>
        <v>2012</v>
      </c>
      <c r="I44" s="21">
        <f t="shared" ca="1" si="4"/>
        <v>2012</v>
      </c>
      <c r="J44" s="21">
        <f t="shared" ca="1" si="4"/>
        <v>2012</v>
      </c>
      <c r="K44" s="21">
        <f t="shared" ca="1" si="4"/>
        <v>2012</v>
      </c>
      <c r="L44" s="21">
        <f t="shared" ca="1" si="4"/>
        <v>2012</v>
      </c>
      <c r="M44" s="21">
        <f t="shared" ca="1" si="4"/>
        <v>2012</v>
      </c>
      <c r="N44" s="21">
        <f t="shared" ca="1" si="4"/>
        <v>2012</v>
      </c>
      <c r="O44" s="21">
        <f t="shared" ca="1" si="4"/>
        <v>2012</v>
      </c>
      <c r="P44" s="21">
        <f t="shared" ca="1" si="4"/>
        <v>2012</v>
      </c>
      <c r="Q44" s="21">
        <f t="shared" ca="1" si="4"/>
        <v>2012</v>
      </c>
      <c r="R44" s="21">
        <f t="shared" ca="1" si="4"/>
        <v>2012</v>
      </c>
      <c r="S44" s="21">
        <f t="shared" ca="1" si="4"/>
        <v>2012</v>
      </c>
      <c r="T44" s="21">
        <f t="shared" ca="1" si="4"/>
        <v>2012</v>
      </c>
      <c r="U44" s="21">
        <f t="shared" ca="1" si="3"/>
        <v>2012</v>
      </c>
      <c r="V44" s="21">
        <f t="shared" ca="1" si="3"/>
        <v>2012</v>
      </c>
      <c r="W44" s="21">
        <f t="shared" ca="1" si="3"/>
        <v>2012</v>
      </c>
      <c r="X44" s="21" t="e">
        <f t="shared" ca="1" si="3"/>
        <v>#N/A</v>
      </c>
      <c r="Y44" s="21">
        <f t="shared" ca="1" si="3"/>
        <v>2012</v>
      </c>
      <c r="Z44" s="21">
        <f t="shared" ca="1" si="3"/>
        <v>2012</v>
      </c>
      <c r="AA44" s="21">
        <f t="shared" ca="1" si="3"/>
        <v>2012</v>
      </c>
      <c r="AB44" s="21">
        <f t="shared" ca="1" si="3"/>
        <v>2012</v>
      </c>
      <c r="AC44" s="21">
        <f t="shared" ca="1" si="3"/>
        <v>2012</v>
      </c>
      <c r="AD44" s="21">
        <f t="shared" ca="1" si="3"/>
        <v>2012</v>
      </c>
    </row>
    <row r="45" spans="2:30" ht="15.75" thickBot="1" x14ac:dyDescent="0.3">
      <c r="B45" s="1" t="str">
        <f>tblIndicators!B43</f>
        <v>RAIL</v>
      </c>
      <c r="C45" s="1">
        <f>tblIndicators!E43</f>
        <v>0</v>
      </c>
      <c r="D45" s="20" t="str">
        <f>tblIndicators!O43</f>
        <v>Railway transportation</v>
      </c>
      <c r="E45" s="21" t="str">
        <f t="shared" ca="1" si="4"/>
        <v/>
      </c>
      <c r="F45" s="21" t="str">
        <f t="shared" ca="1" si="4"/>
        <v/>
      </c>
      <c r="G45" s="21" t="str">
        <f t="shared" ca="1" si="4"/>
        <v/>
      </c>
      <c r="H45" s="21" t="str">
        <f t="shared" ca="1" si="4"/>
        <v/>
      </c>
      <c r="I45" s="21" t="str">
        <f t="shared" ca="1" si="4"/>
        <v/>
      </c>
      <c r="J45" s="21" t="str">
        <f t="shared" ca="1" si="4"/>
        <v/>
      </c>
      <c r="K45" s="21" t="str">
        <f t="shared" ca="1" si="4"/>
        <v/>
      </c>
      <c r="L45" s="21" t="str">
        <f t="shared" ca="1" si="4"/>
        <v/>
      </c>
      <c r="M45" s="21" t="str">
        <f t="shared" ca="1" si="4"/>
        <v/>
      </c>
      <c r="N45" s="21" t="str">
        <f t="shared" ca="1" si="4"/>
        <v/>
      </c>
      <c r="O45" s="21" t="str">
        <f t="shared" ca="1" si="4"/>
        <v/>
      </c>
      <c r="P45" s="21" t="str">
        <f t="shared" ca="1" si="4"/>
        <v/>
      </c>
      <c r="Q45" s="21" t="str">
        <f t="shared" ca="1" si="4"/>
        <v/>
      </c>
      <c r="R45" s="21" t="str">
        <f t="shared" ca="1" si="4"/>
        <v/>
      </c>
      <c r="S45" s="21" t="str">
        <f t="shared" ca="1" si="4"/>
        <v/>
      </c>
      <c r="T45" s="21" t="str">
        <f t="shared" ca="1" si="4"/>
        <v/>
      </c>
      <c r="U45" s="21" t="str">
        <f t="shared" ca="1" si="3"/>
        <v/>
      </c>
      <c r="V45" s="21" t="str">
        <f t="shared" ca="1" si="3"/>
        <v/>
      </c>
      <c r="W45" s="21" t="str">
        <f t="shared" ca="1" si="3"/>
        <v/>
      </c>
      <c r="X45" s="21" t="str">
        <f t="shared" ca="1" si="3"/>
        <v/>
      </c>
      <c r="Y45" s="21" t="str">
        <f t="shared" ca="1" si="3"/>
        <v/>
      </c>
      <c r="Z45" s="21" t="str">
        <f t="shared" ref="U45:AD70" ca="1" si="5">IF($C45=0,"",INDEX(OFFSET(lu_DataCode,0,3),MATCH(CONCATENATE(Z$2,"_",$B45),lu_DataCode,0)))</f>
        <v/>
      </c>
      <c r="AA45" s="21" t="str">
        <f t="shared" ca="1" si="5"/>
        <v/>
      </c>
      <c r="AB45" s="21" t="str">
        <f t="shared" ca="1" si="5"/>
        <v/>
      </c>
      <c r="AC45" s="21" t="str">
        <f t="shared" ca="1" si="5"/>
        <v/>
      </c>
      <c r="AD45" s="21" t="str">
        <f t="shared" ca="1" si="5"/>
        <v/>
      </c>
    </row>
    <row r="46" spans="2:30" ht="12" thickBot="1" x14ac:dyDescent="0.25">
      <c r="B46" s="1" t="str">
        <f>tblIndicators!B44</f>
        <v>RAIL01</v>
      </c>
      <c r="C46" s="1">
        <f>tblIndicators!E44</f>
        <v>1</v>
      </c>
      <c r="D46" s="19" t="str">
        <f>tblIndicators!O44</f>
        <v>Railway network</v>
      </c>
      <c r="E46" s="21">
        <f t="shared" ca="1" si="4"/>
        <v>2012</v>
      </c>
      <c r="F46" s="21" t="e">
        <f t="shared" ca="1" si="4"/>
        <v>#N/A</v>
      </c>
      <c r="G46" s="21" t="e">
        <f t="shared" ca="1" si="4"/>
        <v>#N/A</v>
      </c>
      <c r="H46" s="21" t="e">
        <f t="shared" ref="E46:T62" ca="1" si="6">IF($C46=0,"",INDEX(OFFSET(lu_DataCode,0,3),MATCH(CONCATENATE(H$2,"_",$B46),lu_DataCode,0)))</f>
        <v>#N/A</v>
      </c>
      <c r="I46" s="21">
        <f t="shared" ca="1" si="6"/>
        <v>2012</v>
      </c>
      <c r="J46" s="21">
        <f t="shared" ca="1" si="6"/>
        <v>2012</v>
      </c>
      <c r="K46" s="21">
        <f t="shared" ca="1" si="6"/>
        <v>2012</v>
      </c>
      <c r="L46" s="21">
        <f t="shared" ca="1" si="6"/>
        <v>2012</v>
      </c>
      <c r="M46" s="21">
        <f t="shared" ca="1" si="6"/>
        <v>2012</v>
      </c>
      <c r="N46" s="21">
        <f t="shared" ca="1" si="6"/>
        <v>2012</v>
      </c>
      <c r="O46" s="21">
        <f t="shared" ca="1" si="6"/>
        <v>2012</v>
      </c>
      <c r="P46" s="21" t="e">
        <f t="shared" ca="1" si="6"/>
        <v>#N/A</v>
      </c>
      <c r="Q46" s="21">
        <f t="shared" ca="1" si="6"/>
        <v>2012</v>
      </c>
      <c r="R46" s="21" t="e">
        <f t="shared" ca="1" si="6"/>
        <v>#N/A</v>
      </c>
      <c r="S46" s="21" t="e">
        <f t="shared" ca="1" si="6"/>
        <v>#N/A</v>
      </c>
      <c r="T46" s="21">
        <f t="shared" ca="1" si="6"/>
        <v>2012</v>
      </c>
      <c r="U46" s="21">
        <f t="shared" ca="1" si="5"/>
        <v>2012</v>
      </c>
      <c r="V46" s="21" t="e">
        <f t="shared" ca="1" si="5"/>
        <v>#N/A</v>
      </c>
      <c r="W46" s="21">
        <f t="shared" ca="1" si="5"/>
        <v>2012</v>
      </c>
      <c r="X46" s="21" t="e">
        <f t="shared" ca="1" si="5"/>
        <v>#N/A</v>
      </c>
      <c r="Y46" s="21">
        <f t="shared" ca="1" si="5"/>
        <v>2012</v>
      </c>
      <c r="Z46" s="21" t="e">
        <f t="shared" ca="1" si="5"/>
        <v>#N/A</v>
      </c>
      <c r="AA46" s="21" t="e">
        <f t="shared" ca="1" si="5"/>
        <v>#N/A</v>
      </c>
      <c r="AB46" s="21" t="e">
        <f t="shared" ca="1" si="5"/>
        <v>#N/A</v>
      </c>
      <c r="AC46" s="21">
        <f t="shared" ca="1" si="5"/>
        <v>2012</v>
      </c>
      <c r="AD46" s="21" t="e">
        <f t="shared" ca="1" si="5"/>
        <v>#N/A</v>
      </c>
    </row>
    <row r="47" spans="2:30" ht="12" thickBot="1" x14ac:dyDescent="0.25">
      <c r="B47" s="1" t="str">
        <f>tblIndicators!B45</f>
        <v>RAIL02</v>
      </c>
      <c r="C47" s="1">
        <f>tblIndicators!E45</f>
        <v>1</v>
      </c>
      <c r="D47" s="19" t="str">
        <f>tblIndicators!O45</f>
        <v>Railway network with two or more tracks</v>
      </c>
      <c r="E47" s="21" t="e">
        <f t="shared" ca="1" si="6"/>
        <v>#N/A</v>
      </c>
      <c r="F47" s="21" t="e">
        <f t="shared" ca="1" si="6"/>
        <v>#N/A</v>
      </c>
      <c r="G47" s="21" t="e">
        <f t="shared" ca="1" si="6"/>
        <v>#N/A</v>
      </c>
      <c r="H47" s="21" t="e">
        <f t="shared" ca="1" si="6"/>
        <v>#N/A</v>
      </c>
      <c r="I47" s="21" t="e">
        <f t="shared" ca="1" si="6"/>
        <v>#N/A</v>
      </c>
      <c r="J47" s="21" t="e">
        <f t="shared" ca="1" si="6"/>
        <v>#N/A</v>
      </c>
      <c r="K47" s="21" t="e">
        <f t="shared" ca="1" si="6"/>
        <v>#N/A</v>
      </c>
      <c r="L47" s="21" t="e">
        <f t="shared" ca="1" si="6"/>
        <v>#N/A</v>
      </c>
      <c r="M47" s="21" t="e">
        <f t="shared" ca="1" si="6"/>
        <v>#N/A</v>
      </c>
      <c r="N47" s="21" t="e">
        <f t="shared" ca="1" si="6"/>
        <v>#N/A</v>
      </c>
      <c r="O47" s="21" t="e">
        <f t="shared" ca="1" si="6"/>
        <v>#N/A</v>
      </c>
      <c r="P47" s="21" t="e">
        <f t="shared" ca="1" si="6"/>
        <v>#N/A</v>
      </c>
      <c r="Q47" s="21" t="e">
        <f t="shared" ca="1" si="6"/>
        <v>#N/A</v>
      </c>
      <c r="R47" s="21" t="e">
        <f t="shared" ca="1" si="6"/>
        <v>#N/A</v>
      </c>
      <c r="S47" s="21" t="e">
        <f t="shared" ca="1" si="6"/>
        <v>#N/A</v>
      </c>
      <c r="T47" s="21" t="e">
        <f t="shared" ca="1" si="6"/>
        <v>#N/A</v>
      </c>
      <c r="U47" s="21">
        <f t="shared" ca="1" si="5"/>
        <v>2012</v>
      </c>
      <c r="V47" s="21" t="e">
        <f t="shared" ca="1" si="5"/>
        <v>#N/A</v>
      </c>
      <c r="W47" s="21" t="e">
        <f t="shared" ca="1" si="5"/>
        <v>#N/A</v>
      </c>
      <c r="X47" s="21" t="e">
        <f t="shared" ca="1" si="5"/>
        <v>#N/A</v>
      </c>
      <c r="Y47" s="21" t="e">
        <f t="shared" ca="1" si="5"/>
        <v>#N/A</v>
      </c>
      <c r="Z47" s="21" t="e">
        <f t="shared" ca="1" si="5"/>
        <v>#N/A</v>
      </c>
      <c r="AA47" s="21" t="e">
        <f t="shared" ca="1" si="5"/>
        <v>#N/A</v>
      </c>
      <c r="AB47" s="21" t="e">
        <f t="shared" ca="1" si="5"/>
        <v>#N/A</v>
      </c>
      <c r="AC47" s="21">
        <f t="shared" ca="1" si="5"/>
        <v>2012</v>
      </c>
      <c r="AD47" s="21" t="e">
        <f t="shared" ca="1" si="5"/>
        <v>#N/A</v>
      </c>
    </row>
    <row r="48" spans="2:30" ht="12" thickBot="1" x14ac:dyDescent="0.25">
      <c r="B48" s="1" t="str">
        <f>tblIndicators!B46</f>
        <v>RAIL03</v>
      </c>
      <c r="C48" s="1">
        <f>tblIndicators!E46</f>
        <v>1</v>
      </c>
      <c r="D48" s="19" t="str">
        <f>tblIndicators!O46</f>
        <v>Electrified railway network</v>
      </c>
      <c r="E48" s="21" t="e">
        <f t="shared" ca="1" si="6"/>
        <v>#N/A</v>
      </c>
      <c r="F48" s="21" t="e">
        <f t="shared" ca="1" si="6"/>
        <v>#N/A</v>
      </c>
      <c r="G48" s="21" t="e">
        <f t="shared" ca="1" si="6"/>
        <v>#N/A</v>
      </c>
      <c r="H48" s="21" t="e">
        <f t="shared" ca="1" si="6"/>
        <v>#N/A</v>
      </c>
      <c r="I48" s="21" t="e">
        <f t="shared" ca="1" si="6"/>
        <v>#N/A</v>
      </c>
      <c r="J48" s="21" t="e">
        <f t="shared" ca="1" si="6"/>
        <v>#N/A</v>
      </c>
      <c r="K48" s="21" t="e">
        <f t="shared" ca="1" si="6"/>
        <v>#N/A</v>
      </c>
      <c r="L48" s="21" t="e">
        <f t="shared" ca="1" si="6"/>
        <v>#N/A</v>
      </c>
      <c r="M48" s="21" t="e">
        <f t="shared" ca="1" si="6"/>
        <v>#N/A</v>
      </c>
      <c r="N48" s="21" t="e">
        <f t="shared" ca="1" si="6"/>
        <v>#N/A</v>
      </c>
      <c r="O48" s="21" t="e">
        <f t="shared" ca="1" si="6"/>
        <v>#N/A</v>
      </c>
      <c r="P48" s="21" t="e">
        <f t="shared" ca="1" si="6"/>
        <v>#N/A</v>
      </c>
      <c r="Q48" s="21" t="e">
        <f t="shared" ca="1" si="6"/>
        <v>#N/A</v>
      </c>
      <c r="R48" s="21" t="e">
        <f t="shared" ca="1" si="6"/>
        <v>#N/A</v>
      </c>
      <c r="S48" s="21" t="e">
        <f t="shared" ca="1" si="6"/>
        <v>#N/A</v>
      </c>
      <c r="T48" s="21" t="e">
        <f t="shared" ca="1" si="6"/>
        <v>#N/A</v>
      </c>
      <c r="U48" s="21" t="e">
        <f t="shared" ca="1" si="5"/>
        <v>#N/A</v>
      </c>
      <c r="V48" s="21" t="e">
        <f t="shared" ca="1" si="5"/>
        <v>#N/A</v>
      </c>
      <c r="W48" s="21" t="e">
        <f t="shared" ca="1" si="5"/>
        <v>#N/A</v>
      </c>
      <c r="X48" s="21" t="e">
        <f t="shared" ca="1" si="5"/>
        <v>#N/A</v>
      </c>
      <c r="Y48" s="21" t="e">
        <f t="shared" ca="1" si="5"/>
        <v>#N/A</v>
      </c>
      <c r="Z48" s="21" t="e">
        <f t="shared" ca="1" si="5"/>
        <v>#N/A</v>
      </c>
      <c r="AA48" s="21" t="e">
        <f t="shared" ca="1" si="5"/>
        <v>#N/A</v>
      </c>
      <c r="AB48" s="21" t="e">
        <f t="shared" ca="1" si="5"/>
        <v>#N/A</v>
      </c>
      <c r="AC48" s="21" t="e">
        <f t="shared" ca="1" si="5"/>
        <v>#N/A</v>
      </c>
      <c r="AD48" s="21" t="e">
        <f t="shared" ca="1" si="5"/>
        <v>#N/A</v>
      </c>
    </row>
    <row r="49" spans="2:30" ht="12" thickBot="1" x14ac:dyDescent="0.25">
      <c r="B49" s="1" t="str">
        <f>tblIndicators!B47</f>
        <v>RAIL04</v>
      </c>
      <c r="C49" s="1">
        <f>tblIndicators!E47</f>
        <v>1</v>
      </c>
      <c r="D49" s="19" t="str">
        <f>tblIndicators!O47</f>
        <v>Total locomotives</v>
      </c>
      <c r="E49" s="21">
        <f t="shared" ca="1" si="6"/>
        <v>2012</v>
      </c>
      <c r="F49" s="21" t="e">
        <f t="shared" ca="1" si="6"/>
        <v>#N/A</v>
      </c>
      <c r="G49" s="21" t="e">
        <f t="shared" ca="1" si="6"/>
        <v>#N/A</v>
      </c>
      <c r="H49" s="21" t="e">
        <f t="shared" ca="1" si="6"/>
        <v>#N/A</v>
      </c>
      <c r="I49" s="21">
        <f t="shared" ca="1" si="6"/>
        <v>2012</v>
      </c>
      <c r="J49" s="21">
        <f t="shared" ca="1" si="6"/>
        <v>2012</v>
      </c>
      <c r="K49" s="21">
        <f t="shared" ca="1" si="6"/>
        <v>2012</v>
      </c>
      <c r="L49" s="21">
        <f t="shared" ca="1" si="6"/>
        <v>2012</v>
      </c>
      <c r="M49" s="21" t="e">
        <f t="shared" ca="1" si="6"/>
        <v>#N/A</v>
      </c>
      <c r="N49" s="21" t="e">
        <f t="shared" ca="1" si="6"/>
        <v>#N/A</v>
      </c>
      <c r="O49" s="21">
        <f t="shared" ca="1" si="6"/>
        <v>2012</v>
      </c>
      <c r="P49" s="21" t="e">
        <f t="shared" ca="1" si="6"/>
        <v>#N/A</v>
      </c>
      <c r="Q49" s="21" t="e">
        <f t="shared" ca="1" si="6"/>
        <v>#N/A</v>
      </c>
      <c r="R49" s="21" t="e">
        <f t="shared" ca="1" si="6"/>
        <v>#N/A</v>
      </c>
      <c r="S49" s="21" t="e">
        <f t="shared" ca="1" si="6"/>
        <v>#N/A</v>
      </c>
      <c r="T49" s="21">
        <f t="shared" ca="1" si="6"/>
        <v>2012</v>
      </c>
      <c r="U49" s="21">
        <f t="shared" ca="1" si="5"/>
        <v>2012</v>
      </c>
      <c r="V49" s="21" t="e">
        <f t="shared" ca="1" si="5"/>
        <v>#N/A</v>
      </c>
      <c r="W49" s="21">
        <f t="shared" ca="1" si="5"/>
        <v>2012</v>
      </c>
      <c r="X49" s="21" t="e">
        <f t="shared" ca="1" si="5"/>
        <v>#N/A</v>
      </c>
      <c r="Y49" s="21">
        <f t="shared" ca="1" si="5"/>
        <v>2012</v>
      </c>
      <c r="Z49" s="21" t="e">
        <f t="shared" ca="1" si="5"/>
        <v>#N/A</v>
      </c>
      <c r="AA49" s="21" t="e">
        <f t="shared" ca="1" si="5"/>
        <v>#N/A</v>
      </c>
      <c r="AB49" s="21" t="e">
        <f t="shared" ca="1" si="5"/>
        <v>#N/A</v>
      </c>
      <c r="AC49" s="21">
        <f t="shared" ca="1" si="5"/>
        <v>2012</v>
      </c>
      <c r="AD49" s="21" t="e">
        <f t="shared" ca="1" si="5"/>
        <v>#N/A</v>
      </c>
    </row>
    <row r="50" spans="2:30" ht="12" thickBot="1" x14ac:dyDescent="0.25">
      <c r="B50" s="1" t="str">
        <f>tblIndicators!B48</f>
        <v>RAIL05</v>
      </c>
      <c r="C50" s="1">
        <f>tblIndicators!E48</f>
        <v>1</v>
      </c>
      <c r="D50" s="19" t="str">
        <f>tblIndicators!O48</f>
        <v>Locomotives -freight train engine</v>
      </c>
      <c r="E50" s="21" t="e">
        <f t="shared" ca="1" si="6"/>
        <v>#N/A</v>
      </c>
      <c r="F50" s="21" t="e">
        <f t="shared" ca="1" si="6"/>
        <v>#N/A</v>
      </c>
      <c r="G50" s="21" t="e">
        <f t="shared" ca="1" si="6"/>
        <v>#N/A</v>
      </c>
      <c r="H50" s="21" t="e">
        <f t="shared" ca="1" si="6"/>
        <v>#N/A</v>
      </c>
      <c r="I50" s="21" t="e">
        <f t="shared" ca="1" si="6"/>
        <v>#N/A</v>
      </c>
      <c r="J50" s="21" t="e">
        <f t="shared" ca="1" si="6"/>
        <v>#N/A</v>
      </c>
      <c r="K50" s="21" t="e">
        <f t="shared" ca="1" si="6"/>
        <v>#N/A</v>
      </c>
      <c r="L50" s="21" t="e">
        <f t="shared" ca="1" si="6"/>
        <v>#N/A</v>
      </c>
      <c r="M50" s="21" t="e">
        <f t="shared" ca="1" si="6"/>
        <v>#N/A</v>
      </c>
      <c r="N50" s="21" t="e">
        <f t="shared" ca="1" si="6"/>
        <v>#N/A</v>
      </c>
      <c r="O50" s="21" t="e">
        <f t="shared" ca="1" si="6"/>
        <v>#N/A</v>
      </c>
      <c r="P50" s="21" t="e">
        <f t="shared" ca="1" si="6"/>
        <v>#N/A</v>
      </c>
      <c r="Q50" s="21" t="e">
        <f t="shared" ca="1" si="6"/>
        <v>#N/A</v>
      </c>
      <c r="R50" s="21" t="e">
        <f t="shared" ca="1" si="6"/>
        <v>#N/A</v>
      </c>
      <c r="S50" s="21" t="e">
        <f t="shared" ca="1" si="6"/>
        <v>#N/A</v>
      </c>
      <c r="T50" s="21" t="e">
        <f t="shared" ca="1" si="6"/>
        <v>#N/A</v>
      </c>
      <c r="U50" s="21" t="e">
        <f t="shared" ca="1" si="5"/>
        <v>#N/A</v>
      </c>
      <c r="V50" s="21" t="e">
        <f t="shared" ca="1" si="5"/>
        <v>#N/A</v>
      </c>
      <c r="W50" s="21">
        <f t="shared" ca="1" si="5"/>
        <v>2012</v>
      </c>
      <c r="X50" s="21" t="e">
        <f t="shared" ca="1" si="5"/>
        <v>#N/A</v>
      </c>
      <c r="Y50" s="21">
        <f t="shared" ca="1" si="5"/>
        <v>2012</v>
      </c>
      <c r="Z50" s="21" t="e">
        <f t="shared" ca="1" si="5"/>
        <v>#N/A</v>
      </c>
      <c r="AA50" s="21" t="e">
        <f t="shared" ca="1" si="5"/>
        <v>#N/A</v>
      </c>
      <c r="AB50" s="21" t="e">
        <f t="shared" ca="1" si="5"/>
        <v>#N/A</v>
      </c>
      <c r="AC50" s="21" t="e">
        <f t="shared" ca="1" si="5"/>
        <v>#N/A</v>
      </c>
      <c r="AD50" s="21" t="e">
        <f t="shared" ca="1" si="5"/>
        <v>#N/A</v>
      </c>
    </row>
    <row r="51" spans="2:30" ht="12" thickBot="1" x14ac:dyDescent="0.25">
      <c r="B51" s="1" t="str">
        <f>tblIndicators!B49</f>
        <v>RAIL06</v>
      </c>
      <c r="C51" s="1">
        <f>tblIndicators!E49</f>
        <v>1</v>
      </c>
      <c r="D51" s="19" t="str">
        <f>tblIndicators!O49</f>
        <v>Average power of freight locomotives</v>
      </c>
      <c r="E51" s="21" t="e">
        <f t="shared" ca="1" si="6"/>
        <v>#N/A</v>
      </c>
      <c r="F51" s="21" t="e">
        <f t="shared" ca="1" si="6"/>
        <v>#N/A</v>
      </c>
      <c r="G51" s="21" t="e">
        <f t="shared" ca="1" si="6"/>
        <v>#N/A</v>
      </c>
      <c r="H51" s="21" t="e">
        <f t="shared" ca="1" si="6"/>
        <v>#N/A</v>
      </c>
      <c r="I51" s="21" t="e">
        <f t="shared" ca="1" si="6"/>
        <v>#N/A</v>
      </c>
      <c r="J51" s="21">
        <f t="shared" ca="1" si="6"/>
        <v>2012</v>
      </c>
      <c r="K51" s="21" t="e">
        <f t="shared" ca="1" si="6"/>
        <v>#N/A</v>
      </c>
      <c r="L51" s="21" t="e">
        <f t="shared" ca="1" si="6"/>
        <v>#N/A</v>
      </c>
      <c r="M51" s="21" t="e">
        <f t="shared" ca="1" si="6"/>
        <v>#N/A</v>
      </c>
      <c r="N51" s="21" t="e">
        <f t="shared" ca="1" si="6"/>
        <v>#N/A</v>
      </c>
      <c r="O51" s="21" t="e">
        <f t="shared" ca="1" si="6"/>
        <v>#N/A</v>
      </c>
      <c r="P51" s="21" t="e">
        <f t="shared" ca="1" si="6"/>
        <v>#N/A</v>
      </c>
      <c r="Q51" s="21" t="e">
        <f t="shared" ca="1" si="6"/>
        <v>#N/A</v>
      </c>
      <c r="R51" s="21" t="e">
        <f t="shared" ca="1" si="6"/>
        <v>#N/A</v>
      </c>
      <c r="S51" s="21" t="e">
        <f t="shared" ca="1" si="6"/>
        <v>#N/A</v>
      </c>
      <c r="T51" s="21">
        <f t="shared" ca="1" si="6"/>
        <v>2012</v>
      </c>
      <c r="U51" s="21">
        <f t="shared" ca="1" si="5"/>
        <v>2012</v>
      </c>
      <c r="V51" s="21" t="e">
        <f t="shared" ca="1" si="5"/>
        <v>#N/A</v>
      </c>
      <c r="W51" s="21">
        <f t="shared" ca="1" si="5"/>
        <v>2012</v>
      </c>
      <c r="X51" s="21" t="e">
        <f t="shared" ca="1" si="5"/>
        <v>#N/A</v>
      </c>
      <c r="Y51" s="21">
        <f t="shared" ca="1" si="5"/>
        <v>2012</v>
      </c>
      <c r="Z51" s="21" t="e">
        <f t="shared" ca="1" si="5"/>
        <v>#N/A</v>
      </c>
      <c r="AA51" s="21" t="e">
        <f t="shared" ca="1" si="5"/>
        <v>#N/A</v>
      </c>
      <c r="AB51" s="21" t="e">
        <f t="shared" ca="1" si="5"/>
        <v>#N/A</v>
      </c>
      <c r="AC51" s="21">
        <f t="shared" ca="1" si="5"/>
        <v>2012</v>
      </c>
      <c r="AD51" s="21" t="e">
        <f t="shared" ca="1" si="5"/>
        <v>#N/A</v>
      </c>
    </row>
    <row r="52" spans="2:30" ht="12" thickBot="1" x14ac:dyDescent="0.25">
      <c r="B52" s="1" t="str">
        <f>tblIndicators!B50</f>
        <v>RAIL07</v>
      </c>
      <c r="C52" s="1">
        <f>tblIndicators!E50</f>
        <v>1</v>
      </c>
      <c r="D52" s="19" t="str">
        <f>tblIndicators!O50</f>
        <v>Freight cars</v>
      </c>
      <c r="E52" s="21">
        <f t="shared" ca="1" si="6"/>
        <v>2012</v>
      </c>
      <c r="F52" s="21" t="e">
        <f t="shared" ca="1" si="6"/>
        <v>#N/A</v>
      </c>
      <c r="G52" s="21" t="e">
        <f t="shared" ca="1" si="6"/>
        <v>#N/A</v>
      </c>
      <c r="H52" s="21" t="e">
        <f t="shared" ca="1" si="6"/>
        <v>#N/A</v>
      </c>
      <c r="I52" s="21">
        <f t="shared" ca="1" si="6"/>
        <v>2012</v>
      </c>
      <c r="J52" s="21">
        <f t="shared" ca="1" si="6"/>
        <v>2012</v>
      </c>
      <c r="K52" s="21">
        <f t="shared" ca="1" si="6"/>
        <v>2012</v>
      </c>
      <c r="L52" s="21">
        <f t="shared" ca="1" si="6"/>
        <v>2012</v>
      </c>
      <c r="M52" s="21" t="e">
        <f t="shared" ca="1" si="6"/>
        <v>#N/A</v>
      </c>
      <c r="N52" s="21" t="e">
        <f t="shared" ca="1" si="6"/>
        <v>#N/A</v>
      </c>
      <c r="O52" s="21" t="e">
        <f t="shared" ca="1" si="6"/>
        <v>#N/A</v>
      </c>
      <c r="P52" s="21" t="e">
        <f t="shared" ca="1" si="6"/>
        <v>#N/A</v>
      </c>
      <c r="Q52" s="21" t="e">
        <f t="shared" ca="1" si="6"/>
        <v>#N/A</v>
      </c>
      <c r="R52" s="21" t="e">
        <f t="shared" ca="1" si="6"/>
        <v>#N/A</v>
      </c>
      <c r="S52" s="21" t="e">
        <f t="shared" ca="1" si="6"/>
        <v>#N/A</v>
      </c>
      <c r="T52" s="21" t="e">
        <f t="shared" ca="1" si="6"/>
        <v>#N/A</v>
      </c>
      <c r="U52" s="21">
        <f t="shared" ca="1" si="5"/>
        <v>2012</v>
      </c>
      <c r="V52" s="21" t="e">
        <f t="shared" ca="1" si="5"/>
        <v>#N/A</v>
      </c>
      <c r="W52" s="21">
        <f t="shared" ca="1" si="5"/>
        <v>2012</v>
      </c>
      <c r="X52" s="21" t="e">
        <f t="shared" ca="1" si="5"/>
        <v>#N/A</v>
      </c>
      <c r="Y52" s="21">
        <f t="shared" ca="1" si="5"/>
        <v>2012</v>
      </c>
      <c r="Z52" s="21" t="e">
        <f t="shared" ca="1" si="5"/>
        <v>#N/A</v>
      </c>
      <c r="AA52" s="21" t="e">
        <f t="shared" ca="1" si="5"/>
        <v>#N/A</v>
      </c>
      <c r="AB52" s="21" t="e">
        <f t="shared" ca="1" si="5"/>
        <v>#N/A</v>
      </c>
      <c r="AC52" s="21">
        <f t="shared" ca="1" si="5"/>
        <v>2012</v>
      </c>
      <c r="AD52" s="21" t="e">
        <f t="shared" ca="1" si="5"/>
        <v>#N/A</v>
      </c>
    </row>
    <row r="53" spans="2:30" ht="12" thickBot="1" x14ac:dyDescent="0.25">
      <c r="B53" s="1" t="str">
        <f>tblIndicators!B51</f>
        <v>RAIL08</v>
      </c>
      <c r="C53" s="1">
        <f>tblIndicators!E51</f>
        <v>1</v>
      </c>
      <c r="D53" s="19" t="str">
        <f>tblIndicators!O51</f>
        <v>Freight car fleet static capacity</v>
      </c>
      <c r="E53" s="21" t="e">
        <f t="shared" ca="1" si="6"/>
        <v>#N/A</v>
      </c>
      <c r="F53" s="21" t="e">
        <f t="shared" ca="1" si="6"/>
        <v>#N/A</v>
      </c>
      <c r="G53" s="21" t="e">
        <f t="shared" ca="1" si="6"/>
        <v>#N/A</v>
      </c>
      <c r="H53" s="21" t="e">
        <f t="shared" ca="1" si="6"/>
        <v>#N/A</v>
      </c>
      <c r="I53" s="21" t="e">
        <f t="shared" ca="1" si="6"/>
        <v>#N/A</v>
      </c>
      <c r="J53" s="21" t="e">
        <f t="shared" ca="1" si="6"/>
        <v>#N/A</v>
      </c>
      <c r="K53" s="21" t="e">
        <f t="shared" ca="1" si="6"/>
        <v>#N/A</v>
      </c>
      <c r="L53" s="21" t="e">
        <f t="shared" ca="1" si="6"/>
        <v>#N/A</v>
      </c>
      <c r="M53" s="21" t="e">
        <f t="shared" ca="1" si="6"/>
        <v>#N/A</v>
      </c>
      <c r="N53" s="21" t="e">
        <f t="shared" ca="1" si="6"/>
        <v>#N/A</v>
      </c>
      <c r="O53" s="21" t="e">
        <f t="shared" ca="1" si="6"/>
        <v>#N/A</v>
      </c>
      <c r="P53" s="21" t="e">
        <f t="shared" ca="1" si="6"/>
        <v>#N/A</v>
      </c>
      <c r="Q53" s="21" t="e">
        <f t="shared" ca="1" si="6"/>
        <v>#N/A</v>
      </c>
      <c r="R53" s="21" t="e">
        <f t="shared" ca="1" si="6"/>
        <v>#N/A</v>
      </c>
      <c r="S53" s="21" t="e">
        <f t="shared" ca="1" si="6"/>
        <v>#N/A</v>
      </c>
      <c r="T53" s="21" t="e">
        <f t="shared" ca="1" si="6"/>
        <v>#N/A</v>
      </c>
      <c r="U53" s="21">
        <f t="shared" ca="1" si="5"/>
        <v>2012</v>
      </c>
      <c r="V53" s="21" t="e">
        <f t="shared" ca="1" si="5"/>
        <v>#N/A</v>
      </c>
      <c r="W53" s="21" t="e">
        <f t="shared" ca="1" si="5"/>
        <v>#N/A</v>
      </c>
      <c r="X53" s="21" t="e">
        <f t="shared" ca="1" si="5"/>
        <v>#N/A</v>
      </c>
      <c r="Y53" s="21" t="e">
        <f t="shared" ca="1" si="5"/>
        <v>#N/A</v>
      </c>
      <c r="Z53" s="21" t="e">
        <f t="shared" ca="1" si="5"/>
        <v>#N/A</v>
      </c>
      <c r="AA53" s="21" t="e">
        <f t="shared" ca="1" si="5"/>
        <v>#N/A</v>
      </c>
      <c r="AB53" s="21" t="e">
        <f t="shared" ca="1" si="5"/>
        <v>#N/A</v>
      </c>
      <c r="AC53" s="21" t="e">
        <f t="shared" ca="1" si="5"/>
        <v>#N/A</v>
      </c>
      <c r="AD53" s="21" t="e">
        <f t="shared" ca="1" si="5"/>
        <v>#N/A</v>
      </c>
    </row>
    <row r="54" spans="2:30" ht="12" thickBot="1" x14ac:dyDescent="0.25">
      <c r="B54" s="1" t="str">
        <f>tblIndicators!B52</f>
        <v>RAIL10</v>
      </c>
      <c r="C54" s="1">
        <f>tblIndicators!E52</f>
        <v>1</v>
      </c>
      <c r="D54" s="19" t="str">
        <f>tblIndicators!O52</f>
        <v>Railway freight companies</v>
      </c>
      <c r="E54" s="21">
        <f t="shared" ca="1" si="6"/>
        <v>2012</v>
      </c>
      <c r="F54" s="21" t="e">
        <f t="shared" ca="1" si="6"/>
        <v>#N/A</v>
      </c>
      <c r="G54" s="21" t="e">
        <f t="shared" ca="1" si="6"/>
        <v>#N/A</v>
      </c>
      <c r="H54" s="21" t="e">
        <f t="shared" ca="1" si="6"/>
        <v>#N/A</v>
      </c>
      <c r="I54" s="21">
        <f t="shared" ca="1" si="6"/>
        <v>2012</v>
      </c>
      <c r="J54" s="21">
        <f t="shared" ca="1" si="6"/>
        <v>2012</v>
      </c>
      <c r="K54" s="21">
        <f t="shared" ca="1" si="6"/>
        <v>2012</v>
      </c>
      <c r="L54" s="21">
        <f t="shared" ca="1" si="6"/>
        <v>2012</v>
      </c>
      <c r="M54" s="21">
        <f t="shared" ca="1" si="6"/>
        <v>2012</v>
      </c>
      <c r="N54" s="21" t="e">
        <f t="shared" ca="1" si="6"/>
        <v>#N/A</v>
      </c>
      <c r="O54" s="21" t="e">
        <f t="shared" ca="1" si="6"/>
        <v>#N/A</v>
      </c>
      <c r="P54" s="21" t="e">
        <f t="shared" ca="1" si="6"/>
        <v>#N/A</v>
      </c>
      <c r="Q54" s="21" t="e">
        <f t="shared" ca="1" si="6"/>
        <v>#N/A</v>
      </c>
      <c r="R54" s="21" t="e">
        <f t="shared" ca="1" si="6"/>
        <v>#N/A</v>
      </c>
      <c r="S54" s="21" t="e">
        <f t="shared" ca="1" si="6"/>
        <v>#N/A</v>
      </c>
      <c r="T54" s="21">
        <f t="shared" ca="1" si="6"/>
        <v>2012</v>
      </c>
      <c r="U54" s="21">
        <f t="shared" ca="1" si="5"/>
        <v>2012</v>
      </c>
      <c r="V54" s="21" t="e">
        <f t="shared" ca="1" si="5"/>
        <v>#N/A</v>
      </c>
      <c r="W54" s="21">
        <f t="shared" ca="1" si="5"/>
        <v>2012</v>
      </c>
      <c r="X54" s="21" t="e">
        <f t="shared" ca="1" si="5"/>
        <v>#N/A</v>
      </c>
      <c r="Y54" s="21">
        <f t="shared" ca="1" si="5"/>
        <v>2012</v>
      </c>
      <c r="Z54" s="21" t="e">
        <f t="shared" ca="1" si="5"/>
        <v>#N/A</v>
      </c>
      <c r="AA54" s="21" t="e">
        <f t="shared" ca="1" si="5"/>
        <v>#N/A</v>
      </c>
      <c r="AB54" s="21" t="e">
        <f t="shared" ca="1" si="5"/>
        <v>#N/A</v>
      </c>
      <c r="AC54" s="21">
        <f t="shared" ca="1" si="5"/>
        <v>2012</v>
      </c>
      <c r="AD54" s="21">
        <f t="shared" ca="1" si="5"/>
        <v>2012</v>
      </c>
    </row>
    <row r="55" spans="2:30" ht="12" thickBot="1" x14ac:dyDescent="0.25">
      <c r="B55" s="1" t="str">
        <f>tblIndicators!B53</f>
        <v>RAIL11</v>
      </c>
      <c r="C55" s="1">
        <f>tblIndicators!E53</f>
        <v>1</v>
      </c>
      <c r="D55" s="19" t="str">
        <f>tblIndicators!O53</f>
        <v>Direct employment in railway transportation rail freight</v>
      </c>
      <c r="E55" s="21">
        <f t="shared" ca="1" si="6"/>
        <v>2012</v>
      </c>
      <c r="F55" s="21" t="e">
        <f t="shared" ca="1" si="6"/>
        <v>#N/A</v>
      </c>
      <c r="G55" s="21" t="e">
        <f t="shared" ca="1" si="6"/>
        <v>#N/A</v>
      </c>
      <c r="H55" s="21" t="e">
        <f t="shared" ca="1" si="6"/>
        <v>#N/A</v>
      </c>
      <c r="I55" s="21">
        <f t="shared" ca="1" si="6"/>
        <v>2012</v>
      </c>
      <c r="J55" s="21">
        <f t="shared" ca="1" si="6"/>
        <v>2012</v>
      </c>
      <c r="K55" s="21">
        <f t="shared" ca="1" si="6"/>
        <v>2012</v>
      </c>
      <c r="L55" s="21" t="e">
        <f t="shared" ca="1" si="6"/>
        <v>#N/A</v>
      </c>
      <c r="M55" s="21" t="e">
        <f t="shared" ca="1" si="6"/>
        <v>#N/A</v>
      </c>
      <c r="N55" s="21" t="e">
        <f t="shared" ca="1" si="6"/>
        <v>#N/A</v>
      </c>
      <c r="O55" s="21" t="e">
        <f t="shared" ca="1" si="6"/>
        <v>#N/A</v>
      </c>
      <c r="P55" s="21" t="e">
        <f t="shared" ca="1" si="6"/>
        <v>#N/A</v>
      </c>
      <c r="Q55" s="21" t="e">
        <f t="shared" ca="1" si="6"/>
        <v>#N/A</v>
      </c>
      <c r="R55" s="21" t="e">
        <f t="shared" ca="1" si="6"/>
        <v>#N/A</v>
      </c>
      <c r="S55" s="21" t="e">
        <f t="shared" ca="1" si="6"/>
        <v>#N/A</v>
      </c>
      <c r="T55" s="21">
        <f t="shared" ca="1" si="6"/>
        <v>2012</v>
      </c>
      <c r="U55" s="21">
        <f t="shared" ca="1" si="5"/>
        <v>2012</v>
      </c>
      <c r="V55" s="21" t="e">
        <f t="shared" ca="1" si="5"/>
        <v>#N/A</v>
      </c>
      <c r="W55" s="21" t="e">
        <f t="shared" ca="1" si="5"/>
        <v>#N/A</v>
      </c>
      <c r="X55" s="21" t="e">
        <f t="shared" ca="1" si="5"/>
        <v>#N/A</v>
      </c>
      <c r="Y55" s="21" t="e">
        <f t="shared" ca="1" si="5"/>
        <v>#N/A</v>
      </c>
      <c r="Z55" s="21" t="e">
        <f t="shared" ca="1" si="5"/>
        <v>#N/A</v>
      </c>
      <c r="AA55" s="21" t="e">
        <f t="shared" ca="1" si="5"/>
        <v>#N/A</v>
      </c>
      <c r="AB55" s="21" t="e">
        <f t="shared" ca="1" si="5"/>
        <v>#N/A</v>
      </c>
      <c r="AC55" s="21">
        <f t="shared" ca="1" si="5"/>
        <v>2012</v>
      </c>
      <c r="AD55" s="21" t="e">
        <f t="shared" ca="1" si="5"/>
        <v>#N/A</v>
      </c>
    </row>
    <row r="56" spans="2:30" ht="12" thickBot="1" x14ac:dyDescent="0.25">
      <c r="B56" s="1" t="str">
        <f>tblIndicators!B54</f>
        <v>RAIL12</v>
      </c>
      <c r="C56" s="1">
        <f>tblIndicators!E54</f>
        <v>1</v>
      </c>
      <c r="D56" s="19" t="str">
        <f>tblIndicators!O54</f>
        <v>Fuel consumption rail freight</v>
      </c>
      <c r="E56" s="21">
        <f t="shared" ca="1" si="6"/>
        <v>2012</v>
      </c>
      <c r="F56" s="21" t="e">
        <f t="shared" ca="1" si="6"/>
        <v>#N/A</v>
      </c>
      <c r="G56" s="21" t="e">
        <f t="shared" ca="1" si="6"/>
        <v>#N/A</v>
      </c>
      <c r="H56" s="21" t="e">
        <f t="shared" ca="1" si="6"/>
        <v>#N/A</v>
      </c>
      <c r="I56" s="21" t="e">
        <f t="shared" ca="1" si="6"/>
        <v>#N/A</v>
      </c>
      <c r="J56" s="21">
        <f t="shared" ca="1" si="6"/>
        <v>2012</v>
      </c>
      <c r="K56" s="21" t="e">
        <f t="shared" ca="1" si="6"/>
        <v>#N/A</v>
      </c>
      <c r="L56" s="21" t="e">
        <f t="shared" ca="1" si="6"/>
        <v>#N/A</v>
      </c>
      <c r="M56" s="21" t="e">
        <f t="shared" ca="1" si="6"/>
        <v>#N/A</v>
      </c>
      <c r="N56" s="21" t="e">
        <f t="shared" ca="1" si="6"/>
        <v>#N/A</v>
      </c>
      <c r="O56" s="21" t="e">
        <f t="shared" ca="1" si="6"/>
        <v>#N/A</v>
      </c>
      <c r="P56" s="21" t="e">
        <f t="shared" ca="1" si="6"/>
        <v>#N/A</v>
      </c>
      <c r="Q56" s="21" t="e">
        <f t="shared" ca="1" si="6"/>
        <v>#N/A</v>
      </c>
      <c r="R56" s="21" t="e">
        <f t="shared" ca="1" si="6"/>
        <v>#N/A</v>
      </c>
      <c r="S56" s="21" t="e">
        <f t="shared" ca="1" si="6"/>
        <v>#N/A</v>
      </c>
      <c r="T56" s="21" t="e">
        <f t="shared" ca="1" si="6"/>
        <v>#N/A</v>
      </c>
      <c r="U56" s="21">
        <f t="shared" ca="1" si="5"/>
        <v>2012</v>
      </c>
      <c r="V56" s="21" t="e">
        <f t="shared" ca="1" si="5"/>
        <v>#N/A</v>
      </c>
      <c r="W56" s="21" t="e">
        <f t="shared" ca="1" si="5"/>
        <v>#N/A</v>
      </c>
      <c r="X56" s="21" t="e">
        <f t="shared" ca="1" si="5"/>
        <v>#N/A</v>
      </c>
      <c r="Y56" s="21" t="e">
        <f t="shared" ca="1" si="5"/>
        <v>#N/A</v>
      </c>
      <c r="Z56" s="21" t="e">
        <f t="shared" ca="1" si="5"/>
        <v>#N/A</v>
      </c>
      <c r="AA56" s="21" t="e">
        <f t="shared" ca="1" si="5"/>
        <v>#N/A</v>
      </c>
      <c r="AB56" s="21" t="e">
        <f t="shared" ca="1" si="5"/>
        <v>#N/A</v>
      </c>
      <c r="AC56" s="21">
        <f t="shared" ca="1" si="5"/>
        <v>2012</v>
      </c>
      <c r="AD56" s="21" t="e">
        <f t="shared" ca="1" si="5"/>
        <v>#N/A</v>
      </c>
    </row>
    <row r="57" spans="2:30" ht="12" thickBot="1" x14ac:dyDescent="0.25">
      <c r="B57" s="1" t="str">
        <f>tblIndicators!B55</f>
        <v>RAIL13</v>
      </c>
      <c r="C57" s="1">
        <f>tblIndicators!E55</f>
        <v>1</v>
      </c>
      <c r="D57" s="19" t="str">
        <f>tblIndicators!O55</f>
        <v>Electric power consumption rail freight</v>
      </c>
      <c r="E57" s="21" t="e">
        <f t="shared" ca="1" si="6"/>
        <v>#N/A</v>
      </c>
      <c r="F57" s="21" t="e">
        <f t="shared" ca="1" si="6"/>
        <v>#N/A</v>
      </c>
      <c r="G57" s="21" t="e">
        <f t="shared" ca="1" si="6"/>
        <v>#N/A</v>
      </c>
      <c r="H57" s="21" t="e">
        <f t="shared" ca="1" si="6"/>
        <v>#N/A</v>
      </c>
      <c r="I57" s="21" t="e">
        <f t="shared" ca="1" si="6"/>
        <v>#N/A</v>
      </c>
      <c r="J57" s="21" t="e">
        <f t="shared" ca="1" si="6"/>
        <v>#N/A</v>
      </c>
      <c r="K57" s="21" t="e">
        <f t="shared" ca="1" si="6"/>
        <v>#N/A</v>
      </c>
      <c r="L57" s="21" t="e">
        <f t="shared" ca="1" si="6"/>
        <v>#N/A</v>
      </c>
      <c r="M57" s="21" t="e">
        <f t="shared" ca="1" si="6"/>
        <v>#N/A</v>
      </c>
      <c r="N57" s="21" t="e">
        <f t="shared" ca="1" si="6"/>
        <v>#N/A</v>
      </c>
      <c r="O57" s="21" t="e">
        <f t="shared" ca="1" si="6"/>
        <v>#N/A</v>
      </c>
      <c r="P57" s="21" t="e">
        <f t="shared" ca="1" si="6"/>
        <v>#N/A</v>
      </c>
      <c r="Q57" s="21" t="e">
        <f t="shared" ca="1" si="6"/>
        <v>#N/A</v>
      </c>
      <c r="R57" s="21" t="e">
        <f t="shared" ca="1" si="6"/>
        <v>#N/A</v>
      </c>
      <c r="S57" s="21" t="e">
        <f t="shared" ca="1" si="6"/>
        <v>#N/A</v>
      </c>
      <c r="T57" s="21" t="e">
        <f t="shared" ca="1" si="6"/>
        <v>#N/A</v>
      </c>
      <c r="U57" s="21" t="e">
        <f t="shared" ca="1" si="5"/>
        <v>#N/A</v>
      </c>
      <c r="V57" s="21" t="e">
        <f t="shared" ca="1" si="5"/>
        <v>#N/A</v>
      </c>
      <c r="W57" s="21" t="e">
        <f t="shared" ca="1" si="5"/>
        <v>#N/A</v>
      </c>
      <c r="X57" s="21" t="e">
        <f t="shared" ca="1" si="5"/>
        <v>#N/A</v>
      </c>
      <c r="Y57" s="21" t="e">
        <f t="shared" ca="1" si="5"/>
        <v>#N/A</v>
      </c>
      <c r="Z57" s="21" t="e">
        <f t="shared" ca="1" si="5"/>
        <v>#N/A</v>
      </c>
      <c r="AA57" s="21" t="e">
        <f t="shared" ca="1" si="5"/>
        <v>#N/A</v>
      </c>
      <c r="AB57" s="21" t="e">
        <f t="shared" ca="1" si="5"/>
        <v>#N/A</v>
      </c>
      <c r="AC57" s="21" t="e">
        <f t="shared" ca="1" si="5"/>
        <v>#N/A</v>
      </c>
      <c r="AD57" s="21" t="e">
        <f t="shared" ca="1" si="5"/>
        <v>#N/A</v>
      </c>
    </row>
    <row r="58" spans="2:30" ht="12" thickBot="1" x14ac:dyDescent="0.25">
      <c r="B58" s="1" t="str">
        <f>tblIndicators!B56</f>
        <v>RAIL14</v>
      </c>
      <c r="C58" s="1">
        <f>tblIndicators!E56</f>
        <v>1</v>
      </c>
      <c r="D58" s="19" t="str">
        <f>tblIndicators!O56</f>
        <v>Estimated CO2 emissions rail freight</v>
      </c>
      <c r="E58" s="21" t="e">
        <f t="shared" ca="1" si="6"/>
        <v>#N/A</v>
      </c>
      <c r="F58" s="21" t="e">
        <f t="shared" ca="1" si="6"/>
        <v>#N/A</v>
      </c>
      <c r="G58" s="21" t="e">
        <f t="shared" ca="1" si="6"/>
        <v>#N/A</v>
      </c>
      <c r="H58" s="21" t="e">
        <f t="shared" ca="1" si="6"/>
        <v>#N/A</v>
      </c>
      <c r="I58" s="21" t="e">
        <f t="shared" ca="1" si="6"/>
        <v>#N/A</v>
      </c>
      <c r="J58" s="21" t="e">
        <f t="shared" ca="1" si="6"/>
        <v>#N/A</v>
      </c>
      <c r="K58" s="21" t="e">
        <f t="shared" ca="1" si="6"/>
        <v>#N/A</v>
      </c>
      <c r="L58" s="21" t="e">
        <f t="shared" ca="1" si="6"/>
        <v>#N/A</v>
      </c>
      <c r="M58" s="21" t="e">
        <f t="shared" ca="1" si="6"/>
        <v>#N/A</v>
      </c>
      <c r="N58" s="21" t="e">
        <f t="shared" ca="1" si="6"/>
        <v>#N/A</v>
      </c>
      <c r="O58" s="21" t="e">
        <f t="shared" ca="1" si="6"/>
        <v>#N/A</v>
      </c>
      <c r="P58" s="21" t="e">
        <f t="shared" ca="1" si="6"/>
        <v>#N/A</v>
      </c>
      <c r="Q58" s="21" t="e">
        <f t="shared" ca="1" si="6"/>
        <v>#N/A</v>
      </c>
      <c r="R58" s="21" t="e">
        <f t="shared" ca="1" si="6"/>
        <v>#N/A</v>
      </c>
      <c r="S58" s="21" t="e">
        <f t="shared" ca="1" si="6"/>
        <v>#N/A</v>
      </c>
      <c r="T58" s="21" t="e">
        <f t="shared" ca="1" si="6"/>
        <v>#N/A</v>
      </c>
      <c r="U58" s="21" t="e">
        <f t="shared" ca="1" si="5"/>
        <v>#N/A</v>
      </c>
      <c r="V58" s="21" t="e">
        <f t="shared" ca="1" si="5"/>
        <v>#N/A</v>
      </c>
      <c r="W58" s="21" t="e">
        <f t="shared" ca="1" si="5"/>
        <v>#N/A</v>
      </c>
      <c r="X58" s="21" t="e">
        <f t="shared" ca="1" si="5"/>
        <v>#N/A</v>
      </c>
      <c r="Y58" s="21" t="e">
        <f t="shared" ca="1" si="5"/>
        <v>#N/A</v>
      </c>
      <c r="Z58" s="21" t="e">
        <f t="shared" ca="1" si="5"/>
        <v>#N/A</v>
      </c>
      <c r="AA58" s="21" t="e">
        <f t="shared" ca="1" si="5"/>
        <v>#N/A</v>
      </c>
      <c r="AB58" s="21" t="e">
        <f t="shared" ca="1" si="5"/>
        <v>#N/A</v>
      </c>
      <c r="AC58" s="21">
        <f t="shared" ca="1" si="5"/>
        <v>2012</v>
      </c>
      <c r="AD58" s="21" t="e">
        <f t="shared" ca="1" si="5"/>
        <v>#N/A</v>
      </c>
    </row>
    <row r="59" spans="2:30" ht="12" thickBot="1" x14ac:dyDescent="0.25">
      <c r="B59" s="1" t="str">
        <f>tblIndicators!B57</f>
        <v>RAIL15</v>
      </c>
      <c r="C59" s="1">
        <f>tblIndicators!E57</f>
        <v>1</v>
      </c>
      <c r="D59" s="19" t="str">
        <f>tblIndicators!O57</f>
        <v>Rail freight -productivity</v>
      </c>
      <c r="E59" s="21">
        <f t="shared" ca="1" si="6"/>
        <v>2012</v>
      </c>
      <c r="F59" s="21" t="e">
        <f t="shared" ca="1" si="6"/>
        <v>#N/A</v>
      </c>
      <c r="G59" s="21" t="e">
        <f t="shared" ca="1" si="6"/>
        <v>#N/A</v>
      </c>
      <c r="H59" s="21" t="e">
        <f t="shared" ca="1" si="6"/>
        <v>#N/A</v>
      </c>
      <c r="I59" s="21">
        <f t="shared" ca="1" si="6"/>
        <v>2012</v>
      </c>
      <c r="J59" s="21">
        <f t="shared" ca="1" si="6"/>
        <v>2012</v>
      </c>
      <c r="K59" s="21">
        <f t="shared" ca="1" si="6"/>
        <v>2012</v>
      </c>
      <c r="L59" s="21">
        <f t="shared" ca="1" si="6"/>
        <v>2012</v>
      </c>
      <c r="M59" s="21">
        <f t="shared" ca="1" si="6"/>
        <v>2012</v>
      </c>
      <c r="N59" s="21" t="e">
        <f t="shared" ca="1" si="6"/>
        <v>#N/A</v>
      </c>
      <c r="O59" s="21" t="e">
        <f t="shared" ca="1" si="6"/>
        <v>#N/A</v>
      </c>
      <c r="P59" s="21" t="e">
        <f t="shared" ca="1" si="6"/>
        <v>#N/A</v>
      </c>
      <c r="Q59" s="21" t="e">
        <f t="shared" ca="1" si="6"/>
        <v>#N/A</v>
      </c>
      <c r="R59" s="21" t="e">
        <f t="shared" ca="1" si="6"/>
        <v>#N/A</v>
      </c>
      <c r="S59" s="21" t="e">
        <f t="shared" ca="1" si="6"/>
        <v>#N/A</v>
      </c>
      <c r="T59" s="21" t="e">
        <f t="shared" ca="1" si="6"/>
        <v>#N/A</v>
      </c>
      <c r="U59" s="21">
        <f t="shared" ca="1" si="5"/>
        <v>2012</v>
      </c>
      <c r="V59" s="21" t="e">
        <f t="shared" ca="1" si="5"/>
        <v>#N/A</v>
      </c>
      <c r="W59" s="21" t="e">
        <f t="shared" ca="1" si="5"/>
        <v>#N/A</v>
      </c>
      <c r="X59" s="21" t="e">
        <f t="shared" ca="1" si="5"/>
        <v>#N/A</v>
      </c>
      <c r="Y59" s="21">
        <f t="shared" ca="1" si="5"/>
        <v>2012</v>
      </c>
      <c r="Z59" s="21" t="e">
        <f t="shared" ca="1" si="5"/>
        <v>#N/A</v>
      </c>
      <c r="AA59" s="21" t="e">
        <f t="shared" ca="1" si="5"/>
        <v>#N/A</v>
      </c>
      <c r="AB59" s="21" t="e">
        <f t="shared" ca="1" si="5"/>
        <v>#N/A</v>
      </c>
      <c r="AC59" s="21">
        <f t="shared" ca="1" si="5"/>
        <v>2012</v>
      </c>
      <c r="AD59" s="21" t="e">
        <f t="shared" ca="1" si="5"/>
        <v>#N/A</v>
      </c>
    </row>
    <row r="60" spans="2:30" ht="12" thickBot="1" x14ac:dyDescent="0.25">
      <c r="B60" s="1" t="str">
        <f>tblIndicators!B58</f>
        <v>RAIL16</v>
      </c>
      <c r="C60" s="1">
        <f>tblIndicators!E58</f>
        <v>1</v>
      </c>
      <c r="D60" s="19" t="str">
        <f>tblIndicators!O58</f>
        <v>Total rail freight</v>
      </c>
      <c r="E60" s="21">
        <f t="shared" ca="1" si="6"/>
        <v>2012</v>
      </c>
      <c r="F60" s="21" t="e">
        <f t="shared" ca="1" si="6"/>
        <v>#N/A</v>
      </c>
      <c r="G60" s="21" t="e">
        <f t="shared" ca="1" si="6"/>
        <v>#N/A</v>
      </c>
      <c r="H60" s="21" t="e">
        <f t="shared" ca="1" si="6"/>
        <v>#N/A</v>
      </c>
      <c r="I60" s="21">
        <f t="shared" ca="1" si="6"/>
        <v>2012</v>
      </c>
      <c r="J60" s="21">
        <f t="shared" ca="1" si="6"/>
        <v>2012</v>
      </c>
      <c r="K60" s="21">
        <f t="shared" ca="1" si="6"/>
        <v>2012</v>
      </c>
      <c r="L60" s="21">
        <f t="shared" ca="1" si="6"/>
        <v>2012</v>
      </c>
      <c r="M60" s="21">
        <f t="shared" ca="1" si="6"/>
        <v>2012</v>
      </c>
      <c r="N60" s="21" t="e">
        <f t="shared" ca="1" si="6"/>
        <v>#N/A</v>
      </c>
      <c r="O60" s="21" t="e">
        <f t="shared" ca="1" si="6"/>
        <v>#N/A</v>
      </c>
      <c r="P60" s="21" t="e">
        <f t="shared" ca="1" si="6"/>
        <v>#N/A</v>
      </c>
      <c r="Q60" s="21" t="e">
        <f t="shared" ca="1" si="6"/>
        <v>#N/A</v>
      </c>
      <c r="R60" s="21" t="e">
        <f t="shared" ca="1" si="6"/>
        <v>#N/A</v>
      </c>
      <c r="S60" s="21" t="e">
        <f t="shared" ca="1" si="6"/>
        <v>#N/A</v>
      </c>
      <c r="T60" s="21" t="e">
        <f t="shared" ca="1" si="6"/>
        <v>#N/A</v>
      </c>
      <c r="U60" s="21">
        <f t="shared" ca="1" si="5"/>
        <v>2012</v>
      </c>
      <c r="V60" s="21" t="e">
        <f t="shared" ca="1" si="5"/>
        <v>#N/A</v>
      </c>
      <c r="W60" s="21" t="e">
        <f t="shared" ca="1" si="5"/>
        <v>#N/A</v>
      </c>
      <c r="X60" s="21" t="e">
        <f t="shared" ca="1" si="5"/>
        <v>#N/A</v>
      </c>
      <c r="Y60" s="21">
        <f t="shared" ca="1" si="5"/>
        <v>2012</v>
      </c>
      <c r="Z60" s="21" t="e">
        <f t="shared" ca="1" si="5"/>
        <v>#N/A</v>
      </c>
      <c r="AA60" s="21" t="e">
        <f t="shared" ca="1" si="5"/>
        <v>#N/A</v>
      </c>
      <c r="AB60" s="21" t="e">
        <f t="shared" ca="1" si="5"/>
        <v>#N/A</v>
      </c>
      <c r="AC60" s="21">
        <f t="shared" ca="1" si="5"/>
        <v>2012</v>
      </c>
      <c r="AD60" s="21" t="e">
        <f t="shared" ca="1" si="5"/>
        <v>#N/A</v>
      </c>
    </row>
    <row r="61" spans="2:30" ht="12" thickBot="1" x14ac:dyDescent="0.25">
      <c r="B61" s="1" t="str">
        <f>tblIndicators!B59</f>
        <v>RAIL17</v>
      </c>
      <c r="C61" s="1">
        <f>tblIndicators!E59</f>
        <v>1</v>
      </c>
      <c r="D61" s="19" t="str">
        <f>tblIndicators!O59</f>
        <v>Annual train engine producvity</v>
      </c>
      <c r="E61" s="21">
        <f t="shared" ca="1" si="6"/>
        <v>2012</v>
      </c>
      <c r="F61" s="21" t="e">
        <f t="shared" ca="1" si="6"/>
        <v>#N/A</v>
      </c>
      <c r="G61" s="21" t="e">
        <f t="shared" ca="1" si="6"/>
        <v>#N/A</v>
      </c>
      <c r="H61" s="21" t="e">
        <f t="shared" ca="1" si="6"/>
        <v>#N/A</v>
      </c>
      <c r="I61" s="21">
        <f t="shared" ca="1" si="6"/>
        <v>2012</v>
      </c>
      <c r="J61" s="21">
        <f t="shared" ca="1" si="6"/>
        <v>2012</v>
      </c>
      <c r="K61" s="21">
        <f t="shared" ca="1" si="6"/>
        <v>2012</v>
      </c>
      <c r="L61" s="21">
        <f t="shared" ca="1" si="6"/>
        <v>2012</v>
      </c>
      <c r="M61" s="21" t="e">
        <f t="shared" ca="1" si="6"/>
        <v>#N/A</v>
      </c>
      <c r="N61" s="21" t="e">
        <f t="shared" ca="1" si="6"/>
        <v>#N/A</v>
      </c>
      <c r="O61" s="21" t="e">
        <f t="shared" ca="1" si="6"/>
        <v>#N/A</v>
      </c>
      <c r="P61" s="21" t="e">
        <f t="shared" ca="1" si="6"/>
        <v>#N/A</v>
      </c>
      <c r="Q61" s="21" t="e">
        <f t="shared" ca="1" si="6"/>
        <v>#N/A</v>
      </c>
      <c r="R61" s="21" t="e">
        <f t="shared" ca="1" si="6"/>
        <v>#N/A</v>
      </c>
      <c r="S61" s="21" t="e">
        <f t="shared" ca="1" si="6"/>
        <v>#N/A</v>
      </c>
      <c r="T61" s="21" t="e">
        <f t="shared" ca="1" si="6"/>
        <v>#N/A</v>
      </c>
      <c r="U61" s="21">
        <f t="shared" ca="1" si="5"/>
        <v>2012</v>
      </c>
      <c r="V61" s="21" t="e">
        <f t="shared" ca="1" si="5"/>
        <v>#N/A</v>
      </c>
      <c r="W61" s="21" t="e">
        <f t="shared" ca="1" si="5"/>
        <v>#N/A</v>
      </c>
      <c r="X61" s="21" t="e">
        <f t="shared" ca="1" si="5"/>
        <v>#N/A</v>
      </c>
      <c r="Y61" s="21">
        <f t="shared" ca="1" si="5"/>
        <v>2012</v>
      </c>
      <c r="Z61" s="21" t="e">
        <f t="shared" ca="1" si="5"/>
        <v>#N/A</v>
      </c>
      <c r="AA61" s="21" t="e">
        <f t="shared" ca="1" si="5"/>
        <v>#N/A</v>
      </c>
      <c r="AB61" s="21" t="e">
        <f t="shared" ca="1" si="5"/>
        <v>#N/A</v>
      </c>
      <c r="AC61" s="21">
        <f t="shared" ca="1" si="5"/>
        <v>2012</v>
      </c>
      <c r="AD61" s="21" t="e">
        <f t="shared" ca="1" si="5"/>
        <v>#N/A</v>
      </c>
    </row>
    <row r="62" spans="2:30" ht="12" thickBot="1" x14ac:dyDescent="0.25">
      <c r="B62" s="1" t="str">
        <f>tblIndicators!B60</f>
        <v>RAIL18</v>
      </c>
      <c r="C62" s="1">
        <f>tblIndicators!E60</f>
        <v>1</v>
      </c>
      <c r="D62" s="19" t="str">
        <f>tblIndicators!O60</f>
        <v>Freight car productivity</v>
      </c>
      <c r="E62" s="21">
        <f t="shared" ca="1" si="6"/>
        <v>2012</v>
      </c>
      <c r="F62" s="21" t="e">
        <f t="shared" ca="1" si="6"/>
        <v>#N/A</v>
      </c>
      <c r="G62" s="21" t="e">
        <f t="shared" ref="E62:T75" ca="1" si="7">IF($C62=0,"",INDEX(OFFSET(lu_DataCode,0,3),MATCH(CONCATENATE(G$2,"_",$B62),lu_DataCode,0)))</f>
        <v>#N/A</v>
      </c>
      <c r="H62" s="21" t="e">
        <f t="shared" ca="1" si="7"/>
        <v>#N/A</v>
      </c>
      <c r="I62" s="21">
        <f t="shared" ca="1" si="7"/>
        <v>2012</v>
      </c>
      <c r="J62" s="21">
        <f t="shared" ca="1" si="7"/>
        <v>2012</v>
      </c>
      <c r="K62" s="21">
        <f t="shared" ca="1" si="7"/>
        <v>2012</v>
      </c>
      <c r="L62" s="21">
        <f t="shared" ca="1" si="7"/>
        <v>2012</v>
      </c>
      <c r="M62" s="21" t="e">
        <f t="shared" ca="1" si="7"/>
        <v>#N/A</v>
      </c>
      <c r="N62" s="21" t="e">
        <f t="shared" ca="1" si="7"/>
        <v>#N/A</v>
      </c>
      <c r="O62" s="21" t="e">
        <f t="shared" ca="1" si="7"/>
        <v>#N/A</v>
      </c>
      <c r="P62" s="21" t="e">
        <f t="shared" ca="1" si="7"/>
        <v>#N/A</v>
      </c>
      <c r="Q62" s="21" t="e">
        <f t="shared" ca="1" si="7"/>
        <v>#N/A</v>
      </c>
      <c r="R62" s="21" t="e">
        <f t="shared" ca="1" si="7"/>
        <v>#N/A</v>
      </c>
      <c r="S62" s="21" t="e">
        <f t="shared" ca="1" si="7"/>
        <v>#N/A</v>
      </c>
      <c r="T62" s="21" t="e">
        <f t="shared" ca="1" si="7"/>
        <v>#N/A</v>
      </c>
      <c r="U62" s="21">
        <f t="shared" ca="1" si="5"/>
        <v>2012</v>
      </c>
      <c r="V62" s="21" t="e">
        <f t="shared" ca="1" si="5"/>
        <v>#N/A</v>
      </c>
      <c r="W62" s="21" t="e">
        <f t="shared" ca="1" si="5"/>
        <v>#N/A</v>
      </c>
      <c r="X62" s="21" t="e">
        <f t="shared" ca="1" si="5"/>
        <v>#N/A</v>
      </c>
      <c r="Y62" s="21">
        <f t="shared" ca="1" si="5"/>
        <v>2012</v>
      </c>
      <c r="Z62" s="21" t="e">
        <f t="shared" ca="1" si="5"/>
        <v>#N/A</v>
      </c>
      <c r="AA62" s="21" t="e">
        <f t="shared" ca="1" si="5"/>
        <v>#N/A</v>
      </c>
      <c r="AB62" s="21" t="e">
        <f t="shared" ca="1" si="5"/>
        <v>#N/A</v>
      </c>
      <c r="AC62" s="21">
        <f t="shared" ca="1" si="5"/>
        <v>2012</v>
      </c>
      <c r="AD62" s="21" t="e">
        <f t="shared" ca="1" si="5"/>
        <v>#N/A</v>
      </c>
    </row>
    <row r="63" spans="2:30" ht="12" thickBot="1" x14ac:dyDescent="0.25">
      <c r="B63" s="1" t="str">
        <f>tblIndicators!B61</f>
        <v>RAIL19</v>
      </c>
      <c r="C63" s="1">
        <f>tblIndicators!E61</f>
        <v>1</v>
      </c>
      <c r="D63" s="19" t="str">
        <f>tblIndicators!O61</f>
        <v>Average rail freight tariff</v>
      </c>
      <c r="E63" s="21">
        <f t="shared" ca="1" si="7"/>
        <v>2012</v>
      </c>
      <c r="F63" s="21" t="e">
        <f t="shared" ca="1" si="7"/>
        <v>#N/A</v>
      </c>
      <c r="G63" s="21" t="e">
        <f t="shared" ca="1" si="7"/>
        <v>#N/A</v>
      </c>
      <c r="H63" s="21" t="e">
        <f t="shared" ca="1" si="7"/>
        <v>#N/A</v>
      </c>
      <c r="I63" s="21">
        <f t="shared" ca="1" si="7"/>
        <v>2012</v>
      </c>
      <c r="J63" s="21">
        <f t="shared" ca="1" si="7"/>
        <v>2012</v>
      </c>
      <c r="K63" s="21">
        <f t="shared" ca="1" si="7"/>
        <v>2012</v>
      </c>
      <c r="L63" s="21">
        <f t="shared" ca="1" si="7"/>
        <v>2012</v>
      </c>
      <c r="M63" s="21" t="e">
        <f t="shared" ca="1" si="7"/>
        <v>#N/A</v>
      </c>
      <c r="N63" s="21" t="e">
        <f t="shared" ca="1" si="7"/>
        <v>#N/A</v>
      </c>
      <c r="O63" s="21" t="e">
        <f t="shared" ca="1" si="7"/>
        <v>#N/A</v>
      </c>
      <c r="P63" s="21" t="e">
        <f t="shared" ca="1" si="7"/>
        <v>#N/A</v>
      </c>
      <c r="Q63" s="21" t="e">
        <f t="shared" ca="1" si="7"/>
        <v>#N/A</v>
      </c>
      <c r="R63" s="21" t="e">
        <f t="shared" ca="1" si="7"/>
        <v>#N/A</v>
      </c>
      <c r="S63" s="21" t="e">
        <f t="shared" ca="1" si="7"/>
        <v>#N/A</v>
      </c>
      <c r="T63" s="21" t="e">
        <f t="shared" ca="1" si="7"/>
        <v>#N/A</v>
      </c>
      <c r="U63" s="21">
        <f t="shared" ca="1" si="5"/>
        <v>2012</v>
      </c>
      <c r="V63" s="21" t="e">
        <f t="shared" ca="1" si="5"/>
        <v>#N/A</v>
      </c>
      <c r="W63" s="21" t="e">
        <f t="shared" ca="1" si="5"/>
        <v>#N/A</v>
      </c>
      <c r="X63" s="21" t="e">
        <f t="shared" ca="1" si="5"/>
        <v>#N/A</v>
      </c>
      <c r="Y63" s="21">
        <f t="shared" ca="1" si="5"/>
        <v>2012</v>
      </c>
      <c r="Z63" s="21" t="e">
        <f t="shared" ca="1" si="5"/>
        <v>#N/A</v>
      </c>
      <c r="AA63" s="21" t="e">
        <f t="shared" ca="1" si="5"/>
        <v>#N/A</v>
      </c>
      <c r="AB63" s="21" t="e">
        <f t="shared" ca="1" si="5"/>
        <v>#N/A</v>
      </c>
      <c r="AC63" s="21">
        <f t="shared" ca="1" si="5"/>
        <v>2012</v>
      </c>
      <c r="AD63" s="21" t="e">
        <f t="shared" ca="1" si="5"/>
        <v>#N/A</v>
      </c>
    </row>
    <row r="64" spans="2:30" ht="15.75" thickBot="1" x14ac:dyDescent="0.3">
      <c r="B64" s="1" t="str">
        <f>tblIndicators!B62</f>
        <v>AIR</v>
      </c>
      <c r="C64" s="1">
        <f>tblIndicators!E62</f>
        <v>0</v>
      </c>
      <c r="D64" s="20" t="str">
        <f>tblIndicators!O62</f>
        <v xml:space="preserve">Air transportation </v>
      </c>
      <c r="E64" s="21" t="str">
        <f t="shared" ca="1" si="7"/>
        <v/>
      </c>
      <c r="F64" s="21" t="str">
        <f t="shared" ca="1" si="7"/>
        <v/>
      </c>
      <c r="G64" s="21" t="str">
        <f t="shared" ca="1" si="7"/>
        <v/>
      </c>
      <c r="H64" s="21" t="str">
        <f t="shared" ca="1" si="7"/>
        <v/>
      </c>
      <c r="I64" s="21" t="str">
        <f t="shared" ca="1" si="7"/>
        <v/>
      </c>
      <c r="J64" s="21" t="str">
        <f t="shared" ca="1" si="7"/>
        <v/>
      </c>
      <c r="K64" s="21" t="str">
        <f t="shared" ca="1" si="7"/>
        <v/>
      </c>
      <c r="L64" s="21" t="str">
        <f t="shared" ca="1" si="7"/>
        <v/>
      </c>
      <c r="M64" s="21" t="str">
        <f t="shared" ca="1" si="7"/>
        <v/>
      </c>
      <c r="N64" s="21" t="str">
        <f t="shared" ca="1" si="7"/>
        <v/>
      </c>
      <c r="O64" s="21" t="str">
        <f t="shared" ca="1" si="7"/>
        <v/>
      </c>
      <c r="P64" s="21" t="str">
        <f t="shared" ca="1" si="7"/>
        <v/>
      </c>
      <c r="Q64" s="21" t="str">
        <f t="shared" ca="1" si="7"/>
        <v/>
      </c>
      <c r="R64" s="21" t="str">
        <f t="shared" ca="1" si="7"/>
        <v/>
      </c>
      <c r="S64" s="21" t="str">
        <f t="shared" ca="1" si="7"/>
        <v/>
      </c>
      <c r="T64" s="21" t="str">
        <f t="shared" ca="1" si="7"/>
        <v/>
      </c>
      <c r="U64" s="21" t="str">
        <f t="shared" ca="1" si="5"/>
        <v/>
      </c>
      <c r="V64" s="21" t="str">
        <f t="shared" ca="1" si="5"/>
        <v/>
      </c>
      <c r="W64" s="21" t="str">
        <f t="shared" ca="1" si="5"/>
        <v/>
      </c>
      <c r="X64" s="21" t="str">
        <f t="shared" ca="1" si="5"/>
        <v/>
      </c>
      <c r="Y64" s="21" t="str">
        <f t="shared" ca="1" si="5"/>
        <v/>
      </c>
      <c r="Z64" s="21" t="str">
        <f t="shared" ca="1" si="5"/>
        <v/>
      </c>
      <c r="AA64" s="21" t="str">
        <f t="shared" ca="1" si="5"/>
        <v/>
      </c>
      <c r="AB64" s="21" t="str">
        <f t="shared" ca="1" si="5"/>
        <v/>
      </c>
      <c r="AC64" s="21" t="str">
        <f t="shared" ca="1" si="5"/>
        <v/>
      </c>
      <c r="AD64" s="21" t="str">
        <f t="shared" ca="1" si="5"/>
        <v/>
      </c>
    </row>
    <row r="65" spans="2:30" ht="12" thickBot="1" x14ac:dyDescent="0.25">
      <c r="B65" s="1" t="str">
        <f>tblIndicators!B63</f>
        <v>AIR01</v>
      </c>
      <c r="C65" s="1">
        <f>tblIndicators!E63</f>
        <v>1</v>
      </c>
      <c r="D65" s="19" t="str">
        <f>tblIndicators!O63</f>
        <v>International airports with cargo terminal facilities</v>
      </c>
      <c r="E65" s="21">
        <f t="shared" ca="1" si="7"/>
        <v>2012</v>
      </c>
      <c r="F65" s="21">
        <f t="shared" ca="1" si="7"/>
        <v>2012</v>
      </c>
      <c r="G65" s="21">
        <f t="shared" ca="1" si="7"/>
        <v>2012</v>
      </c>
      <c r="H65" s="21">
        <f t="shared" ca="1" si="7"/>
        <v>2012</v>
      </c>
      <c r="I65" s="21">
        <f t="shared" ca="1" si="7"/>
        <v>2012</v>
      </c>
      <c r="J65" s="21">
        <f t="shared" ca="1" si="7"/>
        <v>2012</v>
      </c>
      <c r="K65" s="21">
        <f t="shared" ca="1" si="7"/>
        <v>2012</v>
      </c>
      <c r="L65" s="21">
        <f t="shared" ca="1" si="7"/>
        <v>2012</v>
      </c>
      <c r="M65" s="21">
        <f t="shared" ca="1" si="7"/>
        <v>2012</v>
      </c>
      <c r="N65" s="21">
        <f t="shared" ca="1" si="7"/>
        <v>2012</v>
      </c>
      <c r="O65" s="21">
        <f t="shared" ca="1" si="7"/>
        <v>2012</v>
      </c>
      <c r="P65" s="21">
        <f t="shared" ca="1" si="7"/>
        <v>2012</v>
      </c>
      <c r="Q65" s="21">
        <f t="shared" ca="1" si="7"/>
        <v>2012</v>
      </c>
      <c r="R65" s="21">
        <f t="shared" ca="1" si="7"/>
        <v>2012</v>
      </c>
      <c r="S65" s="21">
        <f t="shared" ca="1" si="7"/>
        <v>2012</v>
      </c>
      <c r="T65" s="21">
        <f t="shared" ca="1" si="7"/>
        <v>2012</v>
      </c>
      <c r="U65" s="21">
        <f t="shared" ca="1" si="5"/>
        <v>2012</v>
      </c>
      <c r="V65" s="21">
        <f t="shared" ca="1" si="5"/>
        <v>2012</v>
      </c>
      <c r="W65" s="21">
        <f t="shared" ca="1" si="5"/>
        <v>2012</v>
      </c>
      <c r="X65" s="21">
        <f t="shared" ca="1" si="5"/>
        <v>2012</v>
      </c>
      <c r="Y65" s="21">
        <f t="shared" ca="1" si="5"/>
        <v>2012</v>
      </c>
      <c r="Z65" s="21">
        <f t="shared" ca="1" si="5"/>
        <v>2012</v>
      </c>
      <c r="AA65" s="21">
        <f t="shared" ca="1" si="5"/>
        <v>2012</v>
      </c>
      <c r="AB65" s="21">
        <f t="shared" ca="1" si="5"/>
        <v>2012</v>
      </c>
      <c r="AC65" s="21">
        <f t="shared" ca="1" si="5"/>
        <v>2012</v>
      </c>
      <c r="AD65" s="21">
        <f t="shared" ca="1" si="5"/>
        <v>2012</v>
      </c>
    </row>
    <row r="66" spans="2:30" ht="12" thickBot="1" x14ac:dyDescent="0.25">
      <c r="B66" s="1" t="str">
        <f>tblIndicators!B64</f>
        <v>AIR02</v>
      </c>
      <c r="C66" s="1">
        <f>tblIndicators!E64</f>
        <v>1</v>
      </c>
      <c r="D66" s="19" t="str">
        <f>tblIndicators!O64</f>
        <v>Maximum aircraft approach category</v>
      </c>
      <c r="E66" s="21">
        <f t="shared" ca="1" si="7"/>
        <v>2012</v>
      </c>
      <c r="F66" s="21" t="e">
        <f t="shared" ca="1" si="7"/>
        <v>#N/A</v>
      </c>
      <c r="G66" s="21">
        <f t="shared" ca="1" si="7"/>
        <v>2012</v>
      </c>
      <c r="H66" s="21">
        <f t="shared" ca="1" si="7"/>
        <v>2012</v>
      </c>
      <c r="I66" s="21">
        <f t="shared" ca="1" si="7"/>
        <v>2012</v>
      </c>
      <c r="J66" s="21">
        <f t="shared" ca="1" si="7"/>
        <v>2012</v>
      </c>
      <c r="K66" s="21" t="e">
        <f t="shared" ca="1" si="7"/>
        <v>#N/A</v>
      </c>
      <c r="L66" s="21">
        <f t="shared" ca="1" si="7"/>
        <v>2012</v>
      </c>
      <c r="M66" s="21">
        <f t="shared" ca="1" si="7"/>
        <v>2012</v>
      </c>
      <c r="N66" s="21">
        <f t="shared" ca="1" si="7"/>
        <v>2012</v>
      </c>
      <c r="O66" s="21">
        <f t="shared" ca="1" si="7"/>
        <v>2012</v>
      </c>
      <c r="P66" s="21">
        <f t="shared" ca="1" si="7"/>
        <v>2012</v>
      </c>
      <c r="Q66" s="21" t="e">
        <f t="shared" ca="1" si="7"/>
        <v>#N/A</v>
      </c>
      <c r="R66" s="21" t="e">
        <f t="shared" ca="1" si="7"/>
        <v>#N/A</v>
      </c>
      <c r="S66" s="21">
        <f t="shared" ca="1" si="7"/>
        <v>2012</v>
      </c>
      <c r="T66" s="21">
        <f t="shared" ca="1" si="7"/>
        <v>2012</v>
      </c>
      <c r="U66" s="21">
        <f t="shared" ca="1" si="5"/>
        <v>2012</v>
      </c>
      <c r="V66" s="21" t="e">
        <f t="shared" ca="1" si="5"/>
        <v>#N/A</v>
      </c>
      <c r="W66" s="21">
        <f t="shared" ca="1" si="5"/>
        <v>2012</v>
      </c>
      <c r="X66" s="21" t="e">
        <f t="shared" ca="1" si="5"/>
        <v>#N/A</v>
      </c>
      <c r="Y66" s="21">
        <f t="shared" ca="1" si="5"/>
        <v>2012</v>
      </c>
      <c r="Z66" s="21">
        <f t="shared" ca="1" si="5"/>
        <v>2012</v>
      </c>
      <c r="AA66" s="21" t="e">
        <f t="shared" ca="1" si="5"/>
        <v>#N/A</v>
      </c>
      <c r="AB66" s="21" t="e">
        <f t="shared" ca="1" si="5"/>
        <v>#N/A</v>
      </c>
      <c r="AC66" s="21" t="e">
        <f t="shared" ca="1" si="5"/>
        <v>#N/A</v>
      </c>
      <c r="AD66" s="21" t="e">
        <f t="shared" ca="1" si="5"/>
        <v>#N/A</v>
      </c>
    </row>
    <row r="67" spans="2:30" ht="12" thickBot="1" x14ac:dyDescent="0.25">
      <c r="B67" s="1" t="str">
        <f>tblIndicators!B65</f>
        <v>AIR03</v>
      </c>
      <c r="C67" s="1">
        <f>tblIndicators!E65</f>
        <v>1</v>
      </c>
      <c r="D67" s="19" t="str">
        <f>tblIndicators!O65</f>
        <v>Instrument approach available in international airports</v>
      </c>
      <c r="E67" s="21">
        <f t="shared" ca="1" si="7"/>
        <v>2012</v>
      </c>
      <c r="F67" s="21" t="e">
        <f t="shared" ca="1" si="7"/>
        <v>#N/A</v>
      </c>
      <c r="G67" s="21">
        <f t="shared" ca="1" si="7"/>
        <v>2012</v>
      </c>
      <c r="H67" s="21" t="e">
        <f t="shared" ca="1" si="7"/>
        <v>#N/A</v>
      </c>
      <c r="I67" s="21">
        <f t="shared" ca="1" si="7"/>
        <v>2012</v>
      </c>
      <c r="J67" s="21">
        <f t="shared" ca="1" si="7"/>
        <v>2012</v>
      </c>
      <c r="K67" s="21" t="e">
        <f t="shared" ca="1" si="7"/>
        <v>#N/A</v>
      </c>
      <c r="L67" s="21">
        <f t="shared" ca="1" si="7"/>
        <v>2012</v>
      </c>
      <c r="M67" s="21">
        <f t="shared" ca="1" si="7"/>
        <v>2012</v>
      </c>
      <c r="N67" s="21">
        <f t="shared" ca="1" si="7"/>
        <v>2012</v>
      </c>
      <c r="O67" s="21">
        <f t="shared" ca="1" si="7"/>
        <v>2012</v>
      </c>
      <c r="P67" s="21">
        <f t="shared" ca="1" si="7"/>
        <v>2012</v>
      </c>
      <c r="Q67" s="21" t="e">
        <f t="shared" ca="1" si="7"/>
        <v>#N/A</v>
      </c>
      <c r="R67" s="21" t="e">
        <f t="shared" ca="1" si="7"/>
        <v>#N/A</v>
      </c>
      <c r="S67" s="21">
        <f t="shared" ca="1" si="7"/>
        <v>2012</v>
      </c>
      <c r="T67" s="21">
        <f t="shared" ca="1" si="7"/>
        <v>2012</v>
      </c>
      <c r="U67" s="21">
        <f t="shared" ca="1" si="5"/>
        <v>2012</v>
      </c>
      <c r="V67" s="21" t="e">
        <f t="shared" ca="1" si="5"/>
        <v>#N/A</v>
      </c>
      <c r="W67" s="21">
        <f t="shared" ca="1" si="5"/>
        <v>2012</v>
      </c>
      <c r="X67" s="21">
        <f t="shared" ca="1" si="5"/>
        <v>2012</v>
      </c>
      <c r="Y67" s="21">
        <f t="shared" ca="1" si="5"/>
        <v>2012</v>
      </c>
      <c r="Z67" s="21">
        <f t="shared" ca="1" si="5"/>
        <v>2012</v>
      </c>
      <c r="AA67" s="21" t="e">
        <f t="shared" ca="1" si="5"/>
        <v>#N/A</v>
      </c>
      <c r="AB67" s="21" t="e">
        <f t="shared" ca="1" si="5"/>
        <v>#N/A</v>
      </c>
      <c r="AC67" s="21">
        <f t="shared" ca="1" si="5"/>
        <v>2012</v>
      </c>
      <c r="AD67" s="21" t="e">
        <f t="shared" ca="1" si="5"/>
        <v>#N/A</v>
      </c>
    </row>
    <row r="68" spans="2:30" ht="12" thickBot="1" x14ac:dyDescent="0.25">
      <c r="B68" s="1" t="str">
        <f>tblIndicators!B66</f>
        <v>AIR04</v>
      </c>
      <c r="C68" s="1">
        <f>tblIndicators!E66</f>
        <v>1</v>
      </c>
      <c r="D68" s="19" t="str">
        <f>tblIndicators!O66</f>
        <v>Cargo facilities area in international airports</v>
      </c>
      <c r="E68" s="21">
        <f t="shared" ca="1" si="7"/>
        <v>2012</v>
      </c>
      <c r="F68" s="21" t="e">
        <f t="shared" ca="1" si="7"/>
        <v>#N/A</v>
      </c>
      <c r="G68" s="21">
        <f t="shared" ca="1" si="7"/>
        <v>2012</v>
      </c>
      <c r="H68" s="21" t="e">
        <f t="shared" ca="1" si="7"/>
        <v>#N/A</v>
      </c>
      <c r="I68" s="21">
        <f t="shared" ca="1" si="7"/>
        <v>2012</v>
      </c>
      <c r="J68" s="21">
        <f t="shared" ca="1" si="7"/>
        <v>2012</v>
      </c>
      <c r="K68" s="21" t="e">
        <f t="shared" ca="1" si="7"/>
        <v>#N/A</v>
      </c>
      <c r="L68" s="21">
        <f t="shared" ca="1" si="7"/>
        <v>2012</v>
      </c>
      <c r="M68" s="21">
        <f t="shared" ca="1" si="7"/>
        <v>2012</v>
      </c>
      <c r="N68" s="21">
        <f t="shared" ca="1" si="7"/>
        <v>2012</v>
      </c>
      <c r="O68" s="21">
        <f t="shared" ca="1" si="7"/>
        <v>2012</v>
      </c>
      <c r="P68" s="21">
        <f t="shared" ca="1" si="7"/>
        <v>2012</v>
      </c>
      <c r="Q68" s="21" t="e">
        <f t="shared" ca="1" si="7"/>
        <v>#N/A</v>
      </c>
      <c r="R68" s="21" t="e">
        <f t="shared" ca="1" si="7"/>
        <v>#N/A</v>
      </c>
      <c r="S68" s="21">
        <f t="shared" ca="1" si="7"/>
        <v>2012</v>
      </c>
      <c r="T68" s="21">
        <f t="shared" ca="1" si="7"/>
        <v>2012</v>
      </c>
      <c r="U68" s="21">
        <f t="shared" ca="1" si="5"/>
        <v>2012</v>
      </c>
      <c r="V68" s="21" t="e">
        <f t="shared" ca="1" si="5"/>
        <v>#N/A</v>
      </c>
      <c r="W68" s="21">
        <f t="shared" ca="1" si="5"/>
        <v>2012</v>
      </c>
      <c r="X68" s="21">
        <f t="shared" ca="1" si="5"/>
        <v>2012</v>
      </c>
      <c r="Y68" s="21" t="e">
        <f t="shared" ca="1" si="5"/>
        <v>#N/A</v>
      </c>
      <c r="Z68" s="21">
        <f t="shared" ca="1" si="5"/>
        <v>2012</v>
      </c>
      <c r="AA68" s="21" t="e">
        <f t="shared" ca="1" si="5"/>
        <v>#N/A</v>
      </c>
      <c r="AB68" s="21" t="e">
        <f t="shared" ca="1" si="5"/>
        <v>#N/A</v>
      </c>
      <c r="AC68" s="21">
        <f t="shared" ca="1" si="5"/>
        <v>2012</v>
      </c>
      <c r="AD68" s="21" t="e">
        <f t="shared" ca="1" si="5"/>
        <v>#N/A</v>
      </c>
    </row>
    <row r="69" spans="2:30" ht="12" thickBot="1" x14ac:dyDescent="0.25">
      <c r="B69" s="1" t="str">
        <f>tblIndicators!B67</f>
        <v>AIR05</v>
      </c>
      <c r="C69" s="1">
        <f>tblIndicators!E67</f>
        <v>1</v>
      </c>
      <c r="D69" s="19" t="str">
        <f>tblIndicators!O67</f>
        <v>Domestic air freight</v>
      </c>
      <c r="E69" s="21">
        <f t="shared" ca="1" si="7"/>
        <v>2012</v>
      </c>
      <c r="F69" s="21" t="e">
        <f t="shared" ca="1" si="7"/>
        <v>#N/A</v>
      </c>
      <c r="G69" s="21" t="e">
        <f t="shared" ca="1" si="7"/>
        <v>#N/A</v>
      </c>
      <c r="H69" s="21" t="e">
        <f t="shared" ca="1" si="7"/>
        <v>#N/A</v>
      </c>
      <c r="I69" s="21" t="e">
        <f t="shared" ca="1" si="7"/>
        <v>#N/A</v>
      </c>
      <c r="J69" s="21">
        <f t="shared" ca="1" si="7"/>
        <v>2012</v>
      </c>
      <c r="K69" s="21">
        <f t="shared" ca="1" si="7"/>
        <v>2012</v>
      </c>
      <c r="L69" s="21">
        <f t="shared" ca="1" si="7"/>
        <v>2012</v>
      </c>
      <c r="M69" s="21" t="e">
        <f t="shared" ca="1" si="7"/>
        <v>#N/A</v>
      </c>
      <c r="N69" s="21">
        <f t="shared" ca="1" si="7"/>
        <v>2012</v>
      </c>
      <c r="O69" s="21" t="e">
        <f t="shared" ca="1" si="7"/>
        <v>#N/A</v>
      </c>
      <c r="P69" s="21" t="e">
        <f t="shared" ca="1" si="7"/>
        <v>#N/A</v>
      </c>
      <c r="Q69" s="21">
        <f t="shared" ca="1" si="7"/>
        <v>2012</v>
      </c>
      <c r="R69" s="21" t="e">
        <f t="shared" ca="1" si="7"/>
        <v>#N/A</v>
      </c>
      <c r="S69" s="21">
        <f t="shared" ca="1" si="7"/>
        <v>2012</v>
      </c>
      <c r="T69" s="21" t="e">
        <f t="shared" ca="1" si="7"/>
        <v>#N/A</v>
      </c>
      <c r="U69" s="21">
        <f t="shared" ca="1" si="5"/>
        <v>2012</v>
      </c>
      <c r="V69" s="21">
        <f t="shared" ca="1" si="5"/>
        <v>2012</v>
      </c>
      <c r="W69" s="21">
        <f t="shared" ca="1" si="5"/>
        <v>2012</v>
      </c>
      <c r="X69" s="21" t="e">
        <f t="shared" ca="1" si="5"/>
        <v>#N/A</v>
      </c>
      <c r="Y69" s="21">
        <f t="shared" ca="1" si="5"/>
        <v>2012</v>
      </c>
      <c r="Z69" s="21" t="e">
        <f t="shared" ca="1" si="5"/>
        <v>#N/A</v>
      </c>
      <c r="AA69" s="21" t="e">
        <f t="shared" ca="1" si="5"/>
        <v>#N/A</v>
      </c>
      <c r="AB69" s="21" t="e">
        <f t="shared" ca="1" si="5"/>
        <v>#N/A</v>
      </c>
      <c r="AC69" s="21" t="e">
        <f t="shared" ca="1" si="5"/>
        <v>#N/A</v>
      </c>
      <c r="AD69" s="21" t="e">
        <f t="shared" ca="1" si="5"/>
        <v>#N/A</v>
      </c>
    </row>
    <row r="70" spans="2:30" ht="12" thickBot="1" x14ac:dyDescent="0.25">
      <c r="B70" s="1" t="str">
        <f>tblIndicators!B68</f>
        <v>AIR06</v>
      </c>
      <c r="C70" s="1">
        <f>tblIndicators!E68</f>
        <v>1</v>
      </c>
      <c r="D70" s="19" t="str">
        <f>tblIndicators!O68</f>
        <v>International air freight</v>
      </c>
      <c r="E70" s="21">
        <f t="shared" ca="1" si="7"/>
        <v>2012</v>
      </c>
      <c r="F70" s="21">
        <f t="shared" ca="1" si="7"/>
        <v>2012</v>
      </c>
      <c r="G70" s="21">
        <f t="shared" ca="1" si="7"/>
        <v>2012</v>
      </c>
      <c r="H70" s="21">
        <f t="shared" ca="1" si="7"/>
        <v>2012</v>
      </c>
      <c r="I70" s="21">
        <f t="shared" ca="1" si="7"/>
        <v>2012</v>
      </c>
      <c r="J70" s="21">
        <f t="shared" ca="1" si="7"/>
        <v>2012</v>
      </c>
      <c r="K70" s="21">
        <f t="shared" ca="1" si="7"/>
        <v>2012</v>
      </c>
      <c r="L70" s="21">
        <f t="shared" ca="1" si="7"/>
        <v>2012</v>
      </c>
      <c r="M70" s="21">
        <f t="shared" ca="1" si="7"/>
        <v>2012</v>
      </c>
      <c r="N70" s="21">
        <f t="shared" ca="1" si="7"/>
        <v>2012</v>
      </c>
      <c r="O70" s="21">
        <f t="shared" ca="1" si="7"/>
        <v>2012</v>
      </c>
      <c r="P70" s="21">
        <f t="shared" ca="1" si="7"/>
        <v>2012</v>
      </c>
      <c r="Q70" s="21">
        <f t="shared" ca="1" si="7"/>
        <v>2012</v>
      </c>
      <c r="R70" s="21" t="e">
        <f t="shared" ca="1" si="7"/>
        <v>#N/A</v>
      </c>
      <c r="S70" s="21">
        <f t="shared" ca="1" si="7"/>
        <v>2012</v>
      </c>
      <c r="T70" s="21">
        <f t="shared" ca="1" si="7"/>
        <v>2012</v>
      </c>
      <c r="U70" s="21">
        <f t="shared" ca="1" si="5"/>
        <v>2012</v>
      </c>
      <c r="V70" s="21">
        <f t="shared" ca="1" si="5"/>
        <v>2012</v>
      </c>
      <c r="W70" s="21">
        <f t="shared" ca="1" si="5"/>
        <v>2012</v>
      </c>
      <c r="X70" s="21">
        <f t="shared" ca="1" si="5"/>
        <v>2012</v>
      </c>
      <c r="Y70" s="21">
        <f t="shared" ca="1" si="5"/>
        <v>2012</v>
      </c>
      <c r="Z70" s="21">
        <f t="shared" ca="1" si="5"/>
        <v>2012</v>
      </c>
      <c r="AA70" s="21">
        <f t="shared" ca="1" si="5"/>
        <v>2012</v>
      </c>
      <c r="AB70" s="21">
        <f t="shared" ca="1" si="5"/>
        <v>2012</v>
      </c>
      <c r="AC70" s="21">
        <f t="shared" ca="1" si="5"/>
        <v>2012</v>
      </c>
      <c r="AD70" s="21">
        <f t="shared" ca="1" si="5"/>
        <v>2012</v>
      </c>
    </row>
    <row r="71" spans="2:30" ht="12" thickBot="1" x14ac:dyDescent="0.25">
      <c r="B71" s="1" t="str">
        <f>tblIndicators!B69</f>
        <v>AIR07</v>
      </c>
      <c r="C71" s="1">
        <f>tblIndicators!E69</f>
        <v>1</v>
      </c>
      <c r="D71" s="19" t="str">
        <f>tblIndicators!O69</f>
        <v>Domestic air freight productivity</v>
      </c>
      <c r="E71" s="21" t="e">
        <f t="shared" ca="1" si="7"/>
        <v>#N/A</v>
      </c>
      <c r="F71" s="21" t="e">
        <f t="shared" ca="1" si="7"/>
        <v>#N/A</v>
      </c>
      <c r="G71" s="21" t="e">
        <f t="shared" ca="1" si="7"/>
        <v>#N/A</v>
      </c>
      <c r="H71" s="21" t="e">
        <f t="shared" ca="1" si="7"/>
        <v>#N/A</v>
      </c>
      <c r="I71" s="21" t="e">
        <f t="shared" ca="1" si="7"/>
        <v>#N/A</v>
      </c>
      <c r="J71" s="21">
        <f t="shared" ca="1" si="7"/>
        <v>2012</v>
      </c>
      <c r="K71" s="21" t="e">
        <f t="shared" ca="1" si="7"/>
        <v>#N/A</v>
      </c>
      <c r="L71" s="21">
        <f t="shared" ca="1" si="7"/>
        <v>2012</v>
      </c>
      <c r="M71" s="21" t="e">
        <f t="shared" ca="1" si="7"/>
        <v>#N/A</v>
      </c>
      <c r="N71" s="21" t="e">
        <f t="shared" ca="1" si="7"/>
        <v>#N/A</v>
      </c>
      <c r="O71" s="21" t="e">
        <f t="shared" ca="1" si="7"/>
        <v>#N/A</v>
      </c>
      <c r="P71" s="21" t="e">
        <f t="shared" ca="1" si="7"/>
        <v>#N/A</v>
      </c>
      <c r="Q71" s="21" t="e">
        <f t="shared" ca="1" si="7"/>
        <v>#N/A</v>
      </c>
      <c r="R71" s="21" t="e">
        <f t="shared" ca="1" si="7"/>
        <v>#N/A</v>
      </c>
      <c r="S71" s="21" t="e">
        <f t="shared" ca="1" si="7"/>
        <v>#N/A</v>
      </c>
      <c r="T71" s="21" t="e">
        <f t="shared" ca="1" si="7"/>
        <v>#N/A</v>
      </c>
      <c r="U71" s="21" t="e">
        <f t="shared" ref="U71:AD91" ca="1" si="8">IF($C71=0,"",INDEX(OFFSET(lu_DataCode,0,3),MATCH(CONCATENATE(U$2,"_",$B71),lu_DataCode,0)))</f>
        <v>#N/A</v>
      </c>
      <c r="V71" s="21" t="e">
        <f t="shared" ca="1" si="8"/>
        <v>#N/A</v>
      </c>
      <c r="W71" s="21" t="e">
        <f t="shared" ca="1" si="8"/>
        <v>#N/A</v>
      </c>
      <c r="X71" s="21" t="e">
        <f t="shared" ca="1" si="8"/>
        <v>#N/A</v>
      </c>
      <c r="Y71" s="21" t="e">
        <f t="shared" ca="1" si="8"/>
        <v>#N/A</v>
      </c>
      <c r="Z71" s="21" t="e">
        <f t="shared" ca="1" si="8"/>
        <v>#N/A</v>
      </c>
      <c r="AA71" s="21" t="e">
        <f t="shared" ca="1" si="8"/>
        <v>#N/A</v>
      </c>
      <c r="AB71" s="21" t="e">
        <f t="shared" ca="1" si="8"/>
        <v>#N/A</v>
      </c>
      <c r="AC71" s="21" t="e">
        <f t="shared" ca="1" si="8"/>
        <v>#N/A</v>
      </c>
      <c r="AD71" s="21" t="e">
        <f t="shared" ca="1" si="8"/>
        <v>#N/A</v>
      </c>
    </row>
    <row r="72" spans="2:30" ht="15.75" thickBot="1" x14ac:dyDescent="0.3">
      <c r="B72" s="1" t="str">
        <f>tblIndicators!B70</f>
        <v>WATER</v>
      </c>
      <c r="C72" s="1">
        <f>tblIndicators!E70</f>
        <v>0</v>
      </c>
      <c r="D72" s="20" t="str">
        <f>tblIndicators!O70</f>
        <v xml:space="preserve">Water transportation </v>
      </c>
      <c r="E72" s="21" t="str">
        <f t="shared" ca="1" si="7"/>
        <v/>
      </c>
      <c r="F72" s="21" t="str">
        <f t="shared" ca="1" si="7"/>
        <v/>
      </c>
      <c r="G72" s="21" t="str">
        <f t="shared" ca="1" si="7"/>
        <v/>
      </c>
      <c r="H72" s="21" t="str">
        <f t="shared" ca="1" si="7"/>
        <v/>
      </c>
      <c r="I72" s="21" t="str">
        <f t="shared" ca="1" si="7"/>
        <v/>
      </c>
      <c r="J72" s="21" t="str">
        <f t="shared" ca="1" si="7"/>
        <v/>
      </c>
      <c r="K72" s="21" t="str">
        <f t="shared" ca="1" si="7"/>
        <v/>
      </c>
      <c r="L72" s="21" t="str">
        <f t="shared" ca="1" si="7"/>
        <v/>
      </c>
      <c r="M72" s="21" t="str">
        <f t="shared" ca="1" si="7"/>
        <v/>
      </c>
      <c r="N72" s="21" t="str">
        <f t="shared" ca="1" si="7"/>
        <v/>
      </c>
      <c r="O72" s="21" t="str">
        <f t="shared" ca="1" si="7"/>
        <v/>
      </c>
      <c r="P72" s="21" t="str">
        <f t="shared" ca="1" si="7"/>
        <v/>
      </c>
      <c r="Q72" s="21" t="str">
        <f t="shared" ca="1" si="7"/>
        <v/>
      </c>
      <c r="R72" s="21" t="str">
        <f t="shared" ca="1" si="7"/>
        <v/>
      </c>
      <c r="S72" s="21" t="str">
        <f t="shared" ca="1" si="7"/>
        <v/>
      </c>
      <c r="T72" s="21" t="str">
        <f t="shared" ca="1" si="7"/>
        <v/>
      </c>
      <c r="U72" s="21" t="str">
        <f t="shared" ca="1" si="8"/>
        <v/>
      </c>
      <c r="V72" s="21" t="str">
        <f t="shared" ca="1" si="8"/>
        <v/>
      </c>
      <c r="W72" s="21" t="str">
        <f t="shared" ca="1" si="8"/>
        <v/>
      </c>
      <c r="X72" s="21" t="str">
        <f t="shared" ca="1" si="8"/>
        <v/>
      </c>
      <c r="Y72" s="21" t="str">
        <f t="shared" ca="1" si="8"/>
        <v/>
      </c>
      <c r="Z72" s="21" t="str">
        <f t="shared" ca="1" si="8"/>
        <v/>
      </c>
      <c r="AA72" s="21" t="str">
        <f t="shared" ca="1" si="8"/>
        <v/>
      </c>
      <c r="AB72" s="21" t="str">
        <f t="shared" ca="1" si="8"/>
        <v/>
      </c>
      <c r="AC72" s="21" t="str">
        <f t="shared" ca="1" si="8"/>
        <v/>
      </c>
      <c r="AD72" s="21" t="str">
        <f t="shared" ca="1" si="8"/>
        <v/>
      </c>
    </row>
    <row r="73" spans="2:30" ht="12" thickBot="1" x14ac:dyDescent="0.25">
      <c r="B73" s="1" t="str">
        <f>tblIndicators!B71</f>
        <v>WATER01</v>
      </c>
      <c r="C73" s="1">
        <f>tblIndicators!E71</f>
        <v>1</v>
      </c>
      <c r="D73" s="19" t="str">
        <f>tblIndicators!O71</f>
        <v>Maximum draft in container terminal</v>
      </c>
      <c r="E73" s="21">
        <f t="shared" ca="1" si="7"/>
        <v>2012</v>
      </c>
      <c r="F73" s="21">
        <f t="shared" ca="1" si="7"/>
        <v>2012</v>
      </c>
      <c r="G73" s="21">
        <f t="shared" ca="1" si="7"/>
        <v>2012</v>
      </c>
      <c r="H73" s="21">
        <f t="shared" ca="1" si="7"/>
        <v>2012</v>
      </c>
      <c r="I73" s="21" t="e">
        <f t="shared" ca="1" si="7"/>
        <v>#N/A</v>
      </c>
      <c r="J73" s="21">
        <f t="shared" ca="1" si="7"/>
        <v>2012</v>
      </c>
      <c r="K73" s="21">
        <f t="shared" ca="1" si="7"/>
        <v>2012</v>
      </c>
      <c r="L73" s="21">
        <f t="shared" ca="1" si="7"/>
        <v>2012</v>
      </c>
      <c r="M73" s="21">
        <f t="shared" ca="1" si="7"/>
        <v>2012</v>
      </c>
      <c r="N73" s="21">
        <f t="shared" ca="1" si="7"/>
        <v>2012</v>
      </c>
      <c r="O73" s="21">
        <f t="shared" ca="1" si="7"/>
        <v>2012</v>
      </c>
      <c r="P73" s="21">
        <f t="shared" ca="1" si="7"/>
        <v>2012</v>
      </c>
      <c r="Q73" s="21">
        <f t="shared" ca="1" si="7"/>
        <v>2012</v>
      </c>
      <c r="R73" s="21">
        <f t="shared" ca="1" si="7"/>
        <v>2012</v>
      </c>
      <c r="S73" s="21">
        <f t="shared" ca="1" si="7"/>
        <v>2012</v>
      </c>
      <c r="T73" s="21">
        <f t="shared" ca="1" si="7"/>
        <v>2012</v>
      </c>
      <c r="U73" s="21">
        <f t="shared" ca="1" si="8"/>
        <v>2012</v>
      </c>
      <c r="V73" s="21">
        <f t="shared" ca="1" si="8"/>
        <v>2012</v>
      </c>
      <c r="W73" s="21">
        <f t="shared" ca="1" si="8"/>
        <v>2012</v>
      </c>
      <c r="X73" s="21" t="e">
        <f t="shared" ca="1" si="8"/>
        <v>#N/A</v>
      </c>
      <c r="Y73" s="21">
        <f t="shared" ca="1" si="8"/>
        <v>2012</v>
      </c>
      <c r="Z73" s="21">
        <f t="shared" ca="1" si="8"/>
        <v>2012</v>
      </c>
      <c r="AA73" s="21">
        <f t="shared" ca="1" si="8"/>
        <v>2012</v>
      </c>
      <c r="AB73" s="21">
        <f t="shared" ca="1" si="8"/>
        <v>2012</v>
      </c>
      <c r="AC73" s="21">
        <f t="shared" ca="1" si="8"/>
        <v>2012</v>
      </c>
      <c r="AD73" s="21">
        <f t="shared" ca="1" si="8"/>
        <v>2012</v>
      </c>
    </row>
    <row r="74" spans="2:30" ht="12" thickBot="1" x14ac:dyDescent="0.25">
      <c r="B74" s="1" t="str">
        <f>tblIndicators!B72</f>
        <v>WATER02</v>
      </c>
      <c r="C74" s="1">
        <f>tblIndicators!E72</f>
        <v>1</v>
      </c>
      <c r="D74" s="19" t="str">
        <f>tblIndicators!O72</f>
        <v>Bridge cranes</v>
      </c>
      <c r="E74" s="21">
        <f t="shared" ca="1" si="7"/>
        <v>2012</v>
      </c>
      <c r="F74" s="21">
        <f t="shared" ca="1" si="7"/>
        <v>2012</v>
      </c>
      <c r="G74" s="21">
        <f t="shared" ca="1" si="7"/>
        <v>2012</v>
      </c>
      <c r="H74" s="21">
        <f t="shared" ca="1" si="7"/>
        <v>2012</v>
      </c>
      <c r="I74" s="21" t="e">
        <f t="shared" ca="1" si="7"/>
        <v>#N/A</v>
      </c>
      <c r="J74" s="21">
        <f t="shared" ca="1" si="7"/>
        <v>2012</v>
      </c>
      <c r="K74" s="21">
        <f t="shared" ca="1" si="7"/>
        <v>2012</v>
      </c>
      <c r="L74" s="21">
        <f t="shared" ca="1" si="7"/>
        <v>2012</v>
      </c>
      <c r="M74" s="21">
        <f t="shared" ca="1" si="7"/>
        <v>2012</v>
      </c>
      <c r="N74" s="21">
        <f t="shared" ca="1" si="7"/>
        <v>2012</v>
      </c>
      <c r="O74" s="21">
        <f t="shared" ca="1" si="7"/>
        <v>2012</v>
      </c>
      <c r="P74" s="21">
        <f t="shared" ca="1" si="7"/>
        <v>2012</v>
      </c>
      <c r="Q74" s="21">
        <f t="shared" ca="1" si="7"/>
        <v>2012</v>
      </c>
      <c r="R74" s="21">
        <f t="shared" ca="1" si="7"/>
        <v>2012</v>
      </c>
      <c r="S74" s="21">
        <f t="shared" ca="1" si="7"/>
        <v>2012</v>
      </c>
      <c r="T74" s="21">
        <f t="shared" ca="1" si="7"/>
        <v>2012</v>
      </c>
      <c r="U74" s="21">
        <f t="shared" ca="1" si="8"/>
        <v>2012</v>
      </c>
      <c r="V74" s="21">
        <f t="shared" ca="1" si="8"/>
        <v>2012</v>
      </c>
      <c r="W74" s="21">
        <f t="shared" ca="1" si="8"/>
        <v>2012</v>
      </c>
      <c r="X74" s="21">
        <f t="shared" ca="1" si="8"/>
        <v>2012</v>
      </c>
      <c r="Y74" s="21">
        <f t="shared" ca="1" si="8"/>
        <v>2012</v>
      </c>
      <c r="Z74" s="21">
        <f t="shared" ca="1" si="8"/>
        <v>2012</v>
      </c>
      <c r="AA74" s="21">
        <f t="shared" ca="1" si="8"/>
        <v>2012</v>
      </c>
      <c r="AB74" s="21">
        <f t="shared" ca="1" si="8"/>
        <v>2012</v>
      </c>
      <c r="AC74" s="21">
        <f t="shared" ca="1" si="8"/>
        <v>2012</v>
      </c>
      <c r="AD74" s="21">
        <f t="shared" ca="1" si="8"/>
        <v>2012</v>
      </c>
    </row>
    <row r="75" spans="2:30" ht="12" thickBot="1" x14ac:dyDescent="0.25">
      <c r="B75" s="1" t="str">
        <f>tblIndicators!B73</f>
        <v>WATER03</v>
      </c>
      <c r="C75" s="1">
        <f>tblIndicators!E73</f>
        <v>1</v>
      </c>
      <c r="D75" s="19" t="str">
        <f>tblIndicators!O73</f>
        <v>Container and multipurpose berth length</v>
      </c>
      <c r="E75" s="21">
        <f t="shared" ca="1" si="7"/>
        <v>2012</v>
      </c>
      <c r="F75" s="21">
        <f t="shared" ca="1" si="7"/>
        <v>2012</v>
      </c>
      <c r="G75" s="21">
        <f t="shared" ca="1" si="7"/>
        <v>2012</v>
      </c>
      <c r="H75" s="21">
        <f t="shared" ca="1" si="7"/>
        <v>2012</v>
      </c>
      <c r="I75" s="21" t="e">
        <f t="shared" ca="1" si="7"/>
        <v>#N/A</v>
      </c>
      <c r="J75" s="21">
        <f t="shared" ca="1" si="7"/>
        <v>2012</v>
      </c>
      <c r="K75" s="21">
        <f t="shared" ca="1" si="7"/>
        <v>2012</v>
      </c>
      <c r="L75" s="21">
        <f t="shared" ca="1" si="7"/>
        <v>2012</v>
      </c>
      <c r="M75" s="21">
        <f t="shared" ca="1" si="7"/>
        <v>2012</v>
      </c>
      <c r="N75" s="21">
        <f t="shared" ca="1" si="7"/>
        <v>2012</v>
      </c>
      <c r="O75" s="21">
        <f t="shared" ca="1" si="7"/>
        <v>2012</v>
      </c>
      <c r="P75" s="21">
        <f t="shared" ca="1" si="7"/>
        <v>2012</v>
      </c>
      <c r="Q75" s="21" t="e">
        <f t="shared" ca="1" si="7"/>
        <v>#N/A</v>
      </c>
      <c r="R75" s="21">
        <f t="shared" ca="1" si="7"/>
        <v>2012</v>
      </c>
      <c r="S75" s="21">
        <f t="shared" ca="1" si="7"/>
        <v>2012</v>
      </c>
      <c r="T75" s="21">
        <f t="shared" ca="1" si="7"/>
        <v>2012</v>
      </c>
      <c r="U75" s="21">
        <f t="shared" ca="1" si="8"/>
        <v>2012</v>
      </c>
      <c r="V75" s="21">
        <f t="shared" ca="1" si="8"/>
        <v>2012</v>
      </c>
      <c r="W75" s="21">
        <f t="shared" ca="1" si="8"/>
        <v>2012</v>
      </c>
      <c r="X75" s="21">
        <f t="shared" ca="1" si="8"/>
        <v>2012</v>
      </c>
      <c r="Y75" s="21">
        <f t="shared" ca="1" si="8"/>
        <v>2012</v>
      </c>
      <c r="Z75" s="21">
        <f t="shared" ca="1" si="8"/>
        <v>2012</v>
      </c>
      <c r="AA75" s="21">
        <f t="shared" ca="1" si="8"/>
        <v>2012</v>
      </c>
      <c r="AB75" s="21">
        <f t="shared" ca="1" si="8"/>
        <v>2012</v>
      </c>
      <c r="AC75" s="21">
        <f t="shared" ca="1" si="8"/>
        <v>2012</v>
      </c>
      <c r="AD75" s="21">
        <f t="shared" ca="1" si="8"/>
        <v>2012</v>
      </c>
    </row>
    <row r="76" spans="2:30" ht="12" thickBot="1" x14ac:dyDescent="0.25">
      <c r="B76" s="1" t="str">
        <f>tblIndicators!B74</f>
        <v>WATER04</v>
      </c>
      <c r="C76" s="1">
        <f>tblIndicators!E74</f>
        <v>1</v>
      </c>
      <c r="D76" s="19" t="str">
        <f>tblIndicators!O74</f>
        <v>Container storage facilities area</v>
      </c>
      <c r="E76" s="21">
        <f t="shared" ref="E76:T88" ca="1" si="9">IF($C76=0,"",INDEX(OFFSET(lu_DataCode,0,3),MATCH(CONCATENATE(E$2,"_",$B76),lu_DataCode,0)))</f>
        <v>2012</v>
      </c>
      <c r="F76" s="21">
        <f t="shared" ca="1" si="9"/>
        <v>2012</v>
      </c>
      <c r="G76" s="21">
        <f t="shared" ca="1" si="9"/>
        <v>2012</v>
      </c>
      <c r="H76" s="21">
        <f t="shared" ca="1" si="9"/>
        <v>2012</v>
      </c>
      <c r="I76" s="21" t="e">
        <f t="shared" ca="1" si="9"/>
        <v>#N/A</v>
      </c>
      <c r="J76" s="21">
        <f t="shared" ca="1" si="9"/>
        <v>2012</v>
      </c>
      <c r="K76" s="21">
        <f t="shared" ca="1" si="9"/>
        <v>2012</v>
      </c>
      <c r="L76" s="21">
        <f t="shared" ca="1" si="9"/>
        <v>2012</v>
      </c>
      <c r="M76" s="21">
        <f t="shared" ca="1" si="9"/>
        <v>2012</v>
      </c>
      <c r="N76" s="21">
        <f t="shared" ca="1" si="9"/>
        <v>2012</v>
      </c>
      <c r="O76" s="21">
        <f t="shared" ca="1" si="9"/>
        <v>2012</v>
      </c>
      <c r="P76" s="21">
        <f t="shared" ca="1" si="9"/>
        <v>2012</v>
      </c>
      <c r="Q76" s="21">
        <f t="shared" ca="1" si="9"/>
        <v>2012</v>
      </c>
      <c r="R76" s="21" t="e">
        <f t="shared" ca="1" si="9"/>
        <v>#N/A</v>
      </c>
      <c r="S76" s="21">
        <f t="shared" ca="1" si="9"/>
        <v>2012</v>
      </c>
      <c r="T76" s="21">
        <f t="shared" ca="1" si="9"/>
        <v>2012</v>
      </c>
      <c r="U76" s="21">
        <f t="shared" ca="1" si="8"/>
        <v>2012</v>
      </c>
      <c r="V76" s="21">
        <f t="shared" ca="1" si="8"/>
        <v>2012</v>
      </c>
      <c r="W76" s="21">
        <f t="shared" ca="1" si="8"/>
        <v>2012</v>
      </c>
      <c r="X76" s="21">
        <f t="shared" ca="1" si="8"/>
        <v>2012</v>
      </c>
      <c r="Y76" s="21">
        <f t="shared" ca="1" si="8"/>
        <v>2012</v>
      </c>
      <c r="Z76" s="21">
        <f t="shared" ca="1" si="8"/>
        <v>2012</v>
      </c>
      <c r="AA76" s="21">
        <f t="shared" ca="1" si="8"/>
        <v>2012</v>
      </c>
      <c r="AB76" s="21">
        <f t="shared" ca="1" si="8"/>
        <v>2012</v>
      </c>
      <c r="AC76" s="21">
        <f t="shared" ca="1" si="8"/>
        <v>2012</v>
      </c>
      <c r="AD76" s="21">
        <f t="shared" ca="1" si="8"/>
        <v>2012</v>
      </c>
    </row>
    <row r="77" spans="2:30" ht="12" thickBot="1" x14ac:dyDescent="0.25">
      <c r="B77" s="1" t="str">
        <f>tblIndicators!B75</f>
        <v>WATER05</v>
      </c>
      <c r="C77" s="1">
        <f>tblIndicators!E75</f>
        <v>1</v>
      </c>
      <c r="D77" s="19" t="str">
        <f>tblIndicators!O75</f>
        <v>Flag state commercial vessels</v>
      </c>
      <c r="E77" s="21">
        <f t="shared" ca="1" si="9"/>
        <v>2012</v>
      </c>
      <c r="F77" s="21">
        <f t="shared" ca="1" si="9"/>
        <v>2012</v>
      </c>
      <c r="G77" s="21">
        <f t="shared" ca="1" si="9"/>
        <v>2012</v>
      </c>
      <c r="H77" s="21">
        <f t="shared" ca="1" si="9"/>
        <v>2012</v>
      </c>
      <c r="I77" s="21">
        <f t="shared" ca="1" si="9"/>
        <v>2012</v>
      </c>
      <c r="J77" s="21">
        <f t="shared" ca="1" si="9"/>
        <v>2012</v>
      </c>
      <c r="K77" s="21">
        <f t="shared" ca="1" si="9"/>
        <v>2012</v>
      </c>
      <c r="L77" s="21">
        <f t="shared" ca="1" si="9"/>
        <v>2012</v>
      </c>
      <c r="M77" s="21">
        <f t="shared" ca="1" si="9"/>
        <v>2012</v>
      </c>
      <c r="N77" s="21">
        <f t="shared" ca="1" si="9"/>
        <v>2012</v>
      </c>
      <c r="O77" s="21">
        <f t="shared" ca="1" si="9"/>
        <v>2012</v>
      </c>
      <c r="P77" s="21">
        <f t="shared" ca="1" si="9"/>
        <v>2012</v>
      </c>
      <c r="Q77" s="21">
        <f t="shared" ca="1" si="9"/>
        <v>2012</v>
      </c>
      <c r="R77" s="21">
        <f t="shared" ca="1" si="9"/>
        <v>2012</v>
      </c>
      <c r="S77" s="21">
        <f t="shared" ca="1" si="9"/>
        <v>2012</v>
      </c>
      <c r="T77" s="21">
        <f t="shared" ca="1" si="9"/>
        <v>2012</v>
      </c>
      <c r="U77" s="21">
        <f t="shared" ca="1" si="8"/>
        <v>2012</v>
      </c>
      <c r="V77" s="21">
        <f t="shared" ca="1" si="8"/>
        <v>2012</v>
      </c>
      <c r="W77" s="21">
        <f t="shared" ca="1" si="8"/>
        <v>2012</v>
      </c>
      <c r="X77" s="21">
        <f t="shared" ca="1" si="8"/>
        <v>2012</v>
      </c>
      <c r="Y77" s="21">
        <f t="shared" ca="1" si="8"/>
        <v>2012</v>
      </c>
      <c r="Z77" s="21">
        <f t="shared" ca="1" si="8"/>
        <v>2012</v>
      </c>
      <c r="AA77" s="21">
        <f t="shared" ca="1" si="8"/>
        <v>2012</v>
      </c>
      <c r="AB77" s="21">
        <f t="shared" ca="1" si="8"/>
        <v>2012</v>
      </c>
      <c r="AC77" s="21">
        <f t="shared" ca="1" si="8"/>
        <v>2012</v>
      </c>
      <c r="AD77" s="21">
        <f t="shared" ca="1" si="8"/>
        <v>2012</v>
      </c>
    </row>
    <row r="78" spans="2:30" ht="12" thickBot="1" x14ac:dyDescent="0.25">
      <c r="B78" s="1" t="str">
        <f>tblIndicators!B76</f>
        <v>WATER06</v>
      </c>
      <c r="C78" s="1">
        <f>tblIndicators!E76</f>
        <v>1</v>
      </c>
      <c r="D78" s="19" t="str">
        <f>tblIndicators!O76</f>
        <v>Total port traffic</v>
      </c>
      <c r="E78" s="21" t="e">
        <f t="shared" ca="1" si="9"/>
        <v>#N/A</v>
      </c>
      <c r="F78" s="21" t="e">
        <f t="shared" ca="1" si="9"/>
        <v>#N/A</v>
      </c>
      <c r="G78" s="21">
        <f t="shared" ca="1" si="9"/>
        <v>2012</v>
      </c>
      <c r="H78" s="21">
        <f t="shared" ca="1" si="9"/>
        <v>2012</v>
      </c>
      <c r="I78" s="21" t="e">
        <f t="shared" ca="1" si="9"/>
        <v>#N/A</v>
      </c>
      <c r="J78" s="21">
        <f t="shared" ca="1" si="9"/>
        <v>2012</v>
      </c>
      <c r="K78" s="21">
        <f t="shared" ca="1" si="9"/>
        <v>2012</v>
      </c>
      <c r="L78" s="21">
        <f t="shared" ca="1" si="9"/>
        <v>2012</v>
      </c>
      <c r="M78" s="21">
        <f t="shared" ca="1" si="9"/>
        <v>2012</v>
      </c>
      <c r="N78" s="21" t="e">
        <f t="shared" ca="1" si="9"/>
        <v>#N/A</v>
      </c>
      <c r="O78" s="21">
        <f t="shared" ca="1" si="9"/>
        <v>2012</v>
      </c>
      <c r="P78" s="21">
        <f t="shared" ca="1" si="9"/>
        <v>2012</v>
      </c>
      <c r="Q78" s="21">
        <f t="shared" ca="1" si="9"/>
        <v>2012</v>
      </c>
      <c r="R78" s="21">
        <f t="shared" ca="1" si="9"/>
        <v>2012</v>
      </c>
      <c r="S78" s="21">
        <f t="shared" ca="1" si="9"/>
        <v>2012</v>
      </c>
      <c r="T78" s="21">
        <f t="shared" ca="1" si="9"/>
        <v>2012</v>
      </c>
      <c r="U78" s="21">
        <f t="shared" ca="1" si="8"/>
        <v>2012</v>
      </c>
      <c r="V78" s="21">
        <f t="shared" ca="1" si="8"/>
        <v>2012</v>
      </c>
      <c r="W78" s="21">
        <f t="shared" ca="1" si="8"/>
        <v>2012</v>
      </c>
      <c r="X78" s="21">
        <f t="shared" ca="1" si="8"/>
        <v>2012</v>
      </c>
      <c r="Y78" s="21">
        <f t="shared" ca="1" si="8"/>
        <v>2012</v>
      </c>
      <c r="Z78" s="21">
        <f t="shared" ca="1" si="8"/>
        <v>2012</v>
      </c>
      <c r="AA78" s="21">
        <f t="shared" ca="1" si="8"/>
        <v>2012</v>
      </c>
      <c r="AB78" s="21" t="e">
        <f t="shared" ca="1" si="8"/>
        <v>#N/A</v>
      </c>
      <c r="AC78" s="21">
        <f t="shared" ca="1" si="8"/>
        <v>2012</v>
      </c>
      <c r="AD78" s="21" t="e">
        <f t="shared" ca="1" si="8"/>
        <v>#N/A</v>
      </c>
    </row>
    <row r="79" spans="2:30" ht="12" thickBot="1" x14ac:dyDescent="0.25">
      <c r="B79" s="1" t="str">
        <f>tblIndicators!B77</f>
        <v>WATER07</v>
      </c>
      <c r="C79" s="1">
        <f>tblIndicators!E77</f>
        <v>1</v>
      </c>
      <c r="D79" s="19" t="str">
        <f>tblIndicators!O77</f>
        <v>Exports port traffic</v>
      </c>
      <c r="E79" s="21">
        <f t="shared" ca="1" si="9"/>
        <v>2012</v>
      </c>
      <c r="F79" s="21" t="e">
        <f t="shared" ca="1" si="9"/>
        <v>#N/A</v>
      </c>
      <c r="G79" s="21">
        <f t="shared" ca="1" si="9"/>
        <v>2012</v>
      </c>
      <c r="H79" s="21" t="e">
        <f t="shared" ca="1" si="9"/>
        <v>#N/A</v>
      </c>
      <c r="I79" s="21">
        <f t="shared" ca="1" si="9"/>
        <v>2012</v>
      </c>
      <c r="J79" s="21">
        <f t="shared" ca="1" si="9"/>
        <v>2012</v>
      </c>
      <c r="K79" s="21">
        <f t="shared" ca="1" si="9"/>
        <v>2012</v>
      </c>
      <c r="L79" s="21">
        <f t="shared" ca="1" si="9"/>
        <v>2012</v>
      </c>
      <c r="M79" s="21">
        <f t="shared" ca="1" si="9"/>
        <v>2012</v>
      </c>
      <c r="N79" s="21">
        <f t="shared" ca="1" si="9"/>
        <v>2012</v>
      </c>
      <c r="O79" s="21">
        <f t="shared" ca="1" si="9"/>
        <v>2012</v>
      </c>
      <c r="P79" s="21">
        <f t="shared" ca="1" si="9"/>
        <v>2012</v>
      </c>
      <c r="Q79" s="21">
        <f t="shared" ca="1" si="9"/>
        <v>2012</v>
      </c>
      <c r="R79" s="21">
        <f t="shared" ca="1" si="9"/>
        <v>2012</v>
      </c>
      <c r="S79" s="21">
        <f t="shared" ca="1" si="9"/>
        <v>2012</v>
      </c>
      <c r="T79" s="21">
        <f t="shared" ca="1" si="9"/>
        <v>2012</v>
      </c>
      <c r="U79" s="21">
        <f t="shared" ca="1" si="8"/>
        <v>2012</v>
      </c>
      <c r="V79" s="21">
        <f t="shared" ca="1" si="8"/>
        <v>2012</v>
      </c>
      <c r="W79" s="21">
        <f t="shared" ca="1" si="8"/>
        <v>2012</v>
      </c>
      <c r="X79" s="21">
        <f t="shared" ca="1" si="8"/>
        <v>2012</v>
      </c>
      <c r="Y79" s="21">
        <f t="shared" ca="1" si="8"/>
        <v>2012</v>
      </c>
      <c r="Z79" s="21">
        <f t="shared" ca="1" si="8"/>
        <v>2012</v>
      </c>
      <c r="AA79" s="21">
        <f t="shared" ca="1" si="8"/>
        <v>2012</v>
      </c>
      <c r="AB79" s="21" t="e">
        <f t="shared" ca="1" si="8"/>
        <v>#N/A</v>
      </c>
      <c r="AC79" s="21">
        <f t="shared" ca="1" si="8"/>
        <v>2012</v>
      </c>
      <c r="AD79" s="21" t="e">
        <f t="shared" ca="1" si="8"/>
        <v>#N/A</v>
      </c>
    </row>
    <row r="80" spans="2:30" ht="12" thickBot="1" x14ac:dyDescent="0.25">
      <c r="B80" s="1" t="str">
        <f>tblIndicators!B78</f>
        <v>WATER08</v>
      </c>
      <c r="C80" s="1">
        <f>tblIndicators!E78</f>
        <v>1</v>
      </c>
      <c r="D80" s="19" t="str">
        <f>tblIndicators!O78</f>
        <v>Imports port traffic</v>
      </c>
      <c r="E80" s="21">
        <f t="shared" ca="1" si="9"/>
        <v>2012</v>
      </c>
      <c r="F80" s="21" t="e">
        <f t="shared" ca="1" si="9"/>
        <v>#N/A</v>
      </c>
      <c r="G80" s="21">
        <f t="shared" ca="1" si="9"/>
        <v>2012</v>
      </c>
      <c r="H80" s="21" t="e">
        <f t="shared" ca="1" si="9"/>
        <v>#N/A</v>
      </c>
      <c r="I80" s="21">
        <f t="shared" ca="1" si="9"/>
        <v>2012</v>
      </c>
      <c r="J80" s="21">
        <f t="shared" ca="1" si="9"/>
        <v>2012</v>
      </c>
      <c r="K80" s="21">
        <f t="shared" ca="1" si="9"/>
        <v>2012</v>
      </c>
      <c r="L80" s="21">
        <f t="shared" ca="1" si="9"/>
        <v>2012</v>
      </c>
      <c r="M80" s="21">
        <f t="shared" ca="1" si="9"/>
        <v>2012</v>
      </c>
      <c r="N80" s="21">
        <f t="shared" ca="1" si="9"/>
        <v>2012</v>
      </c>
      <c r="O80" s="21">
        <f t="shared" ca="1" si="9"/>
        <v>2012</v>
      </c>
      <c r="P80" s="21">
        <f t="shared" ca="1" si="9"/>
        <v>2012</v>
      </c>
      <c r="Q80" s="21">
        <f t="shared" ca="1" si="9"/>
        <v>2012</v>
      </c>
      <c r="R80" s="21">
        <f t="shared" ca="1" si="9"/>
        <v>2012</v>
      </c>
      <c r="S80" s="21">
        <f t="shared" ca="1" si="9"/>
        <v>2012</v>
      </c>
      <c r="T80" s="21">
        <f t="shared" ca="1" si="9"/>
        <v>2012</v>
      </c>
      <c r="U80" s="21">
        <f t="shared" ca="1" si="8"/>
        <v>2012</v>
      </c>
      <c r="V80" s="21">
        <f t="shared" ca="1" si="8"/>
        <v>2012</v>
      </c>
      <c r="W80" s="21">
        <f t="shared" ca="1" si="8"/>
        <v>2012</v>
      </c>
      <c r="X80" s="21">
        <f t="shared" ca="1" si="8"/>
        <v>2012</v>
      </c>
      <c r="Y80" s="21">
        <f t="shared" ca="1" si="8"/>
        <v>2012</v>
      </c>
      <c r="Z80" s="21">
        <f t="shared" ca="1" si="8"/>
        <v>2012</v>
      </c>
      <c r="AA80" s="21">
        <f t="shared" ca="1" si="8"/>
        <v>2012</v>
      </c>
      <c r="AB80" s="21" t="e">
        <f t="shared" ca="1" si="8"/>
        <v>#N/A</v>
      </c>
      <c r="AC80" s="21">
        <f t="shared" ca="1" si="8"/>
        <v>2012</v>
      </c>
      <c r="AD80" s="21" t="e">
        <f t="shared" ca="1" si="8"/>
        <v>#N/A</v>
      </c>
    </row>
    <row r="81" spans="2:30" ht="12" thickBot="1" x14ac:dyDescent="0.25">
      <c r="B81" s="1" t="str">
        <f>tblIndicators!B79</f>
        <v>WATER09</v>
      </c>
      <c r="C81" s="1">
        <f>tblIndicators!E79</f>
        <v>1</v>
      </c>
      <c r="D81" s="19" t="str">
        <f>tblIndicators!O79</f>
        <v>Total port traffic domestic movements (inbound &amp; outbound)</v>
      </c>
      <c r="E81" s="21" t="e">
        <f t="shared" ca="1" si="9"/>
        <v>#N/A</v>
      </c>
      <c r="F81" s="21" t="e">
        <f t="shared" ca="1" si="9"/>
        <v>#N/A</v>
      </c>
      <c r="G81" s="21">
        <f t="shared" ca="1" si="9"/>
        <v>2012</v>
      </c>
      <c r="H81" s="21" t="e">
        <f t="shared" ca="1" si="9"/>
        <v>#N/A</v>
      </c>
      <c r="I81" s="21" t="e">
        <f t="shared" ca="1" si="9"/>
        <v>#N/A</v>
      </c>
      <c r="J81" s="21">
        <f t="shared" ca="1" si="9"/>
        <v>2012</v>
      </c>
      <c r="K81" s="21">
        <f t="shared" ca="1" si="9"/>
        <v>2012</v>
      </c>
      <c r="L81" s="21" t="e">
        <f t="shared" ca="1" si="9"/>
        <v>#N/A</v>
      </c>
      <c r="M81" s="21" t="e">
        <f t="shared" ca="1" si="9"/>
        <v>#N/A</v>
      </c>
      <c r="N81" s="21" t="e">
        <f t="shared" ca="1" si="9"/>
        <v>#N/A</v>
      </c>
      <c r="O81" s="21" t="e">
        <f t="shared" ca="1" si="9"/>
        <v>#N/A</v>
      </c>
      <c r="P81" s="21" t="e">
        <f t="shared" ca="1" si="9"/>
        <v>#N/A</v>
      </c>
      <c r="Q81" s="21">
        <f t="shared" ca="1" si="9"/>
        <v>2012</v>
      </c>
      <c r="R81" s="21">
        <f t="shared" ca="1" si="9"/>
        <v>2012</v>
      </c>
      <c r="S81" s="21" t="e">
        <f t="shared" ca="1" si="9"/>
        <v>#N/A</v>
      </c>
      <c r="T81" s="21">
        <f t="shared" ca="1" si="9"/>
        <v>2012</v>
      </c>
      <c r="U81" s="21">
        <f t="shared" ca="1" si="8"/>
        <v>2012</v>
      </c>
      <c r="V81" s="21" t="e">
        <f t="shared" ca="1" si="8"/>
        <v>#N/A</v>
      </c>
      <c r="W81" s="21" t="e">
        <f t="shared" ca="1" si="8"/>
        <v>#N/A</v>
      </c>
      <c r="X81" s="21" t="e">
        <f t="shared" ca="1" si="8"/>
        <v>#N/A</v>
      </c>
      <c r="Y81" s="21">
        <f t="shared" ca="1" si="8"/>
        <v>2012</v>
      </c>
      <c r="Z81" s="21" t="e">
        <f t="shared" ca="1" si="8"/>
        <v>#N/A</v>
      </c>
      <c r="AA81" s="21">
        <f t="shared" ca="1" si="8"/>
        <v>2012</v>
      </c>
      <c r="AB81" s="21" t="e">
        <f t="shared" ca="1" si="8"/>
        <v>#N/A</v>
      </c>
      <c r="AC81" s="21">
        <f t="shared" ca="1" si="8"/>
        <v>2012</v>
      </c>
      <c r="AD81" s="21" t="e">
        <f t="shared" ca="1" si="8"/>
        <v>#N/A</v>
      </c>
    </row>
    <row r="82" spans="2:30" ht="12" thickBot="1" x14ac:dyDescent="0.25">
      <c r="B82" s="1" t="str">
        <f>tblIndicators!B80</f>
        <v>WATER10</v>
      </c>
      <c r="C82" s="1">
        <f>tblIndicators!E80</f>
        <v>1</v>
      </c>
      <c r="D82" s="19" t="str">
        <f>tblIndicators!O80</f>
        <v>Port container traffic</v>
      </c>
      <c r="E82" s="21">
        <f t="shared" ca="1" si="9"/>
        <v>2012</v>
      </c>
      <c r="F82" s="21">
        <f t="shared" ca="1" si="9"/>
        <v>2012</v>
      </c>
      <c r="G82" s="21">
        <f t="shared" ca="1" si="9"/>
        <v>2012</v>
      </c>
      <c r="H82" s="21">
        <f t="shared" ca="1" si="9"/>
        <v>2012</v>
      </c>
      <c r="I82" s="21" t="e">
        <f t="shared" ca="1" si="9"/>
        <v>#N/A</v>
      </c>
      <c r="J82" s="21">
        <f t="shared" ca="1" si="9"/>
        <v>2012</v>
      </c>
      <c r="K82" s="21">
        <f t="shared" ca="1" si="9"/>
        <v>2012</v>
      </c>
      <c r="L82" s="21">
        <f t="shared" ca="1" si="9"/>
        <v>2012</v>
      </c>
      <c r="M82" s="21">
        <f t="shared" ca="1" si="9"/>
        <v>2012</v>
      </c>
      <c r="N82" s="21">
        <f t="shared" ca="1" si="9"/>
        <v>2012</v>
      </c>
      <c r="O82" s="21">
        <f t="shared" ca="1" si="9"/>
        <v>2012</v>
      </c>
      <c r="P82" s="21">
        <f t="shared" ca="1" si="9"/>
        <v>2012</v>
      </c>
      <c r="Q82" s="21">
        <f t="shared" ca="1" si="9"/>
        <v>2012</v>
      </c>
      <c r="R82" s="21">
        <f t="shared" ca="1" si="9"/>
        <v>2012</v>
      </c>
      <c r="S82" s="21">
        <f t="shared" ca="1" si="9"/>
        <v>2012</v>
      </c>
      <c r="T82" s="21">
        <f t="shared" ca="1" si="9"/>
        <v>2012</v>
      </c>
      <c r="U82" s="21">
        <f t="shared" ca="1" si="8"/>
        <v>2012</v>
      </c>
      <c r="V82" s="21">
        <f t="shared" ca="1" si="8"/>
        <v>2012</v>
      </c>
      <c r="W82" s="21">
        <f t="shared" ca="1" si="8"/>
        <v>2012</v>
      </c>
      <c r="X82" s="21">
        <f t="shared" ca="1" si="8"/>
        <v>2012</v>
      </c>
      <c r="Y82" s="21">
        <f t="shared" ca="1" si="8"/>
        <v>2012</v>
      </c>
      <c r="Z82" s="21">
        <f t="shared" ca="1" si="8"/>
        <v>2012</v>
      </c>
      <c r="AA82" s="21">
        <f t="shared" ca="1" si="8"/>
        <v>2012</v>
      </c>
      <c r="AB82" s="21">
        <f t="shared" ca="1" si="8"/>
        <v>2012</v>
      </c>
      <c r="AC82" s="21">
        <f t="shared" ca="1" si="8"/>
        <v>2012</v>
      </c>
      <c r="AD82" s="21">
        <f t="shared" ca="1" si="8"/>
        <v>2012</v>
      </c>
    </row>
    <row r="83" spans="2:30" ht="12" thickBot="1" x14ac:dyDescent="0.25">
      <c r="B83" s="1" t="str">
        <f>tblIndicators!B81</f>
        <v>WATER11</v>
      </c>
      <c r="C83" s="1">
        <f>tblIndicators!E81</f>
        <v>1</v>
      </c>
      <c r="D83" s="19" t="str">
        <f>tblIndicators!O81</f>
        <v>Inland waterway traffic</v>
      </c>
      <c r="E83" s="21">
        <f t="shared" ca="1" si="9"/>
        <v>2012</v>
      </c>
      <c r="F83" s="21" t="e">
        <f t="shared" ca="1" si="9"/>
        <v>#N/A</v>
      </c>
      <c r="G83" s="21" t="e">
        <f t="shared" ca="1" si="9"/>
        <v>#N/A</v>
      </c>
      <c r="H83" s="21" t="e">
        <f t="shared" ca="1" si="9"/>
        <v>#N/A</v>
      </c>
      <c r="I83" s="21" t="e">
        <f t="shared" ca="1" si="9"/>
        <v>#N/A</v>
      </c>
      <c r="J83" s="21">
        <f t="shared" ca="1" si="9"/>
        <v>2012</v>
      </c>
      <c r="K83" s="21" t="e">
        <f t="shared" ca="1" si="9"/>
        <v>#N/A</v>
      </c>
      <c r="L83" s="21">
        <f t="shared" ca="1" si="9"/>
        <v>2012</v>
      </c>
      <c r="M83" s="21" t="e">
        <f t="shared" ca="1" si="9"/>
        <v>#N/A</v>
      </c>
      <c r="N83" s="21" t="e">
        <f t="shared" ca="1" si="9"/>
        <v>#N/A</v>
      </c>
      <c r="O83" s="21" t="e">
        <f t="shared" ca="1" si="9"/>
        <v>#N/A</v>
      </c>
      <c r="P83" s="21" t="e">
        <f t="shared" ca="1" si="9"/>
        <v>#N/A</v>
      </c>
      <c r="Q83" s="21" t="e">
        <f t="shared" ca="1" si="9"/>
        <v>#N/A</v>
      </c>
      <c r="R83" s="21" t="e">
        <f t="shared" ca="1" si="9"/>
        <v>#N/A</v>
      </c>
      <c r="S83" s="21" t="e">
        <f t="shared" ca="1" si="9"/>
        <v>#N/A</v>
      </c>
      <c r="T83" s="21" t="e">
        <f t="shared" ca="1" si="9"/>
        <v>#N/A</v>
      </c>
      <c r="U83" s="21" t="e">
        <f t="shared" ca="1" si="8"/>
        <v>#N/A</v>
      </c>
      <c r="V83" s="21">
        <f t="shared" ca="1" si="8"/>
        <v>2012</v>
      </c>
      <c r="W83" s="21" t="e">
        <f t="shared" ca="1" si="8"/>
        <v>#N/A</v>
      </c>
      <c r="X83" s="21" t="e">
        <f t="shared" ca="1" si="8"/>
        <v>#N/A</v>
      </c>
      <c r="Y83" s="21">
        <f t="shared" ca="1" si="8"/>
        <v>2012</v>
      </c>
      <c r="Z83" s="21" t="e">
        <f t="shared" ca="1" si="8"/>
        <v>#N/A</v>
      </c>
      <c r="AA83" s="21" t="e">
        <f t="shared" ca="1" si="8"/>
        <v>#N/A</v>
      </c>
      <c r="AB83" s="21" t="e">
        <f t="shared" ca="1" si="8"/>
        <v>#N/A</v>
      </c>
      <c r="AC83" s="21">
        <f t="shared" ca="1" si="8"/>
        <v>2012</v>
      </c>
      <c r="AD83" s="21" t="e">
        <f t="shared" ca="1" si="8"/>
        <v>#N/A</v>
      </c>
    </row>
    <row r="84" spans="2:30" ht="12" thickBot="1" x14ac:dyDescent="0.25">
      <c r="B84" s="1" t="str">
        <f>tblIndicators!B82</f>
        <v>WATER12</v>
      </c>
      <c r="C84" s="1">
        <f>tblIndicators!E82</f>
        <v>1</v>
      </c>
      <c r="D84" s="19" t="str">
        <f>tblIndicators!O82</f>
        <v>Maritime cabotage traffic</v>
      </c>
      <c r="E84" s="21" t="e">
        <f t="shared" ca="1" si="9"/>
        <v>#N/A</v>
      </c>
      <c r="F84" s="21" t="e">
        <f t="shared" ca="1" si="9"/>
        <v>#N/A</v>
      </c>
      <c r="G84" s="21" t="e">
        <f t="shared" ca="1" si="9"/>
        <v>#N/A</v>
      </c>
      <c r="H84" s="21" t="e">
        <f t="shared" ca="1" si="9"/>
        <v>#N/A</v>
      </c>
      <c r="I84" s="21" t="e">
        <f t="shared" ca="1" si="9"/>
        <v>#N/A</v>
      </c>
      <c r="J84" s="21" t="e">
        <f t="shared" ca="1" si="9"/>
        <v>#N/A</v>
      </c>
      <c r="K84" s="21">
        <f t="shared" ca="1" si="9"/>
        <v>2012</v>
      </c>
      <c r="L84" s="21">
        <f t="shared" ca="1" si="9"/>
        <v>2012</v>
      </c>
      <c r="M84" s="21" t="e">
        <f t="shared" ca="1" si="9"/>
        <v>#N/A</v>
      </c>
      <c r="N84" s="21" t="e">
        <f t="shared" ca="1" si="9"/>
        <v>#N/A</v>
      </c>
      <c r="O84" s="21" t="e">
        <f t="shared" ca="1" si="9"/>
        <v>#N/A</v>
      </c>
      <c r="P84" s="21" t="e">
        <f t="shared" ca="1" si="9"/>
        <v>#N/A</v>
      </c>
      <c r="Q84" s="21">
        <f t="shared" ca="1" si="9"/>
        <v>2012</v>
      </c>
      <c r="R84" s="21">
        <f t="shared" ca="1" si="9"/>
        <v>2012</v>
      </c>
      <c r="S84" s="21" t="e">
        <f t="shared" ca="1" si="9"/>
        <v>#N/A</v>
      </c>
      <c r="T84" s="21">
        <f t="shared" ca="1" si="9"/>
        <v>2012</v>
      </c>
      <c r="U84" s="21" t="e">
        <f t="shared" ca="1" si="8"/>
        <v>#N/A</v>
      </c>
      <c r="V84" s="21">
        <f t="shared" ca="1" si="8"/>
        <v>2012</v>
      </c>
      <c r="W84" s="21" t="e">
        <f t="shared" ca="1" si="8"/>
        <v>#N/A</v>
      </c>
      <c r="X84" s="21" t="e">
        <f t="shared" ca="1" si="8"/>
        <v>#N/A</v>
      </c>
      <c r="Y84" s="21">
        <f t="shared" ca="1" si="8"/>
        <v>2012</v>
      </c>
      <c r="Z84" s="21" t="e">
        <f t="shared" ca="1" si="8"/>
        <v>#N/A</v>
      </c>
      <c r="AA84" s="21" t="e">
        <f t="shared" ca="1" si="8"/>
        <v>#N/A</v>
      </c>
      <c r="AB84" s="21" t="e">
        <f t="shared" ca="1" si="8"/>
        <v>#N/A</v>
      </c>
      <c r="AC84" s="21" t="e">
        <f t="shared" ca="1" si="8"/>
        <v>#N/A</v>
      </c>
      <c r="AD84" s="21" t="e">
        <f t="shared" ca="1" si="8"/>
        <v>#N/A</v>
      </c>
    </row>
    <row r="85" spans="2:30" ht="12" thickBot="1" x14ac:dyDescent="0.25">
      <c r="B85" s="1" t="str">
        <f>tblIndicators!B83</f>
        <v>WATER14</v>
      </c>
      <c r="C85" s="1">
        <f>tblIndicators!E83</f>
        <v>1</v>
      </c>
      <c r="D85" s="19" t="str">
        <f>tblIndicators!O83</f>
        <v>Average tariff  maritime cabotage</v>
      </c>
      <c r="E85" s="21" t="e">
        <f t="shared" ca="1" si="9"/>
        <v>#N/A</v>
      </c>
      <c r="F85" s="21" t="e">
        <f t="shared" ca="1" si="9"/>
        <v>#N/A</v>
      </c>
      <c r="G85" s="21" t="e">
        <f t="shared" ca="1" si="9"/>
        <v>#N/A</v>
      </c>
      <c r="H85" s="21" t="e">
        <f t="shared" ca="1" si="9"/>
        <v>#N/A</v>
      </c>
      <c r="I85" s="21" t="e">
        <f t="shared" ca="1" si="9"/>
        <v>#N/A</v>
      </c>
      <c r="J85" s="21" t="e">
        <f t="shared" ca="1" si="9"/>
        <v>#N/A</v>
      </c>
      <c r="K85" s="21" t="e">
        <f t="shared" ca="1" si="9"/>
        <v>#N/A</v>
      </c>
      <c r="L85" s="21" t="e">
        <f t="shared" ca="1" si="9"/>
        <v>#N/A</v>
      </c>
      <c r="M85" s="21" t="e">
        <f t="shared" ca="1" si="9"/>
        <v>#N/A</v>
      </c>
      <c r="N85" s="21" t="e">
        <f t="shared" ca="1" si="9"/>
        <v>#N/A</v>
      </c>
      <c r="O85" s="21" t="e">
        <f t="shared" ca="1" si="9"/>
        <v>#N/A</v>
      </c>
      <c r="P85" s="21" t="e">
        <f t="shared" ca="1" si="9"/>
        <v>#N/A</v>
      </c>
      <c r="Q85" s="21" t="e">
        <f t="shared" ca="1" si="9"/>
        <v>#N/A</v>
      </c>
      <c r="R85" s="21" t="e">
        <f t="shared" ca="1" si="9"/>
        <v>#N/A</v>
      </c>
      <c r="S85" s="21" t="e">
        <f t="shared" ca="1" si="9"/>
        <v>#N/A</v>
      </c>
      <c r="T85" s="21" t="e">
        <f t="shared" ca="1" si="9"/>
        <v>#N/A</v>
      </c>
      <c r="U85" s="21" t="e">
        <f t="shared" ca="1" si="8"/>
        <v>#N/A</v>
      </c>
      <c r="V85" s="21" t="e">
        <f t="shared" ca="1" si="8"/>
        <v>#N/A</v>
      </c>
      <c r="W85" s="21" t="e">
        <f t="shared" ca="1" si="8"/>
        <v>#N/A</v>
      </c>
      <c r="X85" s="21">
        <f t="shared" ca="1" si="8"/>
        <v>2012</v>
      </c>
      <c r="Y85" s="21" t="e">
        <f t="shared" ca="1" si="8"/>
        <v>#N/A</v>
      </c>
      <c r="Z85" s="21" t="e">
        <f t="shared" ca="1" si="8"/>
        <v>#N/A</v>
      </c>
      <c r="AA85" s="21" t="e">
        <f t="shared" ca="1" si="8"/>
        <v>#N/A</v>
      </c>
      <c r="AB85" s="21" t="e">
        <f t="shared" ca="1" si="8"/>
        <v>#N/A</v>
      </c>
      <c r="AC85" s="21">
        <f t="shared" ca="1" si="8"/>
        <v>2012</v>
      </c>
      <c r="AD85" s="21" t="e">
        <f t="shared" ca="1" si="8"/>
        <v>#N/A</v>
      </c>
    </row>
    <row r="86" spans="2:30" ht="12" thickBot="1" x14ac:dyDescent="0.25">
      <c r="B86" s="1" t="str">
        <f>tblIndicators!B84</f>
        <v>WATER17</v>
      </c>
      <c r="C86" s="1">
        <f>tblIndicators!E84</f>
        <v>1</v>
      </c>
      <c r="D86" s="19" t="str">
        <f>tblIndicators!O84</f>
        <v>Liner shipping connectivity index</v>
      </c>
      <c r="E86" s="21">
        <f t="shared" ca="1" si="9"/>
        <v>2012</v>
      </c>
      <c r="F86" s="21">
        <f t="shared" ca="1" si="9"/>
        <v>2012</v>
      </c>
      <c r="G86" s="21">
        <f t="shared" ca="1" si="9"/>
        <v>2012</v>
      </c>
      <c r="H86" s="21">
        <f t="shared" ca="1" si="9"/>
        <v>2012</v>
      </c>
      <c r="I86" s="21" t="e">
        <f t="shared" ca="1" si="9"/>
        <v>#N/A</v>
      </c>
      <c r="J86" s="21">
        <f t="shared" ca="1" si="9"/>
        <v>2012</v>
      </c>
      <c r="K86" s="21">
        <f t="shared" ca="1" si="9"/>
        <v>2012</v>
      </c>
      <c r="L86" s="21">
        <f t="shared" ca="1" si="9"/>
        <v>2012</v>
      </c>
      <c r="M86" s="21">
        <f t="shared" ca="1" si="9"/>
        <v>2012</v>
      </c>
      <c r="N86" s="21">
        <f t="shared" ca="1" si="9"/>
        <v>2012</v>
      </c>
      <c r="O86" s="21">
        <f t="shared" ca="1" si="9"/>
        <v>2012</v>
      </c>
      <c r="P86" s="21">
        <f t="shared" ca="1" si="9"/>
        <v>2012</v>
      </c>
      <c r="Q86" s="21">
        <f t="shared" ca="1" si="9"/>
        <v>2012</v>
      </c>
      <c r="R86" s="21">
        <f t="shared" ca="1" si="9"/>
        <v>2012</v>
      </c>
      <c r="S86" s="21">
        <f t="shared" ca="1" si="9"/>
        <v>2012</v>
      </c>
      <c r="T86" s="21">
        <f t="shared" ca="1" si="9"/>
        <v>2012</v>
      </c>
      <c r="U86" s="21">
        <f t="shared" ca="1" si="8"/>
        <v>2012</v>
      </c>
      <c r="V86" s="21">
        <f t="shared" ca="1" si="8"/>
        <v>2012</v>
      </c>
      <c r="W86" s="21">
        <f t="shared" ca="1" si="8"/>
        <v>2012</v>
      </c>
      <c r="X86" s="21" t="e">
        <f t="shared" ca="1" si="8"/>
        <v>#N/A</v>
      </c>
      <c r="Y86" s="21">
        <f t="shared" ca="1" si="8"/>
        <v>2012</v>
      </c>
      <c r="Z86" s="21">
        <f t="shared" ca="1" si="8"/>
        <v>2012</v>
      </c>
      <c r="AA86" s="21">
        <f t="shared" ca="1" si="8"/>
        <v>2012</v>
      </c>
      <c r="AB86" s="21">
        <f t="shared" ca="1" si="8"/>
        <v>2012</v>
      </c>
      <c r="AC86" s="21">
        <f t="shared" ca="1" si="8"/>
        <v>2012</v>
      </c>
      <c r="AD86" s="21">
        <f t="shared" ca="1" si="8"/>
        <v>2012</v>
      </c>
    </row>
    <row r="87" spans="2:30" ht="12" thickBot="1" x14ac:dyDescent="0.25">
      <c r="B87" s="1" t="str">
        <f>tblIndicators!B85</f>
        <v>WATER20</v>
      </c>
      <c r="C87" s="1">
        <f>tblIndicators!E85</f>
        <v>1</v>
      </c>
      <c r="D87" s="19" t="str">
        <f>tblIndicators!O85</f>
        <v>Container terminal utilization</v>
      </c>
      <c r="E87" s="21">
        <f t="shared" ca="1" si="9"/>
        <v>2012</v>
      </c>
      <c r="F87" s="21">
        <f t="shared" ca="1" si="9"/>
        <v>2012</v>
      </c>
      <c r="G87" s="21">
        <f t="shared" ca="1" si="9"/>
        <v>2012</v>
      </c>
      <c r="H87" s="21" t="e">
        <f t="shared" ca="1" si="9"/>
        <v>#N/A</v>
      </c>
      <c r="I87" s="21" t="e">
        <f t="shared" ca="1" si="9"/>
        <v>#N/A</v>
      </c>
      <c r="J87" s="21">
        <f t="shared" ca="1" si="9"/>
        <v>2012</v>
      </c>
      <c r="K87" s="21">
        <f t="shared" ca="1" si="9"/>
        <v>2012</v>
      </c>
      <c r="L87" s="21">
        <f t="shared" ca="1" si="9"/>
        <v>2012</v>
      </c>
      <c r="M87" s="21">
        <f t="shared" ca="1" si="9"/>
        <v>2012</v>
      </c>
      <c r="N87" s="21">
        <f t="shared" ca="1" si="9"/>
        <v>2012</v>
      </c>
      <c r="O87" s="21" t="e">
        <f t="shared" ca="1" si="9"/>
        <v>#N/A</v>
      </c>
      <c r="P87" s="21">
        <f t="shared" ca="1" si="9"/>
        <v>2012</v>
      </c>
      <c r="Q87" s="21" t="e">
        <f t="shared" ca="1" si="9"/>
        <v>#N/A</v>
      </c>
      <c r="R87" s="21" t="e">
        <f t="shared" ca="1" si="9"/>
        <v>#N/A</v>
      </c>
      <c r="S87" s="21">
        <f t="shared" ca="1" si="9"/>
        <v>2012</v>
      </c>
      <c r="T87" s="21">
        <f t="shared" ca="1" si="9"/>
        <v>2012</v>
      </c>
      <c r="U87" s="21">
        <f t="shared" ca="1" si="8"/>
        <v>2012</v>
      </c>
      <c r="V87" s="21" t="e">
        <f t="shared" ca="1" si="8"/>
        <v>#N/A</v>
      </c>
      <c r="W87" s="21">
        <f t="shared" ca="1" si="8"/>
        <v>2012</v>
      </c>
      <c r="X87" s="21" t="e">
        <f t="shared" ca="1" si="8"/>
        <v>#N/A</v>
      </c>
      <c r="Y87" s="21">
        <f t="shared" ca="1" si="8"/>
        <v>2012</v>
      </c>
      <c r="Z87" s="21">
        <f t="shared" ca="1" si="8"/>
        <v>2012</v>
      </c>
      <c r="AA87" s="21" t="e">
        <f t="shared" ca="1" si="8"/>
        <v>#N/A</v>
      </c>
      <c r="AB87" s="21">
        <f t="shared" ca="1" si="8"/>
        <v>2012</v>
      </c>
      <c r="AC87" s="21">
        <f t="shared" ca="1" si="8"/>
        <v>2012</v>
      </c>
      <c r="AD87" s="21" t="e">
        <f t="shared" ca="1" si="8"/>
        <v>#N/A</v>
      </c>
    </row>
    <row r="88" spans="2:30" ht="12" thickBot="1" x14ac:dyDescent="0.25">
      <c r="B88" s="1" t="str">
        <f>tblIndicators!B86</f>
        <v>WATER21</v>
      </c>
      <c r="C88" s="1">
        <f>tblIndicators!E86</f>
        <v>1</v>
      </c>
      <c r="D88" s="19" t="str">
        <f>tblIndicators!O86</f>
        <v>Container terminal extent of competition</v>
      </c>
      <c r="E88" s="21">
        <f t="shared" ca="1" si="9"/>
        <v>2012</v>
      </c>
      <c r="F88" s="21">
        <f t="shared" ca="1" si="9"/>
        <v>2012</v>
      </c>
      <c r="G88" s="21">
        <f t="shared" ca="1" si="9"/>
        <v>2012</v>
      </c>
      <c r="H88" s="21">
        <f t="shared" ca="1" si="9"/>
        <v>2012</v>
      </c>
      <c r="I88" s="21" t="e">
        <f t="shared" ca="1" si="9"/>
        <v>#N/A</v>
      </c>
      <c r="J88" s="21">
        <f t="shared" ca="1" si="9"/>
        <v>2012</v>
      </c>
      <c r="K88" s="21">
        <f t="shared" ca="1" si="9"/>
        <v>2012</v>
      </c>
      <c r="L88" s="21">
        <f t="shared" ca="1" si="9"/>
        <v>2012</v>
      </c>
      <c r="M88" s="21">
        <f t="shared" ca="1" si="9"/>
        <v>2012</v>
      </c>
      <c r="N88" s="21">
        <f t="shared" ca="1" si="9"/>
        <v>2012</v>
      </c>
      <c r="O88" s="21">
        <f t="shared" ca="1" si="9"/>
        <v>2012</v>
      </c>
      <c r="P88" s="21">
        <f t="shared" ca="1" si="9"/>
        <v>2012</v>
      </c>
      <c r="Q88" s="21">
        <f t="shared" ca="1" si="9"/>
        <v>2012</v>
      </c>
      <c r="R88" s="21">
        <f t="shared" ca="1" si="9"/>
        <v>2012</v>
      </c>
      <c r="S88" s="21">
        <f t="shared" ca="1" si="9"/>
        <v>2012</v>
      </c>
      <c r="T88" s="21">
        <f t="shared" ca="1" si="9"/>
        <v>2012</v>
      </c>
      <c r="U88" s="21">
        <f t="shared" ca="1" si="8"/>
        <v>2012</v>
      </c>
      <c r="V88" s="21">
        <f t="shared" ca="1" si="8"/>
        <v>2012</v>
      </c>
      <c r="W88" s="21">
        <f t="shared" ca="1" si="8"/>
        <v>2012</v>
      </c>
      <c r="X88" s="21" t="e">
        <f t="shared" ca="1" si="8"/>
        <v>#N/A</v>
      </c>
      <c r="Y88" s="21">
        <f t="shared" ca="1" si="8"/>
        <v>2012</v>
      </c>
      <c r="Z88" s="21">
        <f t="shared" ca="1" si="8"/>
        <v>2012</v>
      </c>
      <c r="AA88" s="21">
        <f t="shared" ca="1" si="8"/>
        <v>2012</v>
      </c>
      <c r="AB88" s="21">
        <f t="shared" ca="1" si="8"/>
        <v>2012</v>
      </c>
      <c r="AC88" s="21">
        <f t="shared" ca="1" si="8"/>
        <v>2012</v>
      </c>
      <c r="AD88" s="21">
        <f t="shared" ca="1" si="8"/>
        <v>2012</v>
      </c>
    </row>
    <row r="89" spans="2:30" ht="12" thickBot="1" x14ac:dyDescent="0.25">
      <c r="B89" s="1" t="str">
        <f>tblIndicators!B87</f>
        <v>WATER22</v>
      </c>
      <c r="C89" s="1">
        <f>tblIndicators!E87</f>
        <v>1</v>
      </c>
      <c r="D89" s="19" t="str">
        <f>tblIndicators!O87</f>
        <v>Gateway proximity to population center.</v>
      </c>
      <c r="E89" s="21">
        <f t="shared" ref="E89:T102" ca="1" si="10">IF($C89=0,"",INDEX(OFFSET(lu_DataCode,0,3),MATCH(CONCATENATE(E$2,"_",$B89),lu_DataCode,0)))</f>
        <v>2012</v>
      </c>
      <c r="F89" s="21">
        <f t="shared" ca="1" si="10"/>
        <v>2012</v>
      </c>
      <c r="G89" s="21">
        <f t="shared" ca="1" si="10"/>
        <v>2012</v>
      </c>
      <c r="H89" s="21">
        <f t="shared" ca="1" si="10"/>
        <v>2012</v>
      </c>
      <c r="I89" s="21" t="e">
        <f t="shared" ca="1" si="10"/>
        <v>#N/A</v>
      </c>
      <c r="J89" s="21">
        <f t="shared" ca="1" si="10"/>
        <v>2012</v>
      </c>
      <c r="K89" s="21">
        <f t="shared" ca="1" si="10"/>
        <v>2012</v>
      </c>
      <c r="L89" s="21">
        <f t="shared" ca="1" si="10"/>
        <v>2012</v>
      </c>
      <c r="M89" s="21">
        <f t="shared" ca="1" si="10"/>
        <v>2012</v>
      </c>
      <c r="N89" s="21">
        <f t="shared" ca="1" si="10"/>
        <v>2012</v>
      </c>
      <c r="O89" s="21">
        <f t="shared" ca="1" si="10"/>
        <v>2012</v>
      </c>
      <c r="P89" s="21">
        <f t="shared" ca="1" si="10"/>
        <v>2012</v>
      </c>
      <c r="Q89" s="21">
        <f t="shared" ca="1" si="10"/>
        <v>2012</v>
      </c>
      <c r="R89" s="21">
        <f t="shared" ca="1" si="10"/>
        <v>2012</v>
      </c>
      <c r="S89" s="21">
        <f t="shared" ca="1" si="10"/>
        <v>2012</v>
      </c>
      <c r="T89" s="21">
        <f t="shared" ca="1" si="10"/>
        <v>2012</v>
      </c>
      <c r="U89" s="21">
        <f t="shared" ca="1" si="8"/>
        <v>2012</v>
      </c>
      <c r="V89" s="21">
        <f t="shared" ca="1" si="8"/>
        <v>2012</v>
      </c>
      <c r="W89" s="21">
        <f t="shared" ca="1" si="8"/>
        <v>2012</v>
      </c>
      <c r="X89" s="21" t="e">
        <f t="shared" ca="1" si="8"/>
        <v>#N/A</v>
      </c>
      <c r="Y89" s="21">
        <f t="shared" ca="1" si="8"/>
        <v>2012</v>
      </c>
      <c r="Z89" s="21">
        <f t="shared" ca="1" si="8"/>
        <v>2012</v>
      </c>
      <c r="AA89" s="21">
        <f t="shared" ca="1" si="8"/>
        <v>2012</v>
      </c>
      <c r="AB89" s="21">
        <f t="shared" ca="1" si="8"/>
        <v>2012</v>
      </c>
      <c r="AC89" s="21">
        <f t="shared" ca="1" si="8"/>
        <v>2012</v>
      </c>
      <c r="AD89" s="21">
        <f t="shared" ca="1" si="8"/>
        <v>2012</v>
      </c>
    </row>
    <row r="90" spans="2:30" ht="12" thickBot="1" x14ac:dyDescent="0.25">
      <c r="B90" s="1" t="str">
        <f>tblIndicators!B88</f>
        <v>WATER23</v>
      </c>
      <c r="C90" s="1">
        <f>tblIndicators!E88</f>
        <v>1</v>
      </c>
      <c r="D90" s="19" t="str">
        <f>tblIndicators!O88</f>
        <v>Truck supply relative to port volume</v>
      </c>
      <c r="E90" s="21">
        <f t="shared" ca="1" si="10"/>
        <v>2012</v>
      </c>
      <c r="F90" s="21">
        <f t="shared" ca="1" si="10"/>
        <v>2012</v>
      </c>
      <c r="G90" s="21">
        <f t="shared" ca="1" si="10"/>
        <v>2012</v>
      </c>
      <c r="H90" s="21" t="e">
        <f t="shared" ca="1" si="10"/>
        <v>#N/A</v>
      </c>
      <c r="I90" s="21" t="e">
        <f t="shared" ca="1" si="10"/>
        <v>#N/A</v>
      </c>
      <c r="J90" s="21">
        <f t="shared" ca="1" si="10"/>
        <v>2012</v>
      </c>
      <c r="K90" s="21">
        <f t="shared" ca="1" si="10"/>
        <v>2012</v>
      </c>
      <c r="L90" s="21">
        <f t="shared" ca="1" si="10"/>
        <v>2012</v>
      </c>
      <c r="M90" s="21">
        <f t="shared" ca="1" si="10"/>
        <v>2012</v>
      </c>
      <c r="N90" s="21">
        <f t="shared" ca="1" si="10"/>
        <v>2012</v>
      </c>
      <c r="O90" s="21">
        <f t="shared" ca="1" si="10"/>
        <v>2012</v>
      </c>
      <c r="P90" s="21">
        <f t="shared" ca="1" si="10"/>
        <v>2012</v>
      </c>
      <c r="Q90" s="21">
        <f t="shared" ca="1" si="10"/>
        <v>2012</v>
      </c>
      <c r="R90" s="21" t="e">
        <f t="shared" ca="1" si="10"/>
        <v>#N/A</v>
      </c>
      <c r="S90" s="21">
        <f t="shared" ca="1" si="10"/>
        <v>2012</v>
      </c>
      <c r="T90" s="21">
        <f t="shared" ca="1" si="10"/>
        <v>2012</v>
      </c>
      <c r="U90" s="21">
        <f t="shared" ca="1" si="8"/>
        <v>2012</v>
      </c>
      <c r="V90" s="21">
        <f t="shared" ca="1" si="8"/>
        <v>2012</v>
      </c>
      <c r="W90" s="21">
        <f t="shared" ca="1" si="8"/>
        <v>2012</v>
      </c>
      <c r="X90" s="21">
        <f t="shared" ca="1" si="8"/>
        <v>2012</v>
      </c>
      <c r="Y90" s="21">
        <f t="shared" ca="1" si="8"/>
        <v>2012</v>
      </c>
      <c r="Z90" s="21" t="e">
        <f t="shared" ca="1" si="8"/>
        <v>#N/A</v>
      </c>
      <c r="AA90" s="21">
        <f t="shared" ca="1" si="8"/>
        <v>2012</v>
      </c>
      <c r="AB90" s="21" t="e">
        <f t="shared" ca="1" si="8"/>
        <v>#N/A</v>
      </c>
      <c r="AC90" s="21">
        <f t="shared" ca="1" si="8"/>
        <v>2012</v>
      </c>
      <c r="AD90" s="21">
        <f t="shared" ca="1" si="8"/>
        <v>2012</v>
      </c>
    </row>
    <row r="91" spans="2:30" ht="15.75" thickBot="1" x14ac:dyDescent="0.3">
      <c r="B91" s="1" t="str">
        <f>tblIndicators!B89</f>
        <v>LOGISTICS</v>
      </c>
      <c r="C91" s="1">
        <f>tblIndicators!E89</f>
        <v>0</v>
      </c>
      <c r="D91" s="20" t="str">
        <f>tblIndicators!O89</f>
        <v>Logistics activities</v>
      </c>
      <c r="E91" s="21" t="str">
        <f t="shared" ca="1" si="10"/>
        <v/>
      </c>
      <c r="F91" s="21" t="str">
        <f t="shared" ca="1" si="10"/>
        <v/>
      </c>
      <c r="G91" s="21" t="str">
        <f t="shared" ca="1" si="10"/>
        <v/>
      </c>
      <c r="H91" s="21" t="str">
        <f t="shared" ca="1" si="10"/>
        <v/>
      </c>
      <c r="I91" s="21" t="str">
        <f t="shared" ca="1" si="10"/>
        <v/>
      </c>
      <c r="J91" s="21" t="str">
        <f t="shared" ca="1" si="10"/>
        <v/>
      </c>
      <c r="K91" s="21" t="str">
        <f t="shared" ca="1" si="10"/>
        <v/>
      </c>
      <c r="L91" s="21" t="str">
        <f t="shared" ca="1" si="10"/>
        <v/>
      </c>
      <c r="M91" s="21" t="str">
        <f t="shared" ca="1" si="10"/>
        <v/>
      </c>
      <c r="N91" s="21" t="str">
        <f t="shared" ca="1" si="10"/>
        <v/>
      </c>
      <c r="O91" s="21" t="str">
        <f t="shared" ca="1" si="10"/>
        <v/>
      </c>
      <c r="P91" s="21" t="str">
        <f t="shared" ca="1" si="10"/>
        <v/>
      </c>
      <c r="Q91" s="21" t="str">
        <f t="shared" ca="1" si="10"/>
        <v/>
      </c>
      <c r="R91" s="21" t="str">
        <f t="shared" ca="1" si="10"/>
        <v/>
      </c>
      <c r="S91" s="21" t="str">
        <f t="shared" ca="1" si="10"/>
        <v/>
      </c>
      <c r="T91" s="21" t="str">
        <f t="shared" ca="1" si="10"/>
        <v/>
      </c>
      <c r="U91" s="21" t="str">
        <f t="shared" ca="1" si="8"/>
        <v/>
      </c>
      <c r="V91" s="21" t="str">
        <f t="shared" ca="1" si="8"/>
        <v/>
      </c>
      <c r="W91" s="21" t="str">
        <f t="shared" ca="1" si="8"/>
        <v/>
      </c>
      <c r="X91" s="21" t="str">
        <f t="shared" ca="1" si="8"/>
        <v/>
      </c>
      <c r="Y91" s="21" t="str">
        <f t="shared" ca="1" si="8"/>
        <v/>
      </c>
      <c r="Z91" s="21" t="str">
        <f t="shared" ref="U91:AD106" ca="1" si="11">IF($C91=0,"",INDEX(OFFSET(lu_DataCode,0,3),MATCH(CONCATENATE(Z$2,"_",$B91),lu_DataCode,0)))</f>
        <v/>
      </c>
      <c r="AA91" s="21" t="str">
        <f t="shared" ca="1" si="11"/>
        <v/>
      </c>
      <c r="AB91" s="21" t="str">
        <f t="shared" ca="1" si="11"/>
        <v/>
      </c>
      <c r="AC91" s="21" t="str">
        <f t="shared" ca="1" si="11"/>
        <v/>
      </c>
      <c r="AD91" s="21" t="str">
        <f t="shared" ca="1" si="11"/>
        <v/>
      </c>
    </row>
    <row r="92" spans="2:30" ht="12" thickBot="1" x14ac:dyDescent="0.25">
      <c r="B92" s="1" t="str">
        <f>tblIndicators!B90</f>
        <v>LOGISTICS01</v>
      </c>
      <c r="C92" s="1">
        <f>tblIndicators!E90</f>
        <v>1</v>
      </c>
      <c r="D92" s="19" t="str">
        <f>tblIndicators!O90</f>
        <v>Logistics centers' surface</v>
      </c>
      <c r="E92" s="21" t="e">
        <f t="shared" ca="1" si="10"/>
        <v>#N/A</v>
      </c>
      <c r="F92" s="21" t="e">
        <f t="shared" ca="1" si="10"/>
        <v>#N/A</v>
      </c>
      <c r="G92" s="21">
        <f t="shared" ca="1" si="10"/>
        <v>2012</v>
      </c>
      <c r="H92" s="21" t="e">
        <f t="shared" ca="1" si="10"/>
        <v>#N/A</v>
      </c>
      <c r="I92" s="21" t="e">
        <f t="shared" ca="1" si="10"/>
        <v>#N/A</v>
      </c>
      <c r="J92" s="21" t="e">
        <f t="shared" ca="1" si="10"/>
        <v>#N/A</v>
      </c>
      <c r="K92" s="21" t="e">
        <f t="shared" ca="1" si="10"/>
        <v>#N/A</v>
      </c>
      <c r="L92" s="21" t="e">
        <f t="shared" ca="1" si="10"/>
        <v>#N/A</v>
      </c>
      <c r="M92" s="21" t="e">
        <f t="shared" ca="1" si="10"/>
        <v>#N/A</v>
      </c>
      <c r="N92" s="21" t="e">
        <f t="shared" ca="1" si="10"/>
        <v>#N/A</v>
      </c>
      <c r="O92" s="21" t="e">
        <f t="shared" ca="1" si="10"/>
        <v>#N/A</v>
      </c>
      <c r="P92" s="21" t="e">
        <f t="shared" ca="1" si="10"/>
        <v>#N/A</v>
      </c>
      <c r="Q92" s="21" t="e">
        <f t="shared" ca="1" si="10"/>
        <v>#N/A</v>
      </c>
      <c r="R92" s="21" t="e">
        <f t="shared" ca="1" si="10"/>
        <v>#N/A</v>
      </c>
      <c r="S92" s="21" t="e">
        <f t="shared" ca="1" si="10"/>
        <v>#N/A</v>
      </c>
      <c r="T92" s="21" t="e">
        <f t="shared" ca="1" si="10"/>
        <v>#N/A</v>
      </c>
      <c r="U92" s="21">
        <f t="shared" ca="1" si="11"/>
        <v>2012</v>
      </c>
      <c r="V92" s="21" t="e">
        <f t="shared" ca="1" si="11"/>
        <v>#N/A</v>
      </c>
      <c r="W92" s="21" t="e">
        <f t="shared" ca="1" si="11"/>
        <v>#N/A</v>
      </c>
      <c r="X92" s="21" t="e">
        <f t="shared" ca="1" si="11"/>
        <v>#N/A</v>
      </c>
      <c r="Y92" s="21" t="e">
        <f t="shared" ca="1" si="11"/>
        <v>#N/A</v>
      </c>
      <c r="Z92" s="21" t="e">
        <f t="shared" ca="1" si="11"/>
        <v>#N/A</v>
      </c>
      <c r="AA92" s="21" t="e">
        <f t="shared" ca="1" si="11"/>
        <v>#N/A</v>
      </c>
      <c r="AB92" s="21" t="e">
        <f t="shared" ca="1" si="11"/>
        <v>#N/A</v>
      </c>
      <c r="AC92" s="21" t="e">
        <f t="shared" ca="1" si="11"/>
        <v>#N/A</v>
      </c>
      <c r="AD92" s="21" t="e">
        <f t="shared" ca="1" si="11"/>
        <v>#N/A</v>
      </c>
    </row>
    <row r="93" spans="2:30" ht="12" thickBot="1" x14ac:dyDescent="0.25">
      <c r="B93" s="1" t="str">
        <f>tblIndicators!B91</f>
        <v>LOGISTICS02</v>
      </c>
      <c r="C93" s="1">
        <f>tblIndicators!E91</f>
        <v>1</v>
      </c>
      <c r="D93" s="19" t="str">
        <f>tblIndicators!O91</f>
        <v>Cold facilities total surface</v>
      </c>
      <c r="E93" s="21" t="e">
        <f t="shared" ca="1" si="10"/>
        <v>#N/A</v>
      </c>
      <c r="F93" s="21" t="e">
        <f t="shared" ca="1" si="10"/>
        <v>#N/A</v>
      </c>
      <c r="G93" s="21">
        <f t="shared" ca="1" si="10"/>
        <v>2012</v>
      </c>
      <c r="H93" s="21" t="e">
        <f t="shared" ca="1" si="10"/>
        <v>#N/A</v>
      </c>
      <c r="I93" s="21" t="e">
        <f t="shared" ca="1" si="10"/>
        <v>#N/A</v>
      </c>
      <c r="J93" s="21" t="e">
        <f t="shared" ca="1" si="10"/>
        <v>#N/A</v>
      </c>
      <c r="K93" s="21" t="e">
        <f t="shared" ca="1" si="10"/>
        <v>#N/A</v>
      </c>
      <c r="L93" s="21" t="e">
        <f t="shared" ca="1" si="10"/>
        <v>#N/A</v>
      </c>
      <c r="M93" s="21" t="e">
        <f t="shared" ca="1" si="10"/>
        <v>#N/A</v>
      </c>
      <c r="N93" s="21" t="e">
        <f t="shared" ca="1" si="10"/>
        <v>#N/A</v>
      </c>
      <c r="O93" s="21" t="e">
        <f t="shared" ca="1" si="10"/>
        <v>#N/A</v>
      </c>
      <c r="P93" s="21" t="e">
        <f t="shared" ca="1" si="10"/>
        <v>#N/A</v>
      </c>
      <c r="Q93" s="21" t="e">
        <f t="shared" ca="1" si="10"/>
        <v>#N/A</v>
      </c>
      <c r="R93" s="21" t="e">
        <f t="shared" ca="1" si="10"/>
        <v>#N/A</v>
      </c>
      <c r="S93" s="21">
        <f t="shared" ca="1" si="10"/>
        <v>2012</v>
      </c>
      <c r="T93" s="21" t="e">
        <f t="shared" ca="1" si="10"/>
        <v>#N/A</v>
      </c>
      <c r="U93" s="21" t="e">
        <f t="shared" ca="1" si="11"/>
        <v>#N/A</v>
      </c>
      <c r="V93" s="21" t="e">
        <f t="shared" ca="1" si="11"/>
        <v>#N/A</v>
      </c>
      <c r="W93" s="21" t="e">
        <f t="shared" ca="1" si="11"/>
        <v>#N/A</v>
      </c>
      <c r="X93" s="21" t="e">
        <f t="shared" ca="1" si="11"/>
        <v>#N/A</v>
      </c>
      <c r="Y93" s="21" t="e">
        <f t="shared" ca="1" si="11"/>
        <v>#N/A</v>
      </c>
      <c r="Z93" s="21" t="e">
        <f t="shared" ca="1" si="11"/>
        <v>#N/A</v>
      </c>
      <c r="AA93" s="21" t="e">
        <f t="shared" ca="1" si="11"/>
        <v>#N/A</v>
      </c>
      <c r="AB93" s="21" t="e">
        <f t="shared" ca="1" si="11"/>
        <v>#N/A</v>
      </c>
      <c r="AC93" s="21" t="e">
        <f t="shared" ca="1" si="11"/>
        <v>#N/A</v>
      </c>
      <c r="AD93" s="21" t="e">
        <f t="shared" ca="1" si="11"/>
        <v>#N/A</v>
      </c>
    </row>
    <row r="94" spans="2:30" ht="12" thickBot="1" x14ac:dyDescent="0.25">
      <c r="B94" s="1" t="str">
        <f>tblIndicators!B92</f>
        <v>LOGISTICS06</v>
      </c>
      <c r="C94" s="1">
        <f>tblIndicators!E92</f>
        <v>1</v>
      </c>
      <c r="D94" s="19" t="str">
        <f>tblIndicators!O92</f>
        <v>Position in LPI ranking</v>
      </c>
      <c r="E94" s="21">
        <f t="shared" ca="1" si="10"/>
        <v>2012</v>
      </c>
      <c r="F94" s="21">
        <f t="shared" ca="1" si="10"/>
        <v>2012</v>
      </c>
      <c r="G94" s="21" t="e">
        <f t="shared" ca="1" si="10"/>
        <v>#N/A</v>
      </c>
      <c r="H94" s="21" t="e">
        <f t="shared" ca="1" si="10"/>
        <v>#N/A</v>
      </c>
      <c r="I94" s="21">
        <f t="shared" ca="1" si="10"/>
        <v>2012</v>
      </c>
      <c r="J94" s="21">
        <f t="shared" ca="1" si="10"/>
        <v>2012</v>
      </c>
      <c r="K94" s="21">
        <f t="shared" ca="1" si="10"/>
        <v>2012</v>
      </c>
      <c r="L94" s="21">
        <f t="shared" ca="1" si="10"/>
        <v>2012</v>
      </c>
      <c r="M94" s="21">
        <f t="shared" ca="1" si="10"/>
        <v>2012</v>
      </c>
      <c r="N94" s="21">
        <f t="shared" ca="1" si="10"/>
        <v>2012</v>
      </c>
      <c r="O94" s="21">
        <f t="shared" ca="1" si="10"/>
        <v>2012</v>
      </c>
      <c r="P94" s="21">
        <f t="shared" ca="1" si="10"/>
        <v>2012</v>
      </c>
      <c r="Q94" s="21">
        <f t="shared" ca="1" si="10"/>
        <v>2012</v>
      </c>
      <c r="R94" s="21">
        <f t="shared" ca="1" si="10"/>
        <v>2012</v>
      </c>
      <c r="S94" s="21">
        <f t="shared" ca="1" si="10"/>
        <v>2012</v>
      </c>
      <c r="T94" s="21">
        <f t="shared" ca="1" si="10"/>
        <v>2012</v>
      </c>
      <c r="U94" s="21">
        <f t="shared" ca="1" si="11"/>
        <v>2012</v>
      </c>
      <c r="V94" s="21" t="e">
        <f t="shared" ca="1" si="11"/>
        <v>#N/A</v>
      </c>
      <c r="W94" s="21">
        <f t="shared" ca="1" si="11"/>
        <v>2012</v>
      </c>
      <c r="X94" s="21">
        <f t="shared" ca="1" si="11"/>
        <v>2012</v>
      </c>
      <c r="Y94" s="21">
        <f t="shared" ca="1" si="11"/>
        <v>2012</v>
      </c>
      <c r="Z94" s="21">
        <f t="shared" ca="1" si="11"/>
        <v>2012</v>
      </c>
      <c r="AA94" s="21" t="e">
        <f t="shared" ca="1" si="11"/>
        <v>#N/A</v>
      </c>
      <c r="AB94" s="21" t="e">
        <f t="shared" ca="1" si="11"/>
        <v>#N/A</v>
      </c>
      <c r="AC94" s="21">
        <f t="shared" ca="1" si="11"/>
        <v>2012</v>
      </c>
      <c r="AD94" s="21">
        <f t="shared" ca="1" si="11"/>
        <v>2012</v>
      </c>
    </row>
    <row r="95" spans="2:30" ht="12" thickBot="1" x14ac:dyDescent="0.25">
      <c r="B95" s="1" t="str">
        <f>tblIndicators!B93</f>
        <v>LOGISTICS07</v>
      </c>
      <c r="C95" s="1">
        <f>tblIndicators!E93</f>
        <v>1</v>
      </c>
      <c r="D95" s="19" t="str">
        <f>tblIndicators!O93</f>
        <v>Logistics performance index (LPI) overall score</v>
      </c>
      <c r="E95" s="21">
        <f t="shared" ca="1" si="10"/>
        <v>2012</v>
      </c>
      <c r="F95" s="21">
        <f t="shared" ca="1" si="10"/>
        <v>2012</v>
      </c>
      <c r="G95" s="21" t="e">
        <f t="shared" ca="1" si="10"/>
        <v>#N/A</v>
      </c>
      <c r="H95" s="21" t="e">
        <f t="shared" ca="1" si="10"/>
        <v>#N/A</v>
      </c>
      <c r="I95" s="21">
        <f t="shared" ca="1" si="10"/>
        <v>2012</v>
      </c>
      <c r="J95" s="21">
        <f t="shared" ca="1" si="10"/>
        <v>2012</v>
      </c>
      <c r="K95" s="21">
        <f t="shared" ca="1" si="10"/>
        <v>2012</v>
      </c>
      <c r="L95" s="21">
        <f t="shared" ca="1" si="10"/>
        <v>2012</v>
      </c>
      <c r="M95" s="21">
        <f t="shared" ca="1" si="10"/>
        <v>2012</v>
      </c>
      <c r="N95" s="21">
        <f t="shared" ca="1" si="10"/>
        <v>2012</v>
      </c>
      <c r="O95" s="21">
        <f t="shared" ca="1" si="10"/>
        <v>2012</v>
      </c>
      <c r="P95" s="21">
        <f t="shared" ca="1" si="10"/>
        <v>2012</v>
      </c>
      <c r="Q95" s="21">
        <f t="shared" ca="1" si="10"/>
        <v>2012</v>
      </c>
      <c r="R95" s="21">
        <f t="shared" ca="1" si="10"/>
        <v>2012</v>
      </c>
      <c r="S95" s="21">
        <f t="shared" ca="1" si="10"/>
        <v>2012</v>
      </c>
      <c r="T95" s="21">
        <f t="shared" ca="1" si="10"/>
        <v>2012</v>
      </c>
      <c r="U95" s="21">
        <f t="shared" ca="1" si="11"/>
        <v>2012</v>
      </c>
      <c r="V95" s="21" t="e">
        <f t="shared" ca="1" si="11"/>
        <v>#N/A</v>
      </c>
      <c r="W95" s="21">
        <f t="shared" ca="1" si="11"/>
        <v>2012</v>
      </c>
      <c r="X95" s="21">
        <f t="shared" ca="1" si="11"/>
        <v>2012</v>
      </c>
      <c r="Y95" s="21">
        <f t="shared" ca="1" si="11"/>
        <v>2012</v>
      </c>
      <c r="Z95" s="21">
        <f t="shared" ca="1" si="11"/>
        <v>2012</v>
      </c>
      <c r="AA95" s="21" t="e">
        <f t="shared" ca="1" si="11"/>
        <v>#N/A</v>
      </c>
      <c r="AB95" s="21" t="e">
        <f t="shared" ca="1" si="11"/>
        <v>#N/A</v>
      </c>
      <c r="AC95" s="21">
        <f t="shared" ca="1" si="11"/>
        <v>2012</v>
      </c>
      <c r="AD95" s="21">
        <f t="shared" ca="1" si="11"/>
        <v>2012</v>
      </c>
    </row>
    <row r="96" spans="2:30" ht="12" thickBot="1" x14ac:dyDescent="0.25">
      <c r="B96" s="1" t="str">
        <f>tblIndicators!B94</f>
        <v>LOGISTICS08</v>
      </c>
      <c r="C96" s="1">
        <f>tblIndicators!E94</f>
        <v>1</v>
      </c>
      <c r="D96" s="19" t="str">
        <f>tblIndicators!O94</f>
        <v>LPI infrastructure index</v>
      </c>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row>
    <row r="97" spans="2:30" ht="12" thickBot="1" x14ac:dyDescent="0.25">
      <c r="B97" s="1" t="str">
        <f>tblIndicators!B95</f>
        <v>LOGISTICS09</v>
      </c>
      <c r="C97" s="1">
        <f>tblIndicators!E95</f>
        <v>1</v>
      </c>
      <c r="D97" s="19" t="str">
        <f>tblIndicators!O95</f>
        <v>LPI competence (services) index</v>
      </c>
      <c r="E97" s="21">
        <f t="shared" ca="1" si="10"/>
        <v>2012</v>
      </c>
      <c r="F97" s="21">
        <f t="shared" ca="1" si="10"/>
        <v>2012</v>
      </c>
      <c r="G97" s="21" t="e">
        <f t="shared" ca="1" si="10"/>
        <v>#N/A</v>
      </c>
      <c r="H97" s="21" t="e">
        <f t="shared" ca="1" si="10"/>
        <v>#N/A</v>
      </c>
      <c r="I97" s="21">
        <f t="shared" ca="1" si="10"/>
        <v>2012</v>
      </c>
      <c r="J97" s="21">
        <f t="shared" ca="1" si="10"/>
        <v>2012</v>
      </c>
      <c r="K97" s="21">
        <f t="shared" ca="1" si="10"/>
        <v>2012</v>
      </c>
      <c r="L97" s="21">
        <f t="shared" ca="1" si="10"/>
        <v>2012</v>
      </c>
      <c r="M97" s="21">
        <f t="shared" ca="1" si="10"/>
        <v>2012</v>
      </c>
      <c r="N97" s="21">
        <f t="shared" ca="1" si="10"/>
        <v>2012</v>
      </c>
      <c r="O97" s="21">
        <f t="shared" ca="1" si="10"/>
        <v>2012</v>
      </c>
      <c r="P97" s="21">
        <f t="shared" ca="1" si="10"/>
        <v>2012</v>
      </c>
      <c r="Q97" s="21">
        <f t="shared" ca="1" si="10"/>
        <v>2012</v>
      </c>
      <c r="R97" s="21">
        <f t="shared" ca="1" si="10"/>
        <v>2012</v>
      </c>
      <c r="S97" s="21">
        <f t="shared" ca="1" si="10"/>
        <v>2012</v>
      </c>
      <c r="T97" s="21">
        <f t="shared" ca="1" si="10"/>
        <v>2012</v>
      </c>
      <c r="U97" s="21">
        <f t="shared" ca="1" si="11"/>
        <v>2012</v>
      </c>
      <c r="V97" s="21" t="e">
        <f t="shared" ca="1" si="11"/>
        <v>#N/A</v>
      </c>
      <c r="W97" s="21">
        <f t="shared" ca="1" si="11"/>
        <v>2012</v>
      </c>
      <c r="X97" s="21">
        <f t="shared" ca="1" si="11"/>
        <v>2012</v>
      </c>
      <c r="Y97" s="21">
        <f t="shared" ca="1" si="11"/>
        <v>2012</v>
      </c>
      <c r="Z97" s="21">
        <f t="shared" ca="1" si="11"/>
        <v>2012</v>
      </c>
      <c r="AA97" s="21" t="e">
        <f t="shared" ca="1" si="11"/>
        <v>#N/A</v>
      </c>
      <c r="AB97" s="21" t="e">
        <f t="shared" ca="1" si="11"/>
        <v>#N/A</v>
      </c>
      <c r="AC97" s="21">
        <f t="shared" ca="1" si="11"/>
        <v>2012</v>
      </c>
      <c r="AD97" s="21">
        <f t="shared" ca="1" si="11"/>
        <v>2012</v>
      </c>
    </row>
    <row r="98" spans="2:30" ht="15.75" thickBot="1" x14ac:dyDescent="0.3">
      <c r="B98" s="1" t="str">
        <f>tblIndicators!B96</f>
        <v>CALC</v>
      </c>
      <c r="C98" s="1">
        <f>tblIndicators!E96</f>
        <v>0</v>
      </c>
      <c r="D98" s="20" t="str">
        <f>tblIndicators!O96</f>
        <v>CALCULATED INDICATORS</v>
      </c>
      <c r="E98" s="21" t="str">
        <f t="shared" ca="1" si="10"/>
        <v/>
      </c>
      <c r="F98" s="21" t="str">
        <f t="shared" ca="1" si="10"/>
        <v/>
      </c>
      <c r="G98" s="21" t="str">
        <f t="shared" ca="1" si="10"/>
        <v/>
      </c>
      <c r="H98" s="21" t="str">
        <f t="shared" ca="1" si="10"/>
        <v/>
      </c>
      <c r="I98" s="21" t="str">
        <f t="shared" ca="1" si="10"/>
        <v/>
      </c>
      <c r="J98" s="21" t="str">
        <f t="shared" ca="1" si="10"/>
        <v/>
      </c>
      <c r="K98" s="21" t="str">
        <f t="shared" ca="1" si="10"/>
        <v/>
      </c>
      <c r="L98" s="21" t="str">
        <f t="shared" ca="1" si="10"/>
        <v/>
      </c>
      <c r="M98" s="21" t="str">
        <f t="shared" ca="1" si="10"/>
        <v/>
      </c>
      <c r="N98" s="21" t="str">
        <f t="shared" ca="1" si="10"/>
        <v/>
      </c>
      <c r="O98" s="21" t="str">
        <f t="shared" ca="1" si="10"/>
        <v/>
      </c>
      <c r="P98" s="21" t="str">
        <f t="shared" ca="1" si="10"/>
        <v/>
      </c>
      <c r="Q98" s="21" t="str">
        <f t="shared" ca="1" si="10"/>
        <v/>
      </c>
      <c r="R98" s="21" t="str">
        <f t="shared" ca="1" si="10"/>
        <v/>
      </c>
      <c r="S98" s="21" t="str">
        <f t="shared" ca="1" si="10"/>
        <v/>
      </c>
      <c r="T98" s="21" t="str">
        <f t="shared" ca="1" si="10"/>
        <v/>
      </c>
      <c r="U98" s="21" t="str">
        <f t="shared" ca="1" si="11"/>
        <v/>
      </c>
      <c r="V98" s="21" t="str">
        <f t="shared" ca="1" si="11"/>
        <v/>
      </c>
      <c r="W98" s="21" t="str">
        <f t="shared" ca="1" si="11"/>
        <v/>
      </c>
      <c r="X98" s="21" t="str">
        <f t="shared" ca="1" si="11"/>
        <v/>
      </c>
      <c r="Y98" s="21" t="str">
        <f t="shared" ca="1" si="11"/>
        <v/>
      </c>
      <c r="Z98" s="21" t="str">
        <f t="shared" ca="1" si="11"/>
        <v/>
      </c>
      <c r="AA98" s="21" t="str">
        <f t="shared" ca="1" si="11"/>
        <v/>
      </c>
      <c r="AB98" s="21" t="str">
        <f t="shared" ca="1" si="11"/>
        <v/>
      </c>
      <c r="AC98" s="21" t="str">
        <f t="shared" ca="1" si="11"/>
        <v/>
      </c>
      <c r="AD98" s="21" t="str">
        <f t="shared" ca="1" si="11"/>
        <v/>
      </c>
    </row>
    <row r="99" spans="2:30" ht="12" thickBot="1" x14ac:dyDescent="0.25">
      <c r="B99" s="1" t="str">
        <f>tblIndicators!B97</f>
        <v>CALC01</v>
      </c>
      <c r="C99" s="1">
        <f>tblIndicators!E97</f>
        <v>1</v>
      </c>
      <c r="D99" s="19" t="str">
        <f>tblIndicators!O97</f>
        <v>GDP / capita</v>
      </c>
      <c r="E99" s="21">
        <f t="shared" ca="1" si="10"/>
        <v>2012</v>
      </c>
      <c r="F99" s="21">
        <f t="shared" ca="1" si="10"/>
        <v>2012</v>
      </c>
      <c r="G99" s="21">
        <f t="shared" ca="1" si="10"/>
        <v>2012</v>
      </c>
      <c r="H99" s="21">
        <f t="shared" ca="1" si="10"/>
        <v>2012</v>
      </c>
      <c r="I99" s="21">
        <f t="shared" ca="1" si="10"/>
        <v>2012</v>
      </c>
      <c r="J99" s="21">
        <f t="shared" ca="1" si="10"/>
        <v>2012</v>
      </c>
      <c r="K99" s="21">
        <f t="shared" ca="1" si="10"/>
        <v>2012</v>
      </c>
      <c r="L99" s="21">
        <f t="shared" ca="1" si="10"/>
        <v>2012</v>
      </c>
      <c r="M99" s="21">
        <f t="shared" ca="1" si="10"/>
        <v>2012</v>
      </c>
      <c r="N99" s="21">
        <f t="shared" ca="1" si="10"/>
        <v>2012</v>
      </c>
      <c r="O99" s="21">
        <f t="shared" ca="1" si="10"/>
        <v>2012</v>
      </c>
      <c r="P99" s="21">
        <f t="shared" ca="1" si="10"/>
        <v>2012</v>
      </c>
      <c r="Q99" s="21">
        <f t="shared" ca="1" si="10"/>
        <v>2012</v>
      </c>
      <c r="R99" s="21">
        <f t="shared" ca="1" si="10"/>
        <v>2012</v>
      </c>
      <c r="S99" s="21">
        <f t="shared" ca="1" si="10"/>
        <v>2012</v>
      </c>
      <c r="T99" s="21">
        <f t="shared" ca="1" si="10"/>
        <v>2012</v>
      </c>
      <c r="U99" s="21">
        <f t="shared" ca="1" si="11"/>
        <v>2012</v>
      </c>
      <c r="V99" s="21">
        <f t="shared" ca="1" si="11"/>
        <v>2012</v>
      </c>
      <c r="W99" s="21">
        <f t="shared" ca="1" si="11"/>
        <v>2012</v>
      </c>
      <c r="X99" s="21">
        <f t="shared" ca="1" si="11"/>
        <v>2012</v>
      </c>
      <c r="Y99" s="21">
        <f t="shared" ca="1" si="11"/>
        <v>2012</v>
      </c>
      <c r="Z99" s="21">
        <f t="shared" ca="1" si="11"/>
        <v>2012</v>
      </c>
      <c r="AA99" s="21">
        <f t="shared" ca="1" si="11"/>
        <v>2012</v>
      </c>
      <c r="AB99" s="21">
        <f t="shared" ca="1" si="11"/>
        <v>2012</v>
      </c>
      <c r="AC99" s="21">
        <f t="shared" ca="1" si="11"/>
        <v>2012</v>
      </c>
      <c r="AD99" s="21">
        <f t="shared" ca="1" si="11"/>
        <v>2012</v>
      </c>
    </row>
    <row r="100" spans="2:30" ht="12" thickBot="1" x14ac:dyDescent="0.25">
      <c r="B100" s="1" t="str">
        <f>tblIndicators!B98</f>
        <v>CALC02</v>
      </c>
      <c r="C100" s="1">
        <f>tblIndicators!E98</f>
        <v>1</v>
      </c>
      <c r="D100" s="19" t="str">
        <f>tblIndicators!O98</f>
        <v>Trade balance / GDP</v>
      </c>
      <c r="E100" s="21">
        <f t="shared" ca="1" si="10"/>
        <v>2012</v>
      </c>
      <c r="F100" s="21">
        <f t="shared" ca="1" si="10"/>
        <v>2012</v>
      </c>
      <c r="G100" s="21">
        <f t="shared" ca="1" si="10"/>
        <v>2012</v>
      </c>
      <c r="H100" s="21">
        <f t="shared" ca="1" si="10"/>
        <v>2012</v>
      </c>
      <c r="I100" s="21">
        <f t="shared" ca="1" si="10"/>
        <v>2012</v>
      </c>
      <c r="J100" s="21">
        <f t="shared" ca="1" si="10"/>
        <v>2012</v>
      </c>
      <c r="K100" s="21">
        <f t="shared" ca="1" si="10"/>
        <v>2012</v>
      </c>
      <c r="L100" s="21">
        <f t="shared" ca="1" si="10"/>
        <v>2012</v>
      </c>
      <c r="M100" s="21">
        <f t="shared" ca="1" si="10"/>
        <v>2012</v>
      </c>
      <c r="N100" s="21">
        <f t="shared" ca="1" si="10"/>
        <v>2012</v>
      </c>
      <c r="O100" s="21">
        <f t="shared" ca="1" si="10"/>
        <v>2012</v>
      </c>
      <c r="P100" s="21">
        <f t="shared" ca="1" si="10"/>
        <v>2012</v>
      </c>
      <c r="Q100" s="21">
        <f t="shared" ca="1" si="10"/>
        <v>2012</v>
      </c>
      <c r="R100" s="21">
        <f t="shared" ca="1" si="10"/>
        <v>2012</v>
      </c>
      <c r="S100" s="21">
        <f t="shared" ca="1" si="10"/>
        <v>2012</v>
      </c>
      <c r="T100" s="21">
        <f t="shared" ca="1" si="10"/>
        <v>2012</v>
      </c>
      <c r="U100" s="21">
        <f t="shared" ca="1" si="11"/>
        <v>2012</v>
      </c>
      <c r="V100" s="21">
        <f t="shared" ca="1" si="11"/>
        <v>2012</v>
      </c>
      <c r="W100" s="21">
        <f t="shared" ca="1" si="11"/>
        <v>2012</v>
      </c>
      <c r="X100" s="21">
        <f t="shared" ca="1" si="11"/>
        <v>2012</v>
      </c>
      <c r="Y100" s="21">
        <f t="shared" ca="1" si="11"/>
        <v>2012</v>
      </c>
      <c r="Z100" s="21">
        <f t="shared" ca="1" si="11"/>
        <v>2012</v>
      </c>
      <c r="AA100" s="21">
        <f t="shared" ca="1" si="11"/>
        <v>2012</v>
      </c>
      <c r="AB100" s="21">
        <f t="shared" ca="1" si="11"/>
        <v>2012</v>
      </c>
      <c r="AC100" s="21">
        <f t="shared" ca="1" si="11"/>
        <v>2012</v>
      </c>
      <c r="AD100" s="21">
        <f t="shared" ca="1" si="11"/>
        <v>2012</v>
      </c>
    </row>
    <row r="101" spans="2:30" ht="12" thickBot="1" x14ac:dyDescent="0.25">
      <c r="B101" s="1" t="str">
        <f>tblIndicators!B99</f>
        <v>CALC03</v>
      </c>
      <c r="C101" s="1">
        <f>tblIndicators!E99</f>
        <v>1</v>
      </c>
      <c r="D101" s="19" t="str">
        <f>tblIndicators!O99</f>
        <v>Total vehicles / 1000 inhabitants</v>
      </c>
      <c r="E101" s="21">
        <f t="shared" ca="1" si="10"/>
        <v>2012</v>
      </c>
      <c r="F101" s="21">
        <f t="shared" ca="1" si="10"/>
        <v>2012</v>
      </c>
      <c r="G101" s="21">
        <f t="shared" ca="1" si="10"/>
        <v>2012</v>
      </c>
      <c r="H101" s="21">
        <f t="shared" ca="1" si="10"/>
        <v>2012</v>
      </c>
      <c r="I101" s="21">
        <f t="shared" ca="1" si="10"/>
        <v>2012</v>
      </c>
      <c r="J101" s="21">
        <f t="shared" ca="1" si="10"/>
        <v>2012</v>
      </c>
      <c r="K101" s="21">
        <f t="shared" ca="1" si="10"/>
        <v>2012</v>
      </c>
      <c r="L101" s="21">
        <f t="shared" ca="1" si="10"/>
        <v>2012</v>
      </c>
      <c r="M101" s="21">
        <f t="shared" ca="1" si="10"/>
        <v>2012</v>
      </c>
      <c r="N101" s="21">
        <f t="shared" ca="1" si="10"/>
        <v>2012</v>
      </c>
      <c r="O101" s="21">
        <f t="shared" ca="1" si="10"/>
        <v>2012</v>
      </c>
      <c r="P101" s="21">
        <f t="shared" ca="1" si="10"/>
        <v>2012</v>
      </c>
      <c r="Q101" s="21">
        <f t="shared" ca="1" si="10"/>
        <v>2012</v>
      </c>
      <c r="R101" s="21" t="e">
        <f t="shared" ca="1" si="10"/>
        <v>#N/A</v>
      </c>
      <c r="S101" s="21">
        <f t="shared" ca="1" si="10"/>
        <v>2012</v>
      </c>
      <c r="T101" s="21">
        <f t="shared" ca="1" si="10"/>
        <v>2012</v>
      </c>
      <c r="U101" s="21">
        <f t="shared" ca="1" si="11"/>
        <v>2012</v>
      </c>
      <c r="V101" s="21">
        <f t="shared" ca="1" si="11"/>
        <v>2012</v>
      </c>
      <c r="W101" s="21">
        <f t="shared" ca="1" si="11"/>
        <v>2012</v>
      </c>
      <c r="X101" s="21">
        <f t="shared" ca="1" si="11"/>
        <v>2012</v>
      </c>
      <c r="Y101" s="21">
        <f t="shared" ca="1" si="11"/>
        <v>2012</v>
      </c>
      <c r="Z101" s="21">
        <f t="shared" ca="1" si="11"/>
        <v>2012</v>
      </c>
      <c r="AA101" s="21">
        <f t="shared" ca="1" si="11"/>
        <v>2012</v>
      </c>
      <c r="AB101" s="21">
        <f t="shared" ca="1" si="11"/>
        <v>2012</v>
      </c>
      <c r="AC101" s="21">
        <f t="shared" ca="1" si="11"/>
        <v>2012</v>
      </c>
      <c r="AD101" s="21" t="e">
        <f t="shared" ca="1" si="11"/>
        <v>#N/A</v>
      </c>
    </row>
    <row r="102" spans="2:30" ht="12" thickBot="1" x14ac:dyDescent="0.25">
      <c r="B102" s="1" t="str">
        <f>tblIndicators!B100</f>
        <v>CALC04</v>
      </c>
      <c r="C102" s="1">
        <f>tblIndicators!E100</f>
        <v>1</v>
      </c>
      <c r="D102" s="19" t="str">
        <f>tblIndicators!O100</f>
        <v>Heavy vehicles / 1000 inhabitants</v>
      </c>
      <c r="E102" s="21">
        <f t="shared" ca="1" si="10"/>
        <v>2012</v>
      </c>
      <c r="F102" s="21">
        <f t="shared" ca="1" si="10"/>
        <v>2012</v>
      </c>
      <c r="G102" s="21">
        <f t="shared" ca="1" si="10"/>
        <v>2012</v>
      </c>
      <c r="H102" s="21" t="e">
        <f t="shared" ca="1" si="10"/>
        <v>#N/A</v>
      </c>
      <c r="I102" s="21">
        <f t="shared" ca="1" si="10"/>
        <v>2012</v>
      </c>
      <c r="J102" s="21">
        <f t="shared" ca="1" si="10"/>
        <v>2012</v>
      </c>
      <c r="K102" s="21">
        <f t="shared" ca="1" si="10"/>
        <v>2012</v>
      </c>
      <c r="L102" s="21">
        <f t="shared" ca="1" si="10"/>
        <v>2012</v>
      </c>
      <c r="M102" s="21">
        <f t="shared" ca="1" si="10"/>
        <v>2012</v>
      </c>
      <c r="N102" s="21">
        <f t="shared" ca="1" si="10"/>
        <v>2012</v>
      </c>
      <c r="O102" s="21">
        <f t="shared" ca="1" si="10"/>
        <v>2012</v>
      </c>
      <c r="P102" s="21">
        <f t="shared" ca="1" si="10"/>
        <v>2012</v>
      </c>
      <c r="Q102" s="21">
        <f t="shared" ca="1" si="10"/>
        <v>2012</v>
      </c>
      <c r="R102" s="21" t="e">
        <f t="shared" ca="1" si="10"/>
        <v>#N/A</v>
      </c>
      <c r="S102" s="21">
        <f t="shared" ca="1" si="10"/>
        <v>2012</v>
      </c>
      <c r="T102" s="21">
        <f t="shared" ref="E102:T108" ca="1" si="12">IF($C102=0,"",INDEX(OFFSET(lu_DataCode,0,3),MATCH(CONCATENATE(T$2,"_",$B102),lu_DataCode,0)))</f>
        <v>2012</v>
      </c>
      <c r="U102" s="21">
        <f t="shared" ca="1" si="11"/>
        <v>2012</v>
      </c>
      <c r="V102" s="21">
        <f t="shared" ca="1" si="11"/>
        <v>2012</v>
      </c>
      <c r="W102" s="21">
        <f t="shared" ca="1" si="11"/>
        <v>2012</v>
      </c>
      <c r="X102" s="21">
        <f t="shared" ca="1" si="11"/>
        <v>2012</v>
      </c>
      <c r="Y102" s="21">
        <f t="shared" ca="1" si="11"/>
        <v>2012</v>
      </c>
      <c r="Z102" s="21">
        <f t="shared" ca="1" si="11"/>
        <v>2012</v>
      </c>
      <c r="AA102" s="21">
        <f t="shared" ca="1" si="11"/>
        <v>2012</v>
      </c>
      <c r="AB102" s="21" t="e">
        <f t="shared" ca="1" si="11"/>
        <v>#N/A</v>
      </c>
      <c r="AC102" s="21">
        <f t="shared" ca="1" si="11"/>
        <v>2012</v>
      </c>
      <c r="AD102" s="21">
        <f t="shared" ca="1" si="11"/>
        <v>2012</v>
      </c>
    </row>
    <row r="103" spans="2:30" ht="12" thickBot="1" x14ac:dyDescent="0.25">
      <c r="B103" s="1" t="str">
        <f>tblIndicators!B101</f>
        <v>CALC05</v>
      </c>
      <c r="C103" s="1">
        <f>tblIndicators!E101</f>
        <v>1</v>
      </c>
      <c r="D103" s="19" t="str">
        <f>tblIndicators!O101</f>
        <v>Diesel oil consumption / capita</v>
      </c>
      <c r="E103" s="21">
        <f t="shared" ca="1" si="12"/>
        <v>2012</v>
      </c>
      <c r="F103" s="21">
        <f t="shared" ca="1" si="12"/>
        <v>2012</v>
      </c>
      <c r="G103" s="21">
        <f t="shared" ca="1" si="12"/>
        <v>2012</v>
      </c>
      <c r="H103" s="21">
        <f t="shared" ca="1" si="12"/>
        <v>2012</v>
      </c>
      <c r="I103" s="21">
        <f t="shared" ca="1" si="12"/>
        <v>2012</v>
      </c>
      <c r="J103" s="21">
        <f t="shared" ca="1" si="12"/>
        <v>2012</v>
      </c>
      <c r="K103" s="21">
        <f t="shared" ca="1" si="12"/>
        <v>2012</v>
      </c>
      <c r="L103" s="21">
        <f t="shared" ca="1" si="12"/>
        <v>2012</v>
      </c>
      <c r="M103" s="21">
        <f t="shared" ca="1" si="12"/>
        <v>2012</v>
      </c>
      <c r="N103" s="21">
        <f t="shared" ca="1" si="12"/>
        <v>2012</v>
      </c>
      <c r="O103" s="21">
        <f t="shared" ca="1" si="12"/>
        <v>2012</v>
      </c>
      <c r="P103" s="21">
        <f t="shared" ca="1" si="12"/>
        <v>2012</v>
      </c>
      <c r="Q103" s="21">
        <f t="shared" ca="1" si="12"/>
        <v>2012</v>
      </c>
      <c r="R103" s="21">
        <f t="shared" ca="1" si="12"/>
        <v>2012</v>
      </c>
      <c r="S103" s="21">
        <f t="shared" ca="1" si="12"/>
        <v>2012</v>
      </c>
      <c r="T103" s="21">
        <f t="shared" ca="1" si="12"/>
        <v>2012</v>
      </c>
      <c r="U103" s="21">
        <f t="shared" ca="1" si="11"/>
        <v>2012</v>
      </c>
      <c r="V103" s="21">
        <f t="shared" ca="1" si="11"/>
        <v>2012</v>
      </c>
      <c r="W103" s="21">
        <f t="shared" ca="1" si="11"/>
        <v>2012</v>
      </c>
      <c r="X103" s="21">
        <f t="shared" ca="1" si="11"/>
        <v>2012</v>
      </c>
      <c r="Y103" s="21">
        <f t="shared" ca="1" si="11"/>
        <v>2012</v>
      </c>
      <c r="Z103" s="21">
        <f t="shared" ca="1" si="11"/>
        <v>2012</v>
      </c>
      <c r="AA103" s="21">
        <f t="shared" ca="1" si="11"/>
        <v>2012</v>
      </c>
      <c r="AB103" s="21">
        <f t="shared" ca="1" si="11"/>
        <v>2012</v>
      </c>
      <c r="AC103" s="21">
        <f t="shared" ca="1" si="11"/>
        <v>2012</v>
      </c>
      <c r="AD103" s="21">
        <f t="shared" ca="1" si="11"/>
        <v>2012</v>
      </c>
    </row>
    <row r="104" spans="2:30" ht="12" thickBot="1" x14ac:dyDescent="0.25">
      <c r="B104" s="1" t="str">
        <f>tblIndicators!B102</f>
        <v>CALC06</v>
      </c>
      <c r="C104" s="1">
        <f>tblIndicators!E102</f>
        <v>1</v>
      </c>
      <c r="D104" s="19" t="str">
        <f>tblIndicators!O102</f>
        <v>Gasoline consumption / capita</v>
      </c>
      <c r="E104" s="21">
        <f t="shared" ca="1" si="12"/>
        <v>2012</v>
      </c>
      <c r="F104" s="21">
        <f t="shared" ca="1" si="12"/>
        <v>2012</v>
      </c>
      <c r="G104" s="21">
        <f t="shared" ca="1" si="12"/>
        <v>2012</v>
      </c>
      <c r="H104" s="21">
        <f t="shared" ca="1" si="12"/>
        <v>2012</v>
      </c>
      <c r="I104" s="21">
        <f t="shared" ca="1" si="12"/>
        <v>2012</v>
      </c>
      <c r="J104" s="21">
        <f t="shared" ca="1" si="12"/>
        <v>2012</v>
      </c>
      <c r="K104" s="21">
        <f t="shared" ca="1" si="12"/>
        <v>2012</v>
      </c>
      <c r="L104" s="21">
        <f t="shared" ca="1" si="12"/>
        <v>2012</v>
      </c>
      <c r="M104" s="21">
        <f t="shared" ca="1" si="12"/>
        <v>2012</v>
      </c>
      <c r="N104" s="21">
        <f t="shared" ca="1" si="12"/>
        <v>2012</v>
      </c>
      <c r="O104" s="21">
        <f t="shared" ca="1" si="12"/>
        <v>2012</v>
      </c>
      <c r="P104" s="21">
        <f t="shared" ca="1" si="12"/>
        <v>2012</v>
      </c>
      <c r="Q104" s="21">
        <f t="shared" ca="1" si="12"/>
        <v>2012</v>
      </c>
      <c r="R104" s="21">
        <f t="shared" ca="1" si="12"/>
        <v>2012</v>
      </c>
      <c r="S104" s="21">
        <f t="shared" ca="1" si="12"/>
        <v>2012</v>
      </c>
      <c r="T104" s="21">
        <f t="shared" ca="1" si="12"/>
        <v>2012</v>
      </c>
      <c r="U104" s="21">
        <f t="shared" ca="1" si="11"/>
        <v>2012</v>
      </c>
      <c r="V104" s="21">
        <f t="shared" ca="1" si="11"/>
        <v>2012</v>
      </c>
      <c r="W104" s="21">
        <f t="shared" ca="1" si="11"/>
        <v>2012</v>
      </c>
      <c r="X104" s="21">
        <f t="shared" ca="1" si="11"/>
        <v>2012</v>
      </c>
      <c r="Y104" s="21">
        <f t="shared" ca="1" si="11"/>
        <v>2012</v>
      </c>
      <c r="Z104" s="21">
        <f t="shared" ca="1" si="11"/>
        <v>2012</v>
      </c>
      <c r="AA104" s="21">
        <f t="shared" ca="1" si="11"/>
        <v>2012</v>
      </c>
      <c r="AB104" s="21">
        <f t="shared" ca="1" si="11"/>
        <v>2012</v>
      </c>
      <c r="AC104" s="21">
        <f t="shared" ca="1" si="11"/>
        <v>2012</v>
      </c>
      <c r="AD104" s="21">
        <f t="shared" ca="1" si="11"/>
        <v>2012</v>
      </c>
    </row>
    <row r="105" spans="2:30" ht="12" thickBot="1" x14ac:dyDescent="0.25">
      <c r="B105" s="1" t="str">
        <f>tblIndicators!B103</f>
        <v>CALC07</v>
      </c>
      <c r="C105" s="1">
        <f>tblIndicators!E103</f>
        <v>1</v>
      </c>
      <c r="D105" s="19" t="str">
        <f>tblIndicators!O103</f>
        <v>Road density (area)</v>
      </c>
      <c r="E105" s="21">
        <f t="shared" ca="1" si="12"/>
        <v>2012</v>
      </c>
      <c r="F105" s="21">
        <f t="shared" ca="1" si="12"/>
        <v>2012</v>
      </c>
      <c r="G105" s="21">
        <f t="shared" ca="1" si="12"/>
        <v>2012</v>
      </c>
      <c r="H105" s="21">
        <f t="shared" ca="1" si="12"/>
        <v>2012</v>
      </c>
      <c r="I105" s="21">
        <f t="shared" ca="1" si="12"/>
        <v>2012</v>
      </c>
      <c r="J105" s="21">
        <f t="shared" ca="1" si="12"/>
        <v>2012</v>
      </c>
      <c r="K105" s="21">
        <f t="shared" ca="1" si="12"/>
        <v>2012</v>
      </c>
      <c r="L105" s="21">
        <f t="shared" ca="1" si="12"/>
        <v>2012</v>
      </c>
      <c r="M105" s="21">
        <f t="shared" ca="1" si="12"/>
        <v>2012</v>
      </c>
      <c r="N105" s="21">
        <f t="shared" ca="1" si="12"/>
        <v>2012</v>
      </c>
      <c r="O105" s="21">
        <f t="shared" ca="1" si="12"/>
        <v>2012</v>
      </c>
      <c r="P105" s="21">
        <f t="shared" ca="1" si="12"/>
        <v>2012</v>
      </c>
      <c r="Q105" s="21">
        <f t="shared" ca="1" si="12"/>
        <v>2012</v>
      </c>
      <c r="R105" s="21">
        <f t="shared" ca="1" si="12"/>
        <v>2012</v>
      </c>
      <c r="S105" s="21">
        <f t="shared" ca="1" si="12"/>
        <v>2012</v>
      </c>
      <c r="T105" s="21">
        <f t="shared" ca="1" si="12"/>
        <v>2012</v>
      </c>
      <c r="U105" s="21">
        <f t="shared" ca="1" si="11"/>
        <v>2012</v>
      </c>
      <c r="V105" s="21">
        <f t="shared" ca="1" si="11"/>
        <v>2012</v>
      </c>
      <c r="W105" s="21">
        <f t="shared" ca="1" si="11"/>
        <v>2012</v>
      </c>
      <c r="X105" s="21">
        <f t="shared" ca="1" si="11"/>
        <v>2012</v>
      </c>
      <c r="Y105" s="21">
        <f t="shared" ca="1" si="11"/>
        <v>2012</v>
      </c>
      <c r="Z105" s="21">
        <f t="shared" ca="1" si="11"/>
        <v>2012</v>
      </c>
      <c r="AA105" s="21">
        <f t="shared" ca="1" si="11"/>
        <v>2012</v>
      </c>
      <c r="AB105" s="21">
        <f t="shared" ca="1" si="11"/>
        <v>2012</v>
      </c>
      <c r="AC105" s="21">
        <f t="shared" ca="1" si="11"/>
        <v>2012</v>
      </c>
      <c r="AD105" s="21">
        <f t="shared" ca="1" si="11"/>
        <v>2012</v>
      </c>
    </row>
    <row r="106" spans="2:30" ht="12" thickBot="1" x14ac:dyDescent="0.25">
      <c r="B106" s="1" t="str">
        <f>tblIndicators!B104</f>
        <v>CALC08</v>
      </c>
      <c r="C106" s="1">
        <f>tblIndicators!E104</f>
        <v>1</v>
      </c>
      <c r="D106" s="19" t="str">
        <f>tblIndicators!O104</f>
        <v>Road density (population)</v>
      </c>
      <c r="E106" s="21">
        <f t="shared" ca="1" si="12"/>
        <v>2012</v>
      </c>
      <c r="F106" s="21">
        <f t="shared" ca="1" si="12"/>
        <v>2012</v>
      </c>
      <c r="G106" s="21">
        <f t="shared" ca="1" si="12"/>
        <v>2012</v>
      </c>
      <c r="H106" s="21">
        <f t="shared" ca="1" si="12"/>
        <v>2012</v>
      </c>
      <c r="I106" s="21">
        <f t="shared" ca="1" si="12"/>
        <v>2012</v>
      </c>
      <c r="J106" s="21">
        <f t="shared" ca="1" si="12"/>
        <v>2012</v>
      </c>
      <c r="K106" s="21">
        <f t="shared" ca="1" si="12"/>
        <v>2012</v>
      </c>
      <c r="L106" s="21">
        <f t="shared" ca="1" si="12"/>
        <v>2012</v>
      </c>
      <c r="M106" s="21">
        <f t="shared" ca="1" si="12"/>
        <v>2012</v>
      </c>
      <c r="N106" s="21">
        <f t="shared" ca="1" si="12"/>
        <v>2012</v>
      </c>
      <c r="O106" s="21">
        <f t="shared" ca="1" si="12"/>
        <v>2012</v>
      </c>
      <c r="P106" s="21">
        <f t="shared" ca="1" si="12"/>
        <v>2012</v>
      </c>
      <c r="Q106" s="21">
        <f t="shared" ca="1" si="12"/>
        <v>2012</v>
      </c>
      <c r="R106" s="21">
        <f t="shared" ca="1" si="12"/>
        <v>2012</v>
      </c>
      <c r="S106" s="21">
        <f t="shared" ca="1" si="12"/>
        <v>2012</v>
      </c>
      <c r="T106" s="21">
        <f t="shared" ca="1" si="12"/>
        <v>2012</v>
      </c>
      <c r="U106" s="21">
        <f t="shared" ca="1" si="11"/>
        <v>2012</v>
      </c>
      <c r="V106" s="21">
        <f t="shared" ca="1" si="11"/>
        <v>2012</v>
      </c>
      <c r="W106" s="21">
        <f t="shared" ca="1" si="11"/>
        <v>2012</v>
      </c>
      <c r="X106" s="21">
        <f t="shared" ca="1" si="11"/>
        <v>2012</v>
      </c>
      <c r="Y106" s="21">
        <f t="shared" ca="1" si="11"/>
        <v>2012</v>
      </c>
      <c r="Z106" s="21">
        <f t="shared" ca="1" si="11"/>
        <v>2012</v>
      </c>
      <c r="AA106" s="21">
        <f t="shared" ca="1" si="11"/>
        <v>2012</v>
      </c>
      <c r="AB106" s="21">
        <f t="shared" ca="1" si="11"/>
        <v>2012</v>
      </c>
      <c r="AC106" s="21">
        <f t="shared" ca="1" si="11"/>
        <v>2012</v>
      </c>
      <c r="AD106" s="21">
        <f t="shared" ca="1" si="11"/>
        <v>2012</v>
      </c>
    </row>
    <row r="107" spans="2:30" ht="12" thickBot="1" x14ac:dyDescent="0.25">
      <c r="B107" s="1" t="str">
        <f>tblIndicators!B105</f>
        <v>CALC09</v>
      </c>
      <c r="C107" s="1">
        <f>tblIndicators!E105</f>
        <v>1</v>
      </c>
      <c r="D107" s="19" t="str">
        <f>tblIndicators!O105</f>
        <v>Rail traffic density</v>
      </c>
      <c r="E107" s="21">
        <f t="shared" ca="1" si="12"/>
        <v>2012</v>
      </c>
      <c r="F107" s="21" t="e">
        <f t="shared" ca="1" si="12"/>
        <v>#N/A</v>
      </c>
      <c r="G107" s="21" t="e">
        <f t="shared" ca="1" si="12"/>
        <v>#N/A</v>
      </c>
      <c r="H107" s="21" t="e">
        <f t="shared" ca="1" si="12"/>
        <v>#N/A</v>
      </c>
      <c r="I107" s="21">
        <f t="shared" ca="1" si="12"/>
        <v>2012</v>
      </c>
      <c r="J107" s="21">
        <f t="shared" ca="1" si="12"/>
        <v>2012</v>
      </c>
      <c r="K107" s="21">
        <f t="shared" ca="1" si="12"/>
        <v>2012</v>
      </c>
      <c r="L107" s="21">
        <f t="shared" ca="1" si="12"/>
        <v>2012</v>
      </c>
      <c r="M107" s="21">
        <f t="shared" ca="1" si="12"/>
        <v>2012</v>
      </c>
      <c r="N107" s="21" t="e">
        <f t="shared" ca="1" si="12"/>
        <v>#N/A</v>
      </c>
      <c r="O107" s="21" t="e">
        <f t="shared" ca="1" si="12"/>
        <v>#N/A</v>
      </c>
      <c r="P107" s="21" t="e">
        <f t="shared" ca="1" si="12"/>
        <v>#N/A</v>
      </c>
      <c r="Q107" s="21" t="e">
        <f t="shared" ca="1" si="12"/>
        <v>#N/A</v>
      </c>
      <c r="R107" s="21" t="e">
        <f t="shared" ca="1" si="12"/>
        <v>#N/A</v>
      </c>
      <c r="S107" s="21" t="e">
        <f t="shared" ca="1" si="12"/>
        <v>#N/A</v>
      </c>
      <c r="T107" s="21" t="e">
        <f t="shared" ca="1" si="12"/>
        <v>#N/A</v>
      </c>
      <c r="U107" s="21">
        <f t="shared" ref="U107:AD108" ca="1" si="13">IF($C107=0,"",INDEX(OFFSET(lu_DataCode,0,3),MATCH(CONCATENATE(U$2,"_",$B107),lu_DataCode,0)))</f>
        <v>2012</v>
      </c>
      <c r="V107" s="21" t="e">
        <f t="shared" ca="1" si="13"/>
        <v>#N/A</v>
      </c>
      <c r="W107" s="21" t="e">
        <f t="shared" ca="1" si="13"/>
        <v>#N/A</v>
      </c>
      <c r="X107" s="21" t="e">
        <f t="shared" ca="1" si="13"/>
        <v>#N/A</v>
      </c>
      <c r="Y107" s="21">
        <f t="shared" ca="1" si="13"/>
        <v>2012</v>
      </c>
      <c r="Z107" s="21" t="e">
        <f t="shared" ca="1" si="13"/>
        <v>#N/A</v>
      </c>
      <c r="AA107" s="21" t="e">
        <f t="shared" ca="1" si="13"/>
        <v>#N/A</v>
      </c>
      <c r="AB107" s="21" t="e">
        <f t="shared" ca="1" si="13"/>
        <v>#N/A</v>
      </c>
      <c r="AC107" s="21">
        <f t="shared" ca="1" si="13"/>
        <v>2012</v>
      </c>
      <c r="AD107" s="21" t="e">
        <f t="shared" ca="1" si="13"/>
        <v>#N/A</v>
      </c>
    </row>
    <row r="108" spans="2:30" ht="12" thickBot="1" x14ac:dyDescent="0.25">
      <c r="B108" s="1" t="str">
        <f>tblIndicators!B106</f>
        <v>CALC10</v>
      </c>
      <c r="C108" s="1">
        <f>tblIndicators!E106</f>
        <v>1</v>
      </c>
      <c r="D108" s="19" t="str">
        <f>tblIndicators!O106</f>
        <v>Number of Trucks / number of trailers</v>
      </c>
      <c r="E108" s="21">
        <f t="shared" ca="1" si="12"/>
        <v>2012</v>
      </c>
      <c r="F108" s="21" t="e">
        <f t="shared" ca="1" si="12"/>
        <v>#N/A</v>
      </c>
      <c r="G108" s="21">
        <f t="shared" ca="1" si="12"/>
        <v>2012</v>
      </c>
      <c r="H108" s="21" t="e">
        <f t="shared" ca="1" si="12"/>
        <v>#N/A</v>
      </c>
      <c r="I108" s="21" t="e">
        <f t="shared" ca="1" si="12"/>
        <v>#N/A</v>
      </c>
      <c r="J108" s="21">
        <f t="shared" ca="1" si="12"/>
        <v>2012</v>
      </c>
      <c r="K108" s="21">
        <f t="shared" ca="1" si="12"/>
        <v>2012</v>
      </c>
      <c r="L108" s="21">
        <f t="shared" ca="1" si="12"/>
        <v>2012</v>
      </c>
      <c r="M108" s="21" t="e">
        <f t="shared" ca="1" si="12"/>
        <v>#N/A</v>
      </c>
      <c r="N108" s="21" t="e">
        <f t="shared" ca="1" si="12"/>
        <v>#N/A</v>
      </c>
      <c r="O108" s="21">
        <f t="shared" ca="1" si="12"/>
        <v>2012</v>
      </c>
      <c r="P108" s="21">
        <f t="shared" ca="1" si="12"/>
        <v>2012</v>
      </c>
      <c r="Q108" s="21">
        <f t="shared" ca="1" si="12"/>
        <v>2012</v>
      </c>
      <c r="R108" s="21" t="e">
        <f t="shared" ca="1" si="12"/>
        <v>#N/A</v>
      </c>
      <c r="S108" s="21">
        <f t="shared" ca="1" si="12"/>
        <v>2012</v>
      </c>
      <c r="T108" s="21">
        <f t="shared" ca="1" si="12"/>
        <v>2012</v>
      </c>
      <c r="U108" s="21">
        <f t="shared" ca="1" si="13"/>
        <v>2012</v>
      </c>
      <c r="V108" s="21">
        <f t="shared" ca="1" si="13"/>
        <v>2012</v>
      </c>
      <c r="W108" s="21">
        <f t="shared" ca="1" si="13"/>
        <v>2012</v>
      </c>
      <c r="X108" s="21">
        <f t="shared" ca="1" si="13"/>
        <v>2012</v>
      </c>
      <c r="Y108" s="21">
        <f t="shared" ca="1" si="13"/>
        <v>2012</v>
      </c>
      <c r="Z108" s="21" t="e">
        <f t="shared" ca="1" si="13"/>
        <v>#N/A</v>
      </c>
      <c r="AA108" s="21" t="e">
        <f t="shared" ca="1" si="13"/>
        <v>#N/A</v>
      </c>
      <c r="AB108" s="21" t="e">
        <f t="shared" ca="1" si="13"/>
        <v>#N/A</v>
      </c>
      <c r="AC108" s="21">
        <f t="shared" ca="1" si="13"/>
        <v>2012</v>
      </c>
      <c r="AD108" s="21" t="e">
        <f t="shared" ca="1" si="13"/>
        <v>#N/A</v>
      </c>
    </row>
  </sheetData>
  <sheetProtection sheet="1" objects="1" scenarios="1"/>
  <phoneticPr fontId="12" type="noConversion"/>
  <conditionalFormatting sqref="E5:AD108">
    <cfRule type="expression" dxfId="3" priority="4" stopIfTrue="1">
      <formula>ISERROR(E5)</formula>
    </cfRule>
  </conditionalFormatting>
  <conditionalFormatting sqref="E5:AD108">
    <cfRule type="expression" dxfId="2" priority="3" stopIfTrue="1">
      <formula>E5=2012</formula>
    </cfRule>
  </conditionalFormatting>
  <conditionalFormatting sqref="E5:AD108">
    <cfRule type="expression" dxfId="1" priority="2" stopIfTrue="1">
      <formula>AND(E5&gt;2009,E5&lt;2012)</formula>
    </cfRule>
  </conditionalFormatting>
  <conditionalFormatting sqref="E5:AD108">
    <cfRule type="expression" dxfId="0" priority="1" stopIfTrue="1">
      <formula>AND(E5&lt;2010,E5&gt;0)</formula>
    </cfRule>
  </conditionalFormatting>
  <pageMargins left="0.7" right="0.7" top="0.75" bottom="0.75" header="0.3" footer="0.3"/>
  <pageSetup scale="47" fitToHeight="0" orientation="landscape" r:id="rId1"/>
  <headerFooter>
    <oddHeader>&amp;LFreight Transport and Logistics Yearbook 2014, IDB</oddHeader>
    <oddFooter>&amp;LFreight Transport and Logistics Regional Observatory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04"/>
  <sheetViews>
    <sheetView workbookViewId="0">
      <pane ySplit="1" topLeftCell="A84" activePane="bottomLeft" state="frozen"/>
      <selection activeCell="A36" sqref="A36"/>
      <selection pane="bottomLeft" activeCell="B90" sqref="B90"/>
    </sheetView>
  </sheetViews>
  <sheetFormatPr defaultColWidth="9.140625" defaultRowHeight="11.25" x14ac:dyDescent="0.2"/>
  <cols>
    <col min="1" max="1" width="6.28515625" style="12" customWidth="1"/>
    <col min="2" max="2" width="25" style="1" customWidth="1"/>
    <col min="3" max="3" width="32.28515625" style="1" customWidth="1"/>
    <col min="4" max="16384" width="9.140625" style="1"/>
  </cols>
  <sheetData>
    <row r="1" spans="1:5" ht="10.15" x14ac:dyDescent="0.2">
      <c r="B1" s="1" t="s">
        <v>470</v>
      </c>
      <c r="C1" s="1" t="s">
        <v>471</v>
      </c>
    </row>
    <row r="3" spans="1:5" ht="10.15" x14ac:dyDescent="0.2">
      <c r="A3" s="12" t="str">
        <f>CHOOSE(uxbWorks!$B$7,B3,C3)</f>
        <v>Select language</v>
      </c>
      <c r="B3" s="1" t="s">
        <v>427</v>
      </c>
      <c r="C3" s="1" t="s">
        <v>426</v>
      </c>
    </row>
    <row r="4" spans="1:5" x14ac:dyDescent="0.2">
      <c r="A4" s="12" t="str">
        <f>CHOOSE(uxbWorks!$B$7,B4,C4)</f>
        <v>Publication date</v>
      </c>
      <c r="B4" s="17" t="s">
        <v>505</v>
      </c>
      <c r="C4" s="17" t="s">
        <v>504</v>
      </c>
      <c r="E4" s="1" t="str">
        <f>CONCATENATE(A4,": 15/05/2014")</f>
        <v>Publication date: 15/05/2014</v>
      </c>
    </row>
    <row r="5" spans="1:5" ht="10.15" x14ac:dyDescent="0.2">
      <c r="A5" s="13" t="s">
        <v>243</v>
      </c>
    </row>
    <row r="6" spans="1:5" x14ac:dyDescent="0.2">
      <c r="A6" s="12" t="str">
        <f>CHOOSE(uxbWorks!$B$7,B6,C6)</f>
        <v>Freight Transport and Logistics Yearbook 2014</v>
      </c>
      <c r="B6" s="6" t="s">
        <v>3495</v>
      </c>
      <c r="C6" s="6" t="s">
        <v>3496</v>
      </c>
    </row>
    <row r="7" spans="1:5" x14ac:dyDescent="0.2">
      <c r="A7" s="12" t="str">
        <f>CHOOSE(uxbWorks!$B$7,B7,C7)</f>
        <v>These tables were exported from the IDB’s Freight Logistics Yearbook.</v>
      </c>
      <c r="B7" s="17" t="s">
        <v>3064</v>
      </c>
      <c r="C7" s="1" t="s">
        <v>3062</v>
      </c>
    </row>
    <row r="8" spans="1:5" ht="14.45" x14ac:dyDescent="0.3">
      <c r="A8" s="12" t="str">
        <f>CHOOSE(uxbWorks!$B$7,B8,C8)</f>
        <v>Freight Transport and Logistics Regional Observatory</v>
      </c>
      <c r="B8" t="s">
        <v>3065</v>
      </c>
      <c r="C8" t="s">
        <v>3066</v>
      </c>
    </row>
    <row r="9" spans="1:5" ht="18" customHeight="1" x14ac:dyDescent="0.25">
      <c r="A9" s="12" t="str">
        <f>CHOOSE(uxbWorks!$B$7,B9,C9)</f>
        <v>Freight Transport and Logistics Yearbook 2014, IDB</v>
      </c>
      <c r="B9" t="s">
        <v>3497</v>
      </c>
      <c r="C9" t="s">
        <v>3498</v>
      </c>
    </row>
    <row r="10" spans="1:5" ht="18" customHeight="1" x14ac:dyDescent="0.3">
      <c r="A10" s="12" t="str">
        <f>CHOOSE(uxbWorks!$B$7,B10,C10)</f>
        <v>IDB transport data</v>
      </c>
      <c r="B10" t="s">
        <v>3121</v>
      </c>
      <c r="C10" t="s">
        <v>3122</v>
      </c>
    </row>
    <row r="11" spans="1:5" ht="18" customHeight="1" x14ac:dyDescent="0.3">
      <c r="A11" s="215"/>
      <c r="B11"/>
      <c r="C11"/>
    </row>
    <row r="12" spans="1:5" ht="10.15" x14ac:dyDescent="0.2">
      <c r="A12" s="13" t="s">
        <v>472</v>
      </c>
    </row>
    <row r="13" spans="1:5" ht="10.15" x14ac:dyDescent="0.2">
      <c r="A13" s="12" t="str">
        <f>CHOOSE(uxbWorks!$B$7,B13,C13)</f>
        <v>Indicator ranking</v>
      </c>
      <c r="B13" s="17" t="s">
        <v>765</v>
      </c>
      <c r="C13" s="6" t="s">
        <v>766</v>
      </c>
    </row>
    <row r="14" spans="1:5" ht="10.15" x14ac:dyDescent="0.2">
      <c r="A14" s="12" t="str">
        <f>CHOOSE(uxbWorks!$B$7,B14,C14)</f>
        <v>Tables</v>
      </c>
      <c r="B14" s="17" t="s">
        <v>767</v>
      </c>
      <c r="C14" s="6" t="s">
        <v>768</v>
      </c>
    </row>
    <row r="15" spans="1:5" x14ac:dyDescent="0.2">
      <c r="A15" s="12" t="str">
        <f>CHOOSE(uxbWorks!$B$7,B15,C15)</f>
        <v>Country summary</v>
      </c>
      <c r="B15" s="17" t="s">
        <v>771</v>
      </c>
      <c r="C15" s="6" t="s">
        <v>769</v>
      </c>
    </row>
    <row r="16" spans="1:5" x14ac:dyDescent="0.2">
      <c r="A16" s="12" t="str">
        <f>CHOOSE(uxbWorks!$B$7,B16,C16)</f>
        <v>Country datasheet</v>
      </c>
      <c r="B16" s="17" t="s">
        <v>770</v>
      </c>
      <c r="C16" s="6" t="s">
        <v>772</v>
      </c>
    </row>
    <row r="17" spans="1:3" x14ac:dyDescent="0.2">
      <c r="A17" s="12" t="str">
        <f>CHOOSE(uxbWorks!$B$7,B17,C17)</f>
        <v>Scatterplot</v>
      </c>
      <c r="B17" s="17" t="s">
        <v>760</v>
      </c>
      <c r="C17" s="6" t="s">
        <v>773</v>
      </c>
    </row>
    <row r="18" spans="1:3" x14ac:dyDescent="0.2">
      <c r="A18" s="12" t="str">
        <f>CHOOSE(uxbWorks!$B$7,B18,C18)</f>
        <v>Methodology</v>
      </c>
      <c r="B18" s="17" t="s">
        <v>3501</v>
      </c>
      <c r="C18" s="6" t="s">
        <v>3510</v>
      </c>
    </row>
    <row r="19" spans="1:3" ht="10.15" x14ac:dyDescent="0.2">
      <c r="A19" s="12" t="str">
        <f>CHOOSE(uxbWorks!$B$7,B19,C19)</f>
        <v>Airports</v>
      </c>
      <c r="B19" s="17" t="s">
        <v>761</v>
      </c>
      <c r="C19" s="6" t="s">
        <v>763</v>
      </c>
    </row>
    <row r="20" spans="1:3" ht="10.15" x14ac:dyDescent="0.2">
      <c r="A20" s="12" t="str">
        <f>CHOOSE(uxbWorks!$B$7,B20,C20)</f>
        <v>Ports</v>
      </c>
      <c r="B20" s="17" t="s">
        <v>762</v>
      </c>
      <c r="C20" s="6" t="s">
        <v>764</v>
      </c>
    </row>
    <row r="22" spans="1:3" ht="10.15" x14ac:dyDescent="0.2">
      <c r="A22" s="12" t="str">
        <f>CHOOSE(uxbWorks!$B$7,B22,C22)</f>
        <v>Select an indicator</v>
      </c>
      <c r="B22" s="1" t="s">
        <v>175</v>
      </c>
      <c r="C22" s="1" t="s">
        <v>247</v>
      </c>
    </row>
    <row r="23" spans="1:3" ht="10.15" x14ac:dyDescent="0.2">
      <c r="A23" s="12" t="str">
        <f>CHOOSE(uxbWorks!$B$7,B23,C23)</f>
        <v>Select group</v>
      </c>
      <c r="B23" s="17" t="s">
        <v>759</v>
      </c>
      <c r="C23" s="1" t="s">
        <v>758</v>
      </c>
    </row>
    <row r="24" spans="1:3" x14ac:dyDescent="0.2">
      <c r="A24" s="12" t="str">
        <f>CHOOSE(uxbWorks!$B$7,B24,C24)</f>
        <v>Select country</v>
      </c>
      <c r="B24" s="1" t="s">
        <v>191</v>
      </c>
      <c r="C24" s="1" t="s">
        <v>248</v>
      </c>
    </row>
    <row r="25" spans="1:3" x14ac:dyDescent="0.2">
      <c r="A25" s="12" t="str">
        <f>CHOOSE(uxbWorks!$B$7,B25,C25)</f>
        <v>Highlight country</v>
      </c>
      <c r="B25" s="1" t="s">
        <v>192</v>
      </c>
      <c r="C25" s="6" t="s">
        <v>113</v>
      </c>
    </row>
    <row r="26" spans="1:3" ht="10.15" x14ac:dyDescent="0.2">
      <c r="A26" s="12" t="str">
        <f>CHOOSE(uxbWorks!$B$7,B26,C26)</f>
        <v>Highlight group</v>
      </c>
      <c r="B26" s="17" t="s">
        <v>1259</v>
      </c>
      <c r="C26" s="17" t="s">
        <v>1260</v>
      </c>
    </row>
    <row r="27" spans="1:3" ht="10.15" x14ac:dyDescent="0.2">
      <c r="A27" s="12" t="str">
        <f>CHOOSE(uxbWorks!$B$7,B27,C27)</f>
        <v>Group</v>
      </c>
      <c r="B27" s="17" t="s">
        <v>3136</v>
      </c>
      <c r="C27" s="17" t="s">
        <v>3137</v>
      </c>
    </row>
    <row r="32" spans="1:3" ht="10.15" x14ac:dyDescent="0.2">
      <c r="A32" s="12" t="str">
        <f>CHOOSE(uxbWorks!$B$7,B32,C32)</f>
        <v>Select an indicator</v>
      </c>
      <c r="B32" s="1" t="s">
        <v>175</v>
      </c>
      <c r="C32" s="1" t="s">
        <v>247</v>
      </c>
    </row>
    <row r="33" spans="1:3" ht="10.15" x14ac:dyDescent="0.2">
      <c r="A33" s="12" t="str">
        <f>CHOOSE(uxbWorks!$B$7,B33,C33)</f>
        <v>Indicator-X</v>
      </c>
      <c r="B33" s="17" t="s">
        <v>3132</v>
      </c>
      <c r="C33" s="17" t="s">
        <v>3133</v>
      </c>
    </row>
    <row r="34" spans="1:3" ht="10.15" x14ac:dyDescent="0.2">
      <c r="A34" s="12" t="str">
        <f>CHOOSE(uxbWorks!$B$7,B34,C34)</f>
        <v>Indicator-Y</v>
      </c>
      <c r="B34" s="17" t="s">
        <v>3134</v>
      </c>
      <c r="C34" s="17" t="s">
        <v>3135</v>
      </c>
    </row>
    <row r="40" spans="1:3" ht="10.15" x14ac:dyDescent="0.2">
      <c r="A40" s="13" t="s">
        <v>499</v>
      </c>
    </row>
    <row r="41" spans="1:3" x14ac:dyDescent="0.2">
      <c r="A41" s="12" t="str">
        <f>CHOOSE(uxbWorks!$B$7,B41,C41)</f>
        <v>Year</v>
      </c>
      <c r="B41" s="1" t="s">
        <v>497</v>
      </c>
      <c r="C41" s="1" t="s">
        <v>477</v>
      </c>
    </row>
    <row r="42" spans="1:3" ht="10.15" x14ac:dyDescent="0.2">
      <c r="A42" s="12" t="str">
        <f>CHOOSE(uxbWorks!$B$7,B42,C42)</f>
        <v>Source</v>
      </c>
      <c r="B42" s="1" t="s">
        <v>38</v>
      </c>
      <c r="C42" s="1" t="s">
        <v>468</v>
      </c>
    </row>
    <row r="43" spans="1:3" ht="10.15" x14ac:dyDescent="0.2">
      <c r="A43" s="12" t="str">
        <f>CHOOSE(uxbWorks!$B$7,B43,C43)</f>
        <v>Notes</v>
      </c>
      <c r="B43" s="1" t="s">
        <v>434</v>
      </c>
      <c r="C43" s="1" t="s">
        <v>479</v>
      </c>
    </row>
    <row r="44" spans="1:3" x14ac:dyDescent="0.2">
      <c r="A44" s="12" t="str">
        <f>CHOOSE(uxbWorks!$B$7,B44,C44)</f>
        <v>Comments</v>
      </c>
      <c r="B44" s="1" t="s">
        <v>174</v>
      </c>
      <c r="C44" s="17" t="s">
        <v>3061</v>
      </c>
    </row>
    <row r="45" spans="1:3" ht="10.15" x14ac:dyDescent="0.2">
      <c r="A45" s="12" t="str">
        <f>CHOOSE(uxbWorks!$B$7,B45,C45)</f>
        <v>Unit</v>
      </c>
      <c r="B45" s="1" t="s">
        <v>37</v>
      </c>
      <c r="C45" s="1" t="s">
        <v>260</v>
      </c>
    </row>
    <row r="46" spans="1:3" ht="10.15" x14ac:dyDescent="0.2">
      <c r="A46" s="12" t="str">
        <f>CHOOSE(uxbWorks!$B$7,B46,C46)</f>
        <v>Indicator</v>
      </c>
      <c r="B46" s="1" t="s">
        <v>492</v>
      </c>
      <c r="C46" s="1" t="s">
        <v>261</v>
      </c>
    </row>
    <row r="51" spans="1:3" ht="10.15" x14ac:dyDescent="0.2">
      <c r="A51" s="13" t="s">
        <v>263</v>
      </c>
    </row>
    <row r="52" spans="1:3" x14ac:dyDescent="0.2">
      <c r="A52" s="12" t="str">
        <f>CHOOSE(uxbWorks!$B$7,B52,C52)</f>
        <v>Correlation co-efficient</v>
      </c>
      <c r="B52" s="1" t="s">
        <v>264</v>
      </c>
      <c r="C52" s="1" t="s">
        <v>28</v>
      </c>
    </row>
    <row r="53" spans="1:3" ht="10.15" x14ac:dyDescent="0.2">
      <c r="A53" s="12" t="str">
        <f>CHOOSE(uxbWorks!$B$7,B53,C53)</f>
        <v>Macros must be enabled</v>
      </c>
      <c r="B53" s="1" t="s">
        <v>266</v>
      </c>
      <c r="C53" s="17" t="s">
        <v>3511</v>
      </c>
    </row>
    <row r="54" spans="1:3" x14ac:dyDescent="0.2">
      <c r="A54" s="12" t="str">
        <f>CHOOSE(uxbWorks!$B$7,B54,C54)</f>
        <v>DRAFT - INTERNAL DISTRIBUTION ONLY</v>
      </c>
      <c r="B54" s="1" t="s">
        <v>270</v>
      </c>
      <c r="C54" s="1" t="s">
        <v>271</v>
      </c>
    </row>
    <row r="55" spans="1:3" x14ac:dyDescent="0.2">
      <c r="A55" s="12" t="str">
        <f>CHOOSE(uxbWorks!$B$7,B55,C55)</f>
        <v>ADDITIONAL INFORMATION FOR</v>
      </c>
      <c r="B55" s="1" t="s">
        <v>274</v>
      </c>
      <c r="C55" s="1" t="s">
        <v>273</v>
      </c>
    </row>
    <row r="56" spans="1:3" ht="10.15" x14ac:dyDescent="0.2">
      <c r="A56" s="12" t="str">
        <f>CHOOSE(uxbWorks!$B$7,B56,C56)</f>
        <v>Average</v>
      </c>
      <c r="B56" s="1" t="s">
        <v>275</v>
      </c>
      <c r="C56" s="1" t="s">
        <v>276</v>
      </c>
    </row>
    <row r="57" spans="1:3" ht="10.15" x14ac:dyDescent="0.2">
      <c r="A57" s="12" t="str">
        <f>CHOOSE(uxbWorks!$B$7,B57,C57)</f>
        <v>Port name</v>
      </c>
      <c r="B57" s="1" t="s">
        <v>5</v>
      </c>
      <c r="C57" s="6" t="s">
        <v>8</v>
      </c>
    </row>
    <row r="58" spans="1:3" ht="10.15" x14ac:dyDescent="0.2">
      <c r="A58" s="12" t="str">
        <f>CHOOSE(uxbWorks!$B$7,B58,C58)</f>
        <v>Airport name</v>
      </c>
      <c r="B58" s="1" t="s">
        <v>0</v>
      </c>
      <c r="C58" s="6" t="s">
        <v>9</v>
      </c>
    </row>
    <row r="59" spans="1:3" ht="10.15" x14ac:dyDescent="0.2">
      <c r="A59" s="12" t="str">
        <f>CHOOSE(uxbWorks!$B$7,B59,C59)</f>
        <v>Sort by</v>
      </c>
      <c r="B59" s="1" t="s">
        <v>6</v>
      </c>
      <c r="C59" s="6" t="s">
        <v>7</v>
      </c>
    </row>
    <row r="60" spans="1:3" ht="10.15" x14ac:dyDescent="0.2">
      <c r="A60" s="12" t="str">
        <f>CHOOSE(uxbWorks!$B$7,B60,C60)</f>
        <v>Country name</v>
      </c>
      <c r="B60" s="1" t="s">
        <v>107</v>
      </c>
      <c r="C60" s="1" t="s">
        <v>106</v>
      </c>
    </row>
    <row r="62" spans="1:3" ht="10.15" x14ac:dyDescent="0.2">
      <c r="A62" s="12" t="str">
        <f>CHOOSE(uxbWorks!$B$7,B62,C62)</f>
        <v xml:space="preserve">   Top quartile</v>
      </c>
      <c r="B62" s="1" t="s">
        <v>10</v>
      </c>
      <c r="C62" s="1" t="s">
        <v>11</v>
      </c>
    </row>
    <row r="63" spans="1:3" ht="10.15" x14ac:dyDescent="0.2">
      <c r="A63" s="12" t="str">
        <f>CHOOSE(uxbWorks!$B$7,B63,C63)</f>
        <v xml:space="preserve">   2nd Quartile</v>
      </c>
      <c r="B63" s="1" t="s">
        <v>12</v>
      </c>
      <c r="C63" s="1" t="s">
        <v>13</v>
      </c>
    </row>
    <row r="64" spans="1:3" ht="10.15" x14ac:dyDescent="0.2">
      <c r="A64" s="12" t="str">
        <f>CHOOSE(uxbWorks!$B$7,B64,C64)</f>
        <v xml:space="preserve">   3rd Quartile</v>
      </c>
      <c r="B64" s="1" t="s">
        <v>14</v>
      </c>
      <c r="C64" s="1" t="s">
        <v>15</v>
      </c>
    </row>
    <row r="65" spans="1:3" ht="10.15" x14ac:dyDescent="0.2">
      <c r="A65" s="12" t="str">
        <f>CHOOSE(uxbWorks!$B$7,B65,C65)</f>
        <v xml:space="preserve">   Bottom quartile</v>
      </c>
      <c r="B65" s="1" t="s">
        <v>16</v>
      </c>
      <c r="C65" s="1" t="s">
        <v>17</v>
      </c>
    </row>
    <row r="68" spans="1:3" ht="10.15" x14ac:dyDescent="0.2">
      <c r="A68" s="12" t="str">
        <f>CHOOSE(uxbWorks!$B$7,B68,C68)</f>
        <v>Regional average</v>
      </c>
      <c r="B68" s="1" t="s">
        <v>109</v>
      </c>
      <c r="C68" s="1" t="s">
        <v>108</v>
      </c>
    </row>
    <row r="70" spans="1:3" x14ac:dyDescent="0.2">
      <c r="A70" s="12" t="str">
        <f>CHOOSE(uxbWorks!$B$7,B70,C70)</f>
        <v>Click on a country to view source and explanatory notes</v>
      </c>
      <c r="B70" s="17" t="s">
        <v>3119</v>
      </c>
      <c r="C70" s="1" t="s">
        <v>3118</v>
      </c>
    </row>
    <row r="74" spans="1:3" ht="10.15" x14ac:dyDescent="0.2">
      <c r="A74" s="13" t="s">
        <v>307</v>
      </c>
    </row>
    <row r="75" spans="1:3" ht="10.15" x14ac:dyDescent="0.2">
      <c r="A75" s="12" t="str">
        <f>CHOOSE(uxbWorks!$B$7,B75,C75)</f>
        <v>Import / Exports</v>
      </c>
      <c r="B75" s="17" t="s">
        <v>322</v>
      </c>
      <c r="C75" s="17" t="s">
        <v>323</v>
      </c>
    </row>
    <row r="76" spans="1:3" ht="10.15" x14ac:dyDescent="0.2">
      <c r="A76" s="12" t="str">
        <f>CHOOSE(uxbWorks!$B$7,B76,C76)</f>
        <v>ton</v>
      </c>
      <c r="B76" s="17" t="s">
        <v>73</v>
      </c>
      <c r="C76" s="17" t="s">
        <v>73</v>
      </c>
    </row>
    <row r="77" spans="1:3" ht="10.15" x14ac:dyDescent="0.2">
      <c r="A77" s="12" t="str">
        <f>CHOOSE(uxbWorks!$B$7,B77,C77)</f>
        <v>Imports</v>
      </c>
      <c r="B77" s="17" t="s">
        <v>308</v>
      </c>
      <c r="C77" s="17" t="s">
        <v>310</v>
      </c>
    </row>
    <row r="78" spans="1:3" ht="10.15" x14ac:dyDescent="0.2">
      <c r="A78" s="12" t="str">
        <f>CHOOSE(uxbWorks!$B$7,B78,C78)</f>
        <v>Exports</v>
      </c>
      <c r="B78" s="17" t="s">
        <v>309</v>
      </c>
      <c r="C78" s="17" t="s">
        <v>311</v>
      </c>
    </row>
    <row r="81" spans="1:3" x14ac:dyDescent="0.2">
      <c r="A81" s="12" t="str">
        <f>CHOOSE(uxbWorks!$B$7,B81,C81)</f>
        <v>Freight carried (domestic)</v>
      </c>
      <c r="B81" s="17" t="s">
        <v>321</v>
      </c>
      <c r="C81" s="17" t="s">
        <v>320</v>
      </c>
    </row>
    <row r="82" spans="1:3" x14ac:dyDescent="0.2">
      <c r="A82" s="12" t="str">
        <f>CHOOSE(uxbWorks!$B$7,B82,C82)</f>
        <v>million ton km</v>
      </c>
      <c r="B82" s="17" t="s">
        <v>312</v>
      </c>
      <c r="C82" s="55" t="s">
        <v>240</v>
      </c>
    </row>
    <row r="83" spans="1:3" ht="10.15" x14ac:dyDescent="0.2">
      <c r="A83" s="12" t="str">
        <f>CHOOSE(uxbWorks!$B$7,B83,C83)</f>
        <v>Road</v>
      </c>
      <c r="B83" s="17" t="s">
        <v>313</v>
      </c>
      <c r="C83" s="17" t="s">
        <v>318</v>
      </c>
    </row>
    <row r="84" spans="1:3" ht="10.15" x14ac:dyDescent="0.2">
      <c r="A84" s="12" t="str">
        <f>CHOOSE(uxbWorks!$B$7,B84,C84)</f>
        <v>Rail</v>
      </c>
      <c r="B84" s="17" t="s">
        <v>314</v>
      </c>
      <c r="C84" s="17" t="s">
        <v>317</v>
      </c>
    </row>
    <row r="85" spans="1:3" ht="10.15" x14ac:dyDescent="0.2">
      <c r="A85" s="12" t="str">
        <f>CHOOSE(uxbWorks!$B$7,B85,C85)</f>
        <v>Air</v>
      </c>
      <c r="B85" s="17" t="s">
        <v>315</v>
      </c>
      <c r="C85" s="17" t="s">
        <v>316</v>
      </c>
    </row>
    <row r="87" spans="1:3" x14ac:dyDescent="0.2">
      <c r="A87" s="12" t="str">
        <f>CHOOSE(uxbWorks!$B$7,B87,C87)</f>
        <v>Road network by road type</v>
      </c>
      <c r="B87" s="1" t="s">
        <v>493</v>
      </c>
      <c r="C87" s="1" t="s">
        <v>319</v>
      </c>
    </row>
    <row r="88" spans="1:3" ht="10.15" x14ac:dyDescent="0.2">
      <c r="A88" s="12" t="str">
        <f>CHOOSE(uxbWorks!$B$7,B88,C88)</f>
        <v>km</v>
      </c>
      <c r="B88" s="17" t="s">
        <v>60</v>
      </c>
      <c r="C88" s="17" t="s">
        <v>60</v>
      </c>
    </row>
    <row r="89" spans="1:3" ht="10.15" x14ac:dyDescent="0.2">
      <c r="A89" s="12">
        <f>CHOOSE(uxbWorks!$B$7,B89,C89)</f>
        <v>0</v>
      </c>
    </row>
    <row r="90" spans="1:3" s="5" customFormat="1" x14ac:dyDescent="0.2">
      <c r="A90" s="253" t="str">
        <f>CHOOSE(uxbWorks!$B$7,B90,C90)</f>
        <v>The IDB’s Freight Logistics Statistics Yearbook is the first regional effort to collect and standardize data from the sector in 26 countries from Latin America and the Caribbean. Data is compiled from public sources and estimates drawn from publicly available information. Data in the Yearbook is organized in six groups: general indicators, roads, railways, air, water transport, and logistics activities. Explore the Yearbook’s data in the dynamic spreadsheet and filter the indicators and countries of your interest, perform comparisons, and see the results in graphics.
Visit IDB’s Logistics Observatory website to find additional data and analysis on freight transport in the region.</v>
      </c>
      <c r="B90" s="254" t="s">
        <v>3512</v>
      </c>
      <c r="C90" s="254" t="s">
        <v>3514</v>
      </c>
    </row>
    <row r="91" spans="1:3" x14ac:dyDescent="0.2">
      <c r="A91" s="12" t="str">
        <f>CHOOSE(uxbWorks!$B$7,B91,C91)</f>
        <v>Disclaimer</v>
      </c>
      <c r="B91" s="17" t="s">
        <v>3516</v>
      </c>
      <c r="C91" s="17" t="s">
        <v>3515</v>
      </c>
    </row>
    <row r="92" spans="1:3" x14ac:dyDescent="0.2">
      <c r="A92" s="12" t="str">
        <f>CHOOSE(uxbWorks!$B$7,B92,C92)</f>
        <v xml:space="preserve">Explore the Yearbook’s data in the dynamic spreadsheet and filter the indicators and countries of your interest, perform comparisons, and see the results in graphics. </v>
      </c>
      <c r="B92" s="1" t="s">
        <v>3056</v>
      </c>
      <c r="C92" s="1" t="s">
        <v>3057</v>
      </c>
    </row>
    <row r="93" spans="1:3" x14ac:dyDescent="0.2">
      <c r="A93" s="12" t="str">
        <f>CHOOSE(uxbWorks!$B$7,B93,C93)</f>
        <v>Data in the Yearbook was compiled from available secondary sources, and is constantly being updated. If you have access to more current data or would like to contribute with additional information to IDB’s Logistics Regional Observatory, please contact us at:</v>
      </c>
      <c r="B93" s="17" t="s">
        <v>3517</v>
      </c>
      <c r="C93" s="17" t="s">
        <v>3518</v>
      </c>
    </row>
    <row r="95" spans="1:3" ht="10.15" x14ac:dyDescent="0.2">
      <c r="A95" s="12" t="str">
        <f>CONCATENATE(A90,CHAR(10),CHAR(10),A92)</f>
        <v xml:space="preserve">The IDB’s Freight Logistics Statistics Yearbook is the first regional effort to collect and standardize data from the sector in 26 countries from Latin America and the Caribbean. Data is compiled from public sources and estimates drawn from publicly available information. Data in the Yearbook is organized in six groups: general indicators, roads, railways, air, water transport, and logistics activities. Explore the Yearbook’s data in the dynamic spreadsheet and filter the indicators and countries of your interest, perform comparisons, and see the results in graphics.
Visit IDB’s Logistics Observatory website to find additional data and analysis on freight transport in the region.
Explore the Yearbook’s data in the dynamic spreadsheet and filter the indicators and countries of your interest, perform comparisons, and see the results in graphics. </v>
      </c>
    </row>
    <row r="98" spans="1:3" x14ac:dyDescent="0.2">
      <c r="A98" s="12" t="str">
        <f>CHOOSE(uxbWorks!$B$7,B98,C98)</f>
        <v>Data for the Yearbook was collected both from primary and secondary sources. The collection from secondary sources was organized in four stages. The first stage focused on data available online in international organizations and official country websites. While data from international organizations has the advantage of being standardized and periodically updated, it encompassed a very small number of transport-related indicators. Thus, the majority of variables were collected from official government websites especially those of transport or public works ministries, mode-specific agencies, sectoral regulators and private operators. A detailed list of all the sources reviewed in this stage is in place so that data can be easily updated in the future.</v>
      </c>
      <c r="B98" s="128" t="s">
        <v>3502</v>
      </c>
      <c r="C98" s="128" t="s">
        <v>3506</v>
      </c>
    </row>
    <row r="99" spans="1:3" x14ac:dyDescent="0.2">
      <c r="A99" s="12" t="str">
        <f>CHOOSE(uxbWorks!$B$7,B99,C99)</f>
        <v>The second stage included specific requests to national institutions in the twenty six Bank member borrowing countries, to address data gaps. In many cases, data was available yet it had not been made public on websites or official reports. The support from IDB specialists in the field was key at this stage, both to facilitate contacts with specific government offices and to check the accuracy and relevance of the data collected thus far in their countries. The third stage consisted of reviewing academic papers for relevant data to incorporate in the dataset, along with their citations.</v>
      </c>
      <c r="B99" s="128" t="s">
        <v>3503</v>
      </c>
      <c r="C99" s="128" t="s">
        <v>3507</v>
      </c>
    </row>
    <row r="100" spans="1:3" x14ac:dyDescent="0.2">
      <c r="A100" s="12" t="str">
        <f>CHOOSE(uxbWorks!$B$7,B100,C100)</f>
        <v>In the fourth stage, in the cases of time series with sufficient data points, data were interpolated and extrapolated to further increase the database coverage. Separate compounded average growth rates for Caribbean and South American countries were also calculated and used to generate data for missing years in various indicators. All data processing is clearly indicated in the database. Quality checks were also performed to validate the estimates produced at this stage: examples of these are comparisons of countries with similar characteristics to identify possible outliers.</v>
      </c>
      <c r="B100" s="128" t="s">
        <v>3504</v>
      </c>
      <c r="C100" s="128" t="s">
        <v>3508</v>
      </c>
    </row>
    <row r="101" spans="1:3" x14ac:dyDescent="0.2">
      <c r="A101" s="12" t="str">
        <f>CHOOSE(uxbWorks!$B$7,B101,C101)</f>
        <v>Finally, specific variables (most notably, rail and trucking tariffs) were collected directly by the Yearbook team. Brief guidelines were pre-established before the collection exercise to ensure standardization and facilitate comparisons among countries.</v>
      </c>
      <c r="B101" s="1" t="s">
        <v>3505</v>
      </c>
      <c r="C101" s="128" t="s">
        <v>3509</v>
      </c>
    </row>
    <row r="103" spans="1:3" ht="12" x14ac:dyDescent="0.2">
      <c r="A103" s="12" t="str">
        <f>CHOOSE(uxbWorks!$B$7,B103,C103)</f>
        <v xml:space="preserve">Copyright © 2015 Inter-American Development Bank. </v>
      </c>
      <c r="B103" s="255" t="s">
        <v>3520</v>
      </c>
      <c r="C103" s="255" t="s">
        <v>3519</v>
      </c>
    </row>
    <row r="104" spans="1:3" s="5" customFormat="1" ht="10.15" x14ac:dyDescent="0.2">
      <c r="A104" s="12" t="str">
        <f>CHOOSE(uxbWorks!$B$7,B104,C104)</f>
        <v>This work is licensed under a Creative Commons IGO 3.0 Attribution-NonCommercial-NoDerivatives license (http://creativecommons.org/licenses/by-nc-nd/3.0/igo/legalcode) and may be reproduced with attribution to the IDB and for any non-commercial purpose. 
No derivative work is allowed.
Any dispute related to the use of the works of the IDB that cannot be settled amicably shall be submitted to arbitration pursuant to the UNCITRAL rules. The use of the IDB’s name for any purpose other than for attribution, and the use of IDB’s logo shall be subject to a separate written license agreement between the IDB and the user and is not authorized as part of this CC-IGO license.
Note that link provided above includes additional terms and conditions of the license.
The results offered in this database/dataset are those compiled by the authors and do not necessarily reflect the views of the Inter-American Development Bank, its Board of Directors, or the countries they represent.</v>
      </c>
      <c r="B104" s="257" t="s">
        <v>3521</v>
      </c>
      <c r="C104" s="257" t="s">
        <v>3522</v>
      </c>
    </row>
  </sheetData>
  <phoneticPr fontId="12" type="noConversion"/>
  <pageMargins left="0.7" right="0.7" top="0.75" bottom="0.75" header="0.3" footer="0.3"/>
  <pageSetup orientation="portrait" r:id="rId1"/>
  <headerFooter>
    <oddHeader>&amp;LAnuario de Transporte de Carga y Logística 2014, BID</oddHeader>
    <oddFooter>&amp;LObservatorio Regional de Transporte de Carga y Logistica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V43"/>
  <sheetViews>
    <sheetView showGridLines="0" showRowColHeaders="0" workbookViewId="0"/>
  </sheetViews>
  <sheetFormatPr defaultColWidth="9.140625" defaultRowHeight="11.25" x14ac:dyDescent="0.2"/>
  <cols>
    <col min="1" max="16384" width="9.140625" style="17"/>
  </cols>
  <sheetData>
    <row r="1" spans="1:22" s="2" customFormat="1" x14ac:dyDescent="0.2">
      <c r="A1" s="2" t="s">
        <v>451</v>
      </c>
      <c r="B1" s="2" t="s">
        <v>452</v>
      </c>
      <c r="C1" s="2" t="s">
        <v>453</v>
      </c>
      <c r="D1" s="2" t="s">
        <v>501</v>
      </c>
      <c r="F1" s="2" t="s">
        <v>517</v>
      </c>
      <c r="J1" s="2" t="s">
        <v>454</v>
      </c>
      <c r="K1" s="2" t="s">
        <v>455</v>
      </c>
      <c r="O1" s="2" t="s">
        <v>1249</v>
      </c>
      <c r="P1" s="2" t="s">
        <v>1250</v>
      </c>
      <c r="Q1" s="2" t="s">
        <v>1247</v>
      </c>
      <c r="R1" s="2" t="str">
        <f>O3</f>
        <v>Andean Countries</v>
      </c>
      <c r="S1" s="2" t="str">
        <f>O4</f>
        <v>Southern Cone</v>
      </c>
      <c r="T1" s="2" t="str">
        <f>O5</f>
        <v>Caribbean</v>
      </c>
      <c r="U1" s="2" t="str">
        <f>O6</f>
        <v>Central America</v>
      </c>
    </row>
    <row r="2" spans="1:22" s="2" customFormat="1" x14ac:dyDescent="0.2">
      <c r="A2" s="25">
        <v>0</v>
      </c>
      <c r="B2" s="25" t="s">
        <v>178</v>
      </c>
      <c r="C2" s="26" t="str">
        <f>CHOOSE(uxbWorks!$B$7,J2,K2)</f>
        <v>&lt;none&gt;</v>
      </c>
      <c r="D2" s="25">
        <v>0</v>
      </c>
      <c r="E2" s="25"/>
      <c r="F2" s="25"/>
      <c r="G2" s="25"/>
      <c r="H2" s="25"/>
      <c r="I2" s="25"/>
      <c r="J2" s="25" t="s">
        <v>160</v>
      </c>
      <c r="K2" s="25" t="s">
        <v>249</v>
      </c>
      <c r="N2" s="6" t="str">
        <f>CHOOSE(uxbWorks!$B$7,O2,P2)</f>
        <v>&lt;none&gt;</v>
      </c>
      <c r="O2" s="25" t="s">
        <v>160</v>
      </c>
      <c r="P2" s="25" t="s">
        <v>249</v>
      </c>
    </row>
    <row r="3" spans="1:22" x14ac:dyDescent="0.2">
      <c r="A3" s="17">
        <v>1</v>
      </c>
      <c r="B3" s="95" t="s">
        <v>518</v>
      </c>
      <c r="C3" s="6" t="str">
        <f>CHOOSE(uxbWorks!$B$7,J3,K3)</f>
        <v>Argentina</v>
      </c>
      <c r="D3" s="6">
        <f>IF(A3=uxbWorks!$B$24,3,IF(INDEX(Q3:X3,1,uxbWorks!$B$17)=1,2,1))</f>
        <v>1</v>
      </c>
      <c r="E3" s="6" t="str">
        <f>CONCATENATE("NAC_",B3,"_1")</f>
        <v>NAC_AR_1</v>
      </c>
      <c r="J3" s="17" t="s">
        <v>519</v>
      </c>
      <c r="K3" s="17" t="s">
        <v>519</v>
      </c>
      <c r="M3" s="17" t="s">
        <v>494</v>
      </c>
      <c r="N3" s="6" t="str">
        <f>CHOOSE(uxbWorks!$B$7,O3,P3)</f>
        <v>Andean Countries</v>
      </c>
      <c r="O3" s="17" t="s">
        <v>1248</v>
      </c>
      <c r="P3" s="17" t="s">
        <v>1255</v>
      </c>
      <c r="Q3" s="17">
        <v>0</v>
      </c>
      <c r="R3" s="17">
        <v>0</v>
      </c>
      <c r="S3" s="17">
        <v>1</v>
      </c>
      <c r="T3" s="17">
        <v>0</v>
      </c>
      <c r="U3" s="17">
        <v>0</v>
      </c>
      <c r="V3" s="17">
        <v>0</v>
      </c>
    </row>
    <row r="4" spans="1:22" x14ac:dyDescent="0.2">
      <c r="A4" s="17">
        <v>2</v>
      </c>
      <c r="B4" s="95" t="s">
        <v>526</v>
      </c>
      <c r="C4" s="6" t="str">
        <f>CHOOSE(uxbWorks!$B$7,J4,K4)</f>
        <v>Bahamas</v>
      </c>
      <c r="D4" s="6">
        <f>IF(A4=uxbWorks!$B$24,3,IF(INDEX(Q4:X4,1,uxbWorks!$B$17)=1,2,1))</f>
        <v>1</v>
      </c>
      <c r="E4" s="6" t="str">
        <f t="shared" ref="E4:E12" si="0">CONCATENATE("NAC_",B4,"_1")</f>
        <v>NAC_BS_1</v>
      </c>
      <c r="J4" s="17" t="s">
        <v>527</v>
      </c>
      <c r="K4" s="17" t="s">
        <v>527</v>
      </c>
      <c r="N4" s="6" t="str">
        <f>CHOOSE(uxbWorks!$B$7,O4,P4)</f>
        <v>Southern Cone</v>
      </c>
      <c r="O4" s="17" t="s">
        <v>1251</v>
      </c>
      <c r="P4" s="17" t="s">
        <v>1254</v>
      </c>
      <c r="Q4" s="17">
        <v>0</v>
      </c>
      <c r="R4" s="17">
        <v>0</v>
      </c>
      <c r="S4" s="17">
        <v>0</v>
      </c>
      <c r="T4" s="17">
        <v>1</v>
      </c>
      <c r="U4" s="17">
        <v>0</v>
      </c>
      <c r="V4" s="17">
        <v>0</v>
      </c>
    </row>
    <row r="5" spans="1:22" x14ac:dyDescent="0.2">
      <c r="A5" s="17">
        <v>3</v>
      </c>
      <c r="B5" s="95" t="s">
        <v>520</v>
      </c>
      <c r="C5" s="6" t="str">
        <f>CHOOSE(uxbWorks!$B$7,J5,K5)</f>
        <v>Barbados</v>
      </c>
      <c r="D5" s="6">
        <f>IF(A5=uxbWorks!$B$24,3,IF(INDEX(Q5:X5,1,uxbWorks!$B$17)=1,2,1))</f>
        <v>1</v>
      </c>
      <c r="E5" s="6" t="str">
        <f t="shared" si="0"/>
        <v>NAC_BB_1</v>
      </c>
      <c r="J5" s="17" t="s">
        <v>521</v>
      </c>
      <c r="K5" s="17" t="s">
        <v>521</v>
      </c>
      <c r="N5" s="6" t="str">
        <f>CHOOSE(uxbWorks!$B$7,O5,P5)</f>
        <v>Caribbean</v>
      </c>
      <c r="O5" s="17" t="s">
        <v>1252</v>
      </c>
      <c r="P5" s="17" t="s">
        <v>1256</v>
      </c>
      <c r="Q5" s="17">
        <v>0</v>
      </c>
      <c r="R5" s="17">
        <v>0</v>
      </c>
      <c r="S5" s="17">
        <v>0</v>
      </c>
      <c r="T5" s="17">
        <v>1</v>
      </c>
      <c r="U5" s="17">
        <v>0</v>
      </c>
      <c r="V5" s="17">
        <v>0</v>
      </c>
    </row>
    <row r="6" spans="1:22" x14ac:dyDescent="0.2">
      <c r="A6" s="17">
        <v>4</v>
      </c>
      <c r="B6" s="95" t="s">
        <v>483</v>
      </c>
      <c r="C6" s="6" t="str">
        <f>CHOOSE(uxbWorks!$B$7,J6,K6)</f>
        <v>Belize</v>
      </c>
      <c r="D6" s="6">
        <f>IF(A6=uxbWorks!$B$24,3,IF(INDEX(Q6:X6,1,uxbWorks!$B$17)=1,2,1))</f>
        <v>1</v>
      </c>
      <c r="E6" s="6" t="str">
        <f t="shared" si="0"/>
        <v>NAC_BZ_1</v>
      </c>
      <c r="J6" s="17" t="s">
        <v>715</v>
      </c>
      <c r="K6" s="17" t="s">
        <v>238</v>
      </c>
      <c r="N6" s="6" t="str">
        <f>CHOOSE(uxbWorks!$B$7,O6,P6)</f>
        <v>Central America</v>
      </c>
      <c r="O6" s="17" t="s">
        <v>1253</v>
      </c>
      <c r="P6" s="17" t="s">
        <v>1257</v>
      </c>
      <c r="Q6" s="17">
        <v>0</v>
      </c>
      <c r="R6" s="17">
        <v>0</v>
      </c>
      <c r="S6" s="17">
        <v>0</v>
      </c>
      <c r="T6" s="17">
        <v>0</v>
      </c>
      <c r="U6" s="17">
        <v>1</v>
      </c>
      <c r="V6" s="17">
        <v>0</v>
      </c>
    </row>
    <row r="7" spans="1:22" x14ac:dyDescent="0.2">
      <c r="A7" s="17">
        <v>5</v>
      </c>
      <c r="B7" s="95" t="s">
        <v>522</v>
      </c>
      <c r="C7" s="6" t="str">
        <f>CHOOSE(uxbWorks!$B$7,J7,K7)</f>
        <v>Bolivia</v>
      </c>
      <c r="D7" s="6">
        <f>IF(A7=uxbWorks!$B$24,3,IF(INDEX(Q7:X7,1,uxbWorks!$B$17)=1,2,1))</f>
        <v>1</v>
      </c>
      <c r="E7" s="6" t="str">
        <f t="shared" si="0"/>
        <v>NAC_BO_1</v>
      </c>
      <c r="J7" s="17" t="s">
        <v>523</v>
      </c>
      <c r="K7" s="17" t="s">
        <v>523</v>
      </c>
      <c r="Q7" s="17">
        <v>0</v>
      </c>
      <c r="R7" s="17">
        <v>1</v>
      </c>
      <c r="S7" s="17">
        <v>0</v>
      </c>
      <c r="T7" s="17">
        <v>0</v>
      </c>
      <c r="U7" s="17">
        <v>0</v>
      </c>
      <c r="V7" s="17">
        <v>0</v>
      </c>
    </row>
    <row r="8" spans="1:22" x14ac:dyDescent="0.2">
      <c r="A8" s="17">
        <v>6</v>
      </c>
      <c r="B8" s="95" t="s">
        <v>524</v>
      </c>
      <c r="C8" s="6" t="str">
        <f>CHOOSE(uxbWorks!$B$7,J8,K8)</f>
        <v>Brasil</v>
      </c>
      <c r="D8" s="6">
        <f>IF(A8=uxbWorks!$B$24,3,IF(INDEX(Q8:X8,1,uxbWorks!$B$17)=1,2,1))</f>
        <v>1</v>
      </c>
      <c r="E8" s="6" t="str">
        <f t="shared" si="0"/>
        <v>NAC_BR_1</v>
      </c>
      <c r="J8" s="17" t="s">
        <v>525</v>
      </c>
      <c r="K8" s="17" t="s">
        <v>525</v>
      </c>
      <c r="Q8" s="17">
        <v>0</v>
      </c>
      <c r="R8" s="17">
        <v>0</v>
      </c>
      <c r="S8" s="17">
        <v>1</v>
      </c>
      <c r="T8" s="17">
        <v>0</v>
      </c>
      <c r="U8" s="17">
        <v>0</v>
      </c>
      <c r="V8" s="17">
        <v>0</v>
      </c>
    </row>
    <row r="9" spans="1:22" x14ac:dyDescent="0.2">
      <c r="A9" s="17">
        <v>7</v>
      </c>
      <c r="B9" s="95" t="s">
        <v>528</v>
      </c>
      <c r="C9" s="6" t="str">
        <f>CHOOSE(uxbWorks!$B$7,J9,K9)</f>
        <v>Chile</v>
      </c>
      <c r="D9" s="6">
        <f>IF(A9=uxbWorks!$B$24,3,IF(INDEX(Q9:X9,1,uxbWorks!$B$17)=1,2,1))</f>
        <v>1</v>
      </c>
      <c r="E9" s="6" t="str">
        <f t="shared" si="0"/>
        <v>NAC_CL_1</v>
      </c>
      <c r="J9" s="17" t="s">
        <v>529</v>
      </c>
      <c r="K9" s="17" t="s">
        <v>529</v>
      </c>
      <c r="Q9" s="17">
        <v>0</v>
      </c>
      <c r="R9" s="17">
        <v>0</v>
      </c>
      <c r="S9" s="17">
        <v>1</v>
      </c>
      <c r="T9" s="17">
        <v>0</v>
      </c>
      <c r="U9" s="17">
        <v>0</v>
      </c>
      <c r="V9" s="17">
        <v>0</v>
      </c>
    </row>
    <row r="10" spans="1:22" x14ac:dyDescent="0.2">
      <c r="A10" s="17">
        <v>8</v>
      </c>
      <c r="B10" s="95" t="s">
        <v>488</v>
      </c>
      <c r="C10" s="6" t="str">
        <f>CHOOSE(uxbWorks!$B$7,J10,K10)</f>
        <v>Colombia</v>
      </c>
      <c r="D10" s="6">
        <f>IF(A10=uxbWorks!$B$24,3,IF(INDEX(Q10:X10,1,uxbWorks!$B$17)=1,2,1))</f>
        <v>1</v>
      </c>
      <c r="E10" s="6" t="str">
        <f t="shared" si="0"/>
        <v>NAC_CO_1</v>
      </c>
      <c r="J10" s="17" t="s">
        <v>463</v>
      </c>
      <c r="K10" s="17" t="s">
        <v>463</v>
      </c>
      <c r="Q10" s="17">
        <v>0</v>
      </c>
      <c r="R10" s="17">
        <v>1</v>
      </c>
      <c r="S10" s="17">
        <v>0</v>
      </c>
      <c r="T10" s="17">
        <v>0</v>
      </c>
      <c r="U10" s="17">
        <v>0</v>
      </c>
      <c r="V10" s="17">
        <v>0</v>
      </c>
    </row>
    <row r="11" spans="1:22" x14ac:dyDescent="0.2">
      <c r="A11" s="17">
        <v>9</v>
      </c>
      <c r="B11" s="95" t="s">
        <v>487</v>
      </c>
      <c r="C11" s="6" t="str">
        <f>CHOOSE(uxbWorks!$B$7,J11,K11)</f>
        <v>Costa Rica</v>
      </c>
      <c r="D11" s="6">
        <f>IF(A11=uxbWorks!$B$24,3,IF(INDEX(Q11:X11,1,uxbWorks!$B$17)=1,2,1))</f>
        <v>1</v>
      </c>
      <c r="E11" s="6" t="str">
        <f t="shared" si="0"/>
        <v>NAC_CR_1</v>
      </c>
      <c r="J11" s="17" t="s">
        <v>461</v>
      </c>
      <c r="K11" s="17" t="s">
        <v>461</v>
      </c>
      <c r="Q11" s="17">
        <v>0</v>
      </c>
      <c r="R11" s="17">
        <v>0</v>
      </c>
      <c r="S11" s="17">
        <v>0</v>
      </c>
      <c r="T11" s="17">
        <v>0</v>
      </c>
      <c r="U11" s="17">
        <v>1</v>
      </c>
      <c r="V11" s="17">
        <v>0</v>
      </c>
    </row>
    <row r="12" spans="1:22" x14ac:dyDescent="0.2">
      <c r="A12" s="17">
        <v>10</v>
      </c>
      <c r="B12" s="95" t="s">
        <v>530</v>
      </c>
      <c r="C12" s="6" t="str">
        <f>CHOOSE(uxbWorks!$B$7,J12,K12)</f>
        <v>Ecuador</v>
      </c>
      <c r="D12" s="6">
        <f>IF(A12=uxbWorks!$B$24,3,IF(INDEX(Q12:X12,1,uxbWorks!$B$17)=1,2,1))</f>
        <v>1</v>
      </c>
      <c r="E12" s="6" t="str">
        <f t="shared" si="0"/>
        <v>NAC_EC_1</v>
      </c>
      <c r="J12" s="17" t="s">
        <v>531</v>
      </c>
      <c r="K12" s="17" t="s">
        <v>531</v>
      </c>
      <c r="Q12" s="17">
        <v>0</v>
      </c>
      <c r="R12" s="17">
        <v>1</v>
      </c>
      <c r="S12" s="17">
        <v>0</v>
      </c>
      <c r="T12" s="17">
        <v>0</v>
      </c>
      <c r="U12" s="17">
        <v>0</v>
      </c>
      <c r="V12" s="17">
        <v>0</v>
      </c>
    </row>
    <row r="13" spans="1:22" x14ac:dyDescent="0.2">
      <c r="A13" s="17">
        <v>11</v>
      </c>
      <c r="B13" s="95" t="s">
        <v>486</v>
      </c>
      <c r="C13" s="6" t="str">
        <f>CHOOSE(uxbWorks!$B$7,J13,K13)</f>
        <v>El Salvador</v>
      </c>
      <c r="D13" s="6">
        <f>IF(A13=uxbWorks!$B$24,3,IF(INDEX(Q13:X13,1,uxbWorks!$B$17)=1,2,1))</f>
        <v>1</v>
      </c>
      <c r="E13" s="6" t="str">
        <f t="shared" ref="E13:E28" si="1">CONCATENATE("NAC_",B13,"_1")</f>
        <v>NAC_SV_1</v>
      </c>
      <c r="J13" s="17" t="s">
        <v>467</v>
      </c>
      <c r="K13" s="17" t="s">
        <v>467</v>
      </c>
      <c r="Q13" s="17">
        <v>0</v>
      </c>
      <c r="R13" s="17">
        <v>0</v>
      </c>
      <c r="S13" s="17">
        <v>0</v>
      </c>
      <c r="T13" s="17">
        <v>0</v>
      </c>
      <c r="U13" s="17">
        <v>1</v>
      </c>
      <c r="V13" s="17">
        <v>0</v>
      </c>
    </row>
    <row r="14" spans="1:22" x14ac:dyDescent="0.2">
      <c r="A14" s="17">
        <v>12</v>
      </c>
      <c r="B14" s="95" t="s">
        <v>482</v>
      </c>
      <c r="C14" s="6" t="str">
        <f>CHOOSE(uxbWorks!$B$7,J14,K14)</f>
        <v>Guatemala</v>
      </c>
      <c r="D14" s="6">
        <f>IF(A14=uxbWorks!$B$24,3,IF(INDEX(Q14:X14,1,uxbWorks!$B$17)=1,2,1))</f>
        <v>1</v>
      </c>
      <c r="E14" s="6" t="str">
        <f t="shared" si="1"/>
        <v>NAC_GT_1</v>
      </c>
      <c r="J14" s="17" t="s">
        <v>460</v>
      </c>
      <c r="K14" s="17" t="s">
        <v>460</v>
      </c>
      <c r="Q14" s="17">
        <v>0</v>
      </c>
      <c r="R14" s="17">
        <v>0</v>
      </c>
      <c r="S14" s="17">
        <v>0</v>
      </c>
      <c r="T14" s="17">
        <v>0</v>
      </c>
      <c r="U14" s="17">
        <v>1</v>
      </c>
      <c r="V14" s="17">
        <v>0</v>
      </c>
    </row>
    <row r="15" spans="1:22" x14ac:dyDescent="0.2">
      <c r="A15" s="17">
        <v>13</v>
      </c>
      <c r="B15" s="95" t="s">
        <v>532</v>
      </c>
      <c r="C15" s="6" t="str">
        <f>CHOOSE(uxbWorks!$B$7,J15,K15)</f>
        <v>Guyana</v>
      </c>
      <c r="D15" s="6">
        <f>IF(A15=uxbWorks!$B$24,3,IF(INDEX(Q15:X15,1,uxbWorks!$B$17)=1,2,1))</f>
        <v>1</v>
      </c>
      <c r="E15" s="6" t="str">
        <f t="shared" si="1"/>
        <v>NAC_GY_1</v>
      </c>
      <c r="J15" s="17" t="s">
        <v>533</v>
      </c>
      <c r="K15" s="17" t="s">
        <v>533</v>
      </c>
      <c r="Q15" s="17">
        <v>0</v>
      </c>
      <c r="R15" s="17">
        <v>0</v>
      </c>
      <c r="S15" s="17">
        <v>0</v>
      </c>
      <c r="T15" s="17">
        <v>1</v>
      </c>
      <c r="U15" s="17">
        <v>0</v>
      </c>
      <c r="V15" s="17">
        <v>0</v>
      </c>
    </row>
    <row r="16" spans="1:22" x14ac:dyDescent="0.2">
      <c r="A16" s="17">
        <v>14</v>
      </c>
      <c r="B16" s="95" t="s">
        <v>534</v>
      </c>
      <c r="C16" s="6" t="str">
        <f>CHOOSE(uxbWorks!$B$7,J16,K16)</f>
        <v>Haiti</v>
      </c>
      <c r="D16" s="6">
        <f>IF(A16=uxbWorks!$B$24,3,IF(INDEX(Q16:X16,1,uxbWorks!$B$17)=1,2,1))</f>
        <v>1</v>
      </c>
      <c r="E16" s="6" t="str">
        <f t="shared" si="1"/>
        <v>NAC_HT_1</v>
      </c>
      <c r="J16" s="17" t="s">
        <v>535</v>
      </c>
      <c r="K16" s="17" t="s">
        <v>535</v>
      </c>
      <c r="Q16" s="17">
        <v>0</v>
      </c>
      <c r="R16" s="17">
        <v>0</v>
      </c>
      <c r="S16" s="17">
        <v>0</v>
      </c>
      <c r="T16" s="17">
        <v>1</v>
      </c>
      <c r="U16" s="17">
        <v>0</v>
      </c>
      <c r="V16" s="17">
        <v>0</v>
      </c>
    </row>
    <row r="17" spans="1:22" x14ac:dyDescent="0.2">
      <c r="A17" s="17">
        <v>15</v>
      </c>
      <c r="B17" s="95" t="s">
        <v>490</v>
      </c>
      <c r="C17" s="6" t="str">
        <f>CHOOSE(uxbWorks!$B$7,J17,K17)</f>
        <v>Honduras</v>
      </c>
      <c r="D17" s="6">
        <f>IF(A17=uxbWorks!$B$24,3,IF(INDEX(Q17:X17,1,uxbWorks!$B$17)=1,2,1))</f>
        <v>1</v>
      </c>
      <c r="E17" s="6" t="str">
        <f t="shared" si="1"/>
        <v>NAC_HN_1</v>
      </c>
      <c r="J17" s="17" t="s">
        <v>464</v>
      </c>
      <c r="K17" s="17" t="s">
        <v>464</v>
      </c>
      <c r="Q17" s="17">
        <v>0</v>
      </c>
      <c r="R17" s="17">
        <v>0</v>
      </c>
      <c r="S17" s="17">
        <v>0</v>
      </c>
      <c r="T17" s="17">
        <v>0</v>
      </c>
      <c r="U17" s="17">
        <v>1</v>
      </c>
      <c r="V17" s="17">
        <v>0</v>
      </c>
    </row>
    <row r="18" spans="1:22" x14ac:dyDescent="0.2">
      <c r="A18" s="17">
        <v>16</v>
      </c>
      <c r="B18" s="95" t="s">
        <v>536</v>
      </c>
      <c r="C18" s="6" t="str">
        <f>CHOOSE(uxbWorks!$B$7,J18,K18)</f>
        <v>Jamaica</v>
      </c>
      <c r="D18" s="6">
        <f>IF(A18=uxbWorks!$B$24,3,IF(INDEX(Q18:X18,1,uxbWorks!$B$17)=1,2,1))</f>
        <v>1</v>
      </c>
      <c r="E18" s="6" t="str">
        <f t="shared" si="1"/>
        <v>NAC_JM_1</v>
      </c>
      <c r="J18" s="95" t="s">
        <v>537</v>
      </c>
      <c r="K18" s="95" t="s">
        <v>537</v>
      </c>
      <c r="Q18" s="17">
        <v>0</v>
      </c>
      <c r="R18" s="17">
        <v>0</v>
      </c>
      <c r="S18" s="17">
        <v>0</v>
      </c>
      <c r="T18" s="17">
        <v>1</v>
      </c>
      <c r="U18" s="17">
        <v>0</v>
      </c>
      <c r="V18" s="17">
        <v>0</v>
      </c>
    </row>
    <row r="19" spans="1:22" x14ac:dyDescent="0.2">
      <c r="A19" s="17">
        <v>17</v>
      </c>
      <c r="B19" s="95" t="s">
        <v>481</v>
      </c>
      <c r="C19" s="6" t="str">
        <f>CHOOSE(uxbWorks!$B$7,J19,K19)</f>
        <v>México</v>
      </c>
      <c r="D19" s="6">
        <f>IF(A19=uxbWorks!$B$24,3,IF(INDEX(Q19:X19,1,uxbWorks!$B$17)=1,2,1))</f>
        <v>1</v>
      </c>
      <c r="E19" s="6" t="str">
        <f t="shared" si="1"/>
        <v>NAC_MX_1</v>
      </c>
      <c r="J19" s="95" t="s">
        <v>465</v>
      </c>
      <c r="K19" s="95" t="s">
        <v>465</v>
      </c>
      <c r="Q19" s="17">
        <v>0</v>
      </c>
      <c r="R19" s="17">
        <v>0</v>
      </c>
      <c r="S19" s="17">
        <v>0</v>
      </c>
      <c r="T19" s="17">
        <v>0</v>
      </c>
      <c r="U19" s="17">
        <v>1</v>
      </c>
      <c r="V19" s="17">
        <v>0</v>
      </c>
    </row>
    <row r="20" spans="1:22" x14ac:dyDescent="0.2">
      <c r="A20" s="17">
        <v>18</v>
      </c>
      <c r="B20" s="95" t="s">
        <v>484</v>
      </c>
      <c r="C20" s="6" t="str">
        <f>CHOOSE(uxbWorks!$B$7,J20,K20)</f>
        <v>Nicaragua</v>
      </c>
      <c r="D20" s="6">
        <f>IF(A20=uxbWorks!$B$24,3,IF(INDEX(Q20:X20,1,uxbWorks!$B$17)=1,2,1))</f>
        <v>1</v>
      </c>
      <c r="E20" s="6" t="str">
        <f t="shared" si="1"/>
        <v>NAC_NI_1</v>
      </c>
      <c r="J20" s="95" t="s">
        <v>462</v>
      </c>
      <c r="K20" s="17" t="s">
        <v>462</v>
      </c>
      <c r="Q20" s="17">
        <v>0</v>
      </c>
      <c r="R20" s="17">
        <v>0</v>
      </c>
      <c r="S20" s="17">
        <v>0</v>
      </c>
      <c r="T20" s="17">
        <v>0</v>
      </c>
      <c r="U20" s="17">
        <v>1</v>
      </c>
      <c r="V20" s="17">
        <v>0</v>
      </c>
    </row>
    <row r="21" spans="1:22" x14ac:dyDescent="0.2">
      <c r="A21" s="17">
        <v>19</v>
      </c>
      <c r="B21" s="95" t="s">
        <v>485</v>
      </c>
      <c r="C21" s="6" t="str">
        <f>CHOOSE(uxbWorks!$B$7,J21,K21)</f>
        <v>Panamá</v>
      </c>
      <c r="D21" s="6">
        <f>IF(A21=uxbWorks!$B$24,3,IF(INDEX(Q21:X21,1,uxbWorks!$B$17)=1,2,1))</f>
        <v>1</v>
      </c>
      <c r="E21" s="6" t="str">
        <f t="shared" si="1"/>
        <v>NAC_PA_1</v>
      </c>
      <c r="J21" s="95" t="s">
        <v>459</v>
      </c>
      <c r="K21" s="95" t="s">
        <v>459</v>
      </c>
      <c r="Q21" s="17">
        <v>0</v>
      </c>
      <c r="R21" s="17">
        <v>0</v>
      </c>
      <c r="S21" s="17">
        <v>0</v>
      </c>
      <c r="T21" s="17">
        <v>0</v>
      </c>
      <c r="U21" s="17">
        <v>1</v>
      </c>
      <c r="V21" s="17">
        <v>0</v>
      </c>
    </row>
    <row r="22" spans="1:22" x14ac:dyDescent="0.2">
      <c r="A22" s="17">
        <v>20</v>
      </c>
      <c r="B22" s="95" t="s">
        <v>540</v>
      </c>
      <c r="C22" s="6" t="str">
        <f>CHOOSE(uxbWorks!$B$7,J22,K22)</f>
        <v>Paraguay</v>
      </c>
      <c r="D22" s="6">
        <f>IF(A22=uxbWorks!$B$24,3,IF(INDEX(Q22:X22,1,uxbWorks!$B$17)=1,2,1))</f>
        <v>1</v>
      </c>
      <c r="E22" s="6" t="str">
        <f t="shared" si="1"/>
        <v>NAC_PY_1</v>
      </c>
      <c r="J22" s="95" t="s">
        <v>541</v>
      </c>
      <c r="K22" s="95" t="s">
        <v>541</v>
      </c>
      <c r="Q22" s="17">
        <v>0</v>
      </c>
      <c r="R22" s="17">
        <v>0</v>
      </c>
      <c r="S22" s="17">
        <v>1</v>
      </c>
      <c r="T22" s="17">
        <v>0</v>
      </c>
      <c r="U22" s="17">
        <v>0</v>
      </c>
      <c r="V22" s="17">
        <v>0</v>
      </c>
    </row>
    <row r="23" spans="1:22" x14ac:dyDescent="0.2">
      <c r="A23" s="17">
        <v>21</v>
      </c>
      <c r="B23" s="95" t="s">
        <v>538</v>
      </c>
      <c r="C23" s="6" t="str">
        <f>CHOOSE(uxbWorks!$B$7,J23,K23)</f>
        <v>Peru</v>
      </c>
      <c r="D23" s="6">
        <f>IF(A23=uxbWorks!$B$24,3,IF(INDEX(Q23:X23,1,uxbWorks!$B$17)=1,2,1))</f>
        <v>1</v>
      </c>
      <c r="E23" s="6" t="str">
        <f t="shared" si="1"/>
        <v>NAC_PE_1</v>
      </c>
      <c r="J23" s="95" t="s">
        <v>539</v>
      </c>
      <c r="K23" s="95" t="s">
        <v>539</v>
      </c>
      <c r="Q23" s="17">
        <v>0</v>
      </c>
      <c r="R23" s="17">
        <v>1</v>
      </c>
      <c r="S23" s="17">
        <v>0</v>
      </c>
      <c r="T23" s="17">
        <v>0</v>
      </c>
      <c r="U23" s="17">
        <v>0</v>
      </c>
      <c r="V23" s="17">
        <v>0</v>
      </c>
    </row>
    <row r="24" spans="1:22" x14ac:dyDescent="0.2">
      <c r="A24" s="17">
        <v>22</v>
      </c>
      <c r="B24" s="95" t="s">
        <v>489</v>
      </c>
      <c r="C24" s="6" t="str">
        <f>CHOOSE(uxbWorks!$B$7,J24,K24)</f>
        <v>Dominican Republic</v>
      </c>
      <c r="D24" s="6">
        <f>IF(A24=uxbWorks!$B$24,3,IF(INDEX(Q24:X24,1,uxbWorks!$B$17)=1,2,1))</f>
        <v>1</v>
      </c>
      <c r="E24" s="6" t="str">
        <f t="shared" si="1"/>
        <v>NAC_DO_1</v>
      </c>
      <c r="J24" s="95" t="s">
        <v>466</v>
      </c>
      <c r="K24" s="17" t="s">
        <v>239</v>
      </c>
      <c r="Q24" s="17">
        <v>0</v>
      </c>
      <c r="R24" s="17">
        <v>0</v>
      </c>
      <c r="S24" s="17">
        <v>0</v>
      </c>
      <c r="T24" s="17">
        <v>0</v>
      </c>
      <c r="U24" s="17">
        <v>1</v>
      </c>
      <c r="V24" s="17">
        <v>0</v>
      </c>
    </row>
    <row r="25" spans="1:22" x14ac:dyDescent="0.2">
      <c r="A25" s="17">
        <v>23</v>
      </c>
      <c r="B25" s="95" t="s">
        <v>542</v>
      </c>
      <c r="C25" s="6" t="str">
        <f>CHOOSE(uxbWorks!$B$7,J25,K25)</f>
        <v>Suriname</v>
      </c>
      <c r="D25" s="6">
        <f>IF(A25=uxbWorks!$B$24,3,IF(INDEX(Q25:X25,1,uxbWorks!$B$17)=1,2,1))</f>
        <v>1</v>
      </c>
      <c r="E25" s="6" t="str">
        <f t="shared" si="1"/>
        <v>NAC_SR_1</v>
      </c>
      <c r="J25" s="95" t="s">
        <v>543</v>
      </c>
      <c r="K25" s="95" t="s">
        <v>543</v>
      </c>
      <c r="Q25" s="17">
        <v>0</v>
      </c>
      <c r="R25" s="17">
        <v>0</v>
      </c>
      <c r="S25" s="17">
        <v>0</v>
      </c>
      <c r="T25" s="17">
        <v>1</v>
      </c>
      <c r="U25" s="17">
        <v>0</v>
      </c>
      <c r="V25" s="17">
        <v>0</v>
      </c>
    </row>
    <row r="26" spans="1:22" x14ac:dyDescent="0.2">
      <c r="A26" s="17">
        <v>24</v>
      </c>
      <c r="B26" s="95" t="s">
        <v>544</v>
      </c>
      <c r="C26" s="6" t="str">
        <f>CHOOSE(uxbWorks!$B$7,J26,K26)</f>
        <v>Trinidad and Tobago</v>
      </c>
      <c r="D26" s="6">
        <f>IF(A26=uxbWorks!$B$24,3,IF(INDEX(Q26:X26,1,uxbWorks!$B$17)=1,2,1))</f>
        <v>1</v>
      </c>
      <c r="E26" s="6" t="str">
        <f t="shared" si="1"/>
        <v>NAC_TT_1</v>
      </c>
      <c r="J26" s="95" t="s">
        <v>545</v>
      </c>
      <c r="K26" s="95" t="s">
        <v>545</v>
      </c>
      <c r="Q26" s="17">
        <v>0</v>
      </c>
      <c r="R26" s="17">
        <v>0</v>
      </c>
      <c r="S26" s="17">
        <v>0</v>
      </c>
      <c r="T26" s="17">
        <v>1</v>
      </c>
      <c r="U26" s="17">
        <v>0</v>
      </c>
      <c r="V26" s="17">
        <v>0</v>
      </c>
    </row>
    <row r="27" spans="1:22" x14ac:dyDescent="0.2">
      <c r="A27" s="17">
        <v>25</v>
      </c>
      <c r="B27" s="95" t="s">
        <v>546</v>
      </c>
      <c r="C27" s="6" t="str">
        <f>CHOOSE(uxbWorks!$B$7,J27,K27)</f>
        <v>Uruguay</v>
      </c>
      <c r="D27" s="6">
        <f>IF(A27=uxbWorks!$B$24,3,IF(INDEX(Q27:X27,1,uxbWorks!$B$17)=1,2,1))</f>
        <v>1</v>
      </c>
      <c r="E27" s="6" t="str">
        <f t="shared" si="1"/>
        <v>NAC_UY_1</v>
      </c>
      <c r="J27" s="95" t="s">
        <v>547</v>
      </c>
      <c r="K27" s="95" t="s">
        <v>547</v>
      </c>
      <c r="Q27" s="17">
        <v>0</v>
      </c>
      <c r="R27" s="17">
        <v>0</v>
      </c>
      <c r="S27" s="17">
        <v>1</v>
      </c>
      <c r="T27" s="17">
        <v>0</v>
      </c>
      <c r="U27" s="17">
        <v>0</v>
      </c>
      <c r="V27" s="17">
        <v>0</v>
      </c>
    </row>
    <row r="28" spans="1:22" x14ac:dyDescent="0.2">
      <c r="A28" s="17">
        <v>26</v>
      </c>
      <c r="B28" s="95" t="s">
        <v>548</v>
      </c>
      <c r="C28" s="6" t="str">
        <f>CHOOSE(uxbWorks!$B$7,J28,K28)</f>
        <v>Venezuela</v>
      </c>
      <c r="D28" s="6">
        <f>IF(A28=uxbWorks!$B$24,3,IF(INDEX(Q28:X28,1,uxbWorks!$B$17)=1,2,1))</f>
        <v>1</v>
      </c>
      <c r="E28" s="6" t="str">
        <f t="shared" si="1"/>
        <v>NAC_VE_1</v>
      </c>
      <c r="J28" s="95" t="s">
        <v>549</v>
      </c>
      <c r="K28" s="95" t="s">
        <v>549</v>
      </c>
      <c r="Q28" s="17">
        <v>0</v>
      </c>
      <c r="R28" s="17">
        <v>1</v>
      </c>
      <c r="S28" s="17">
        <v>0</v>
      </c>
      <c r="T28" s="17">
        <v>0</v>
      </c>
      <c r="U28" s="17">
        <v>0</v>
      </c>
      <c r="V28" s="17">
        <v>0</v>
      </c>
    </row>
    <row r="29" spans="1:22" x14ac:dyDescent="0.2">
      <c r="B29" s="95"/>
      <c r="C29" s="6"/>
      <c r="D29" s="6"/>
      <c r="E29" s="6"/>
      <c r="J29" s="95"/>
    </row>
    <row r="30" spans="1:22" x14ac:dyDescent="0.2">
      <c r="B30" s="95"/>
      <c r="C30" s="6"/>
      <c r="D30" s="6"/>
      <c r="E30" s="6"/>
      <c r="J30" s="95"/>
    </row>
    <row r="31" spans="1:22" x14ac:dyDescent="0.2">
      <c r="B31" s="95"/>
      <c r="C31" s="95"/>
      <c r="J31" s="95"/>
    </row>
    <row r="32" spans="1:22" x14ac:dyDescent="0.2">
      <c r="B32" s="95"/>
      <c r="C32" s="95"/>
      <c r="J32" s="95"/>
    </row>
    <row r="33" spans="2:10" x14ac:dyDescent="0.2">
      <c r="B33" s="95"/>
      <c r="C33" s="95"/>
      <c r="J33" s="95"/>
    </row>
    <row r="34" spans="2:10" x14ac:dyDescent="0.2">
      <c r="B34" s="95"/>
      <c r="C34" s="95"/>
      <c r="J34" s="95"/>
    </row>
    <row r="35" spans="2:10" x14ac:dyDescent="0.2">
      <c r="B35" s="95"/>
      <c r="C35" s="95"/>
      <c r="J35" s="95"/>
    </row>
    <row r="36" spans="2:10" x14ac:dyDescent="0.2">
      <c r="B36" s="95"/>
      <c r="C36" s="95"/>
      <c r="J36" s="95"/>
    </row>
    <row r="37" spans="2:10" x14ac:dyDescent="0.2">
      <c r="B37" s="95"/>
      <c r="C37" s="95"/>
      <c r="J37" s="95"/>
    </row>
    <row r="38" spans="2:10" x14ac:dyDescent="0.2">
      <c r="B38" s="95"/>
      <c r="C38" s="95"/>
      <c r="J38" s="95"/>
    </row>
    <row r="39" spans="2:10" x14ac:dyDescent="0.2">
      <c r="B39" s="95"/>
      <c r="C39" s="95"/>
    </row>
    <row r="40" spans="2:10" x14ac:dyDescent="0.2">
      <c r="B40" s="95"/>
      <c r="C40" s="95"/>
      <c r="J40" s="95"/>
    </row>
    <row r="41" spans="2:10" x14ac:dyDescent="0.2">
      <c r="B41" s="95"/>
      <c r="C41" s="95"/>
      <c r="J41" s="95"/>
    </row>
    <row r="42" spans="2:10" x14ac:dyDescent="0.2">
      <c r="B42" s="95"/>
      <c r="C42" s="95"/>
      <c r="J42" s="95"/>
    </row>
    <row r="43" spans="2:10" x14ac:dyDescent="0.2">
      <c r="B43" s="95"/>
      <c r="C43" s="95"/>
      <c r="J43" s="95"/>
    </row>
  </sheetData>
  <sortState ref="B18:J43">
    <sortCondition ref="C18:C43"/>
  </sortState>
  <phoneticPr fontId="12" type="noConversion"/>
  <pageMargins left="0.7" right="0.7" top="0.75" bottom="0.75" header="0.3" footer="0.3"/>
  <pageSetup paperSize="9" orientation="portrait" r:id="rId1"/>
  <headerFooter>
    <oddHeader>&amp;LAnuario de Transporte de Carga y Logística 2014, BID</oddHeader>
    <oddFooter>&amp;LObservatorio Regional de Transporte de Carga y Logistica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J1681"/>
  <sheetViews>
    <sheetView showGridLines="0" showRowColHeaders="0" workbookViewId="0"/>
  </sheetViews>
  <sheetFormatPr defaultColWidth="9.140625" defaultRowHeight="14.1" customHeight="1" x14ac:dyDescent="0.2"/>
  <cols>
    <col min="1" max="1" width="17.42578125" style="95" bestFit="1" customWidth="1"/>
    <col min="2" max="9" width="9.140625" style="95"/>
    <col min="10" max="10" width="9.5703125" style="95" bestFit="1" customWidth="1"/>
    <col min="11" max="16384" width="9.140625" style="95"/>
  </cols>
  <sheetData>
    <row r="1" spans="1:10" ht="14.1" customHeight="1" x14ac:dyDescent="0.2">
      <c r="A1" s="57" t="s">
        <v>496</v>
      </c>
      <c r="B1" s="57" t="s">
        <v>475</v>
      </c>
      <c r="C1" s="57" t="s">
        <v>476</v>
      </c>
      <c r="D1" s="57" t="s">
        <v>477</v>
      </c>
      <c r="E1" s="57" t="s">
        <v>478</v>
      </c>
      <c r="F1" s="57" t="s">
        <v>468</v>
      </c>
      <c r="G1" s="57" t="s">
        <v>479</v>
      </c>
      <c r="H1" s="57" t="s">
        <v>480</v>
      </c>
      <c r="I1" s="57" t="s">
        <v>241</v>
      </c>
      <c r="J1" s="95">
        <f>MAX(E2:E532)</f>
        <v>2265438676.3790002</v>
      </c>
    </row>
    <row r="2" spans="1:10" ht="14.1" customHeight="1" x14ac:dyDescent="0.2">
      <c r="A2" s="95" t="s">
        <v>1281</v>
      </c>
      <c r="B2" s="95">
        <v>1</v>
      </c>
      <c r="C2" s="95" t="s">
        <v>518</v>
      </c>
      <c r="D2" s="95">
        <v>2012</v>
      </c>
      <c r="E2" s="95">
        <v>7.2048221837913999</v>
      </c>
      <c r="F2" s="95" t="s">
        <v>556</v>
      </c>
      <c r="G2" s="95" t="s">
        <v>774</v>
      </c>
      <c r="H2" s="95" t="s">
        <v>556</v>
      </c>
      <c r="I2" s="95" t="s">
        <v>775</v>
      </c>
    </row>
    <row r="3" spans="1:10" ht="14.1" customHeight="1" x14ac:dyDescent="0.2">
      <c r="A3" s="95" t="s">
        <v>1282</v>
      </c>
      <c r="B3" s="95">
        <v>1</v>
      </c>
      <c r="C3" s="95" t="s">
        <v>520</v>
      </c>
      <c r="D3" s="95">
        <v>2012</v>
      </c>
      <c r="E3" s="95">
        <v>6.6200117764503199</v>
      </c>
      <c r="F3" s="95" t="s">
        <v>557</v>
      </c>
      <c r="G3" s="95" t="s">
        <v>776</v>
      </c>
      <c r="H3" s="95" t="s">
        <v>557</v>
      </c>
      <c r="I3" s="95" t="s">
        <v>777</v>
      </c>
    </row>
    <row r="4" spans="1:10" ht="14.1" customHeight="1" x14ac:dyDescent="0.2">
      <c r="A4" s="95" t="s">
        <v>1283</v>
      </c>
      <c r="B4" s="95">
        <v>1</v>
      </c>
      <c r="C4" s="95" t="s">
        <v>522</v>
      </c>
      <c r="D4" s="95">
        <v>2012</v>
      </c>
      <c r="E4" s="95">
        <v>6.9456878227985897</v>
      </c>
      <c r="F4" s="95" t="s">
        <v>3069</v>
      </c>
      <c r="G4" s="95" t="s">
        <v>778</v>
      </c>
      <c r="H4" s="95" t="s">
        <v>3069</v>
      </c>
      <c r="I4" s="95" t="s">
        <v>779</v>
      </c>
    </row>
    <row r="5" spans="1:10" ht="14.1" customHeight="1" x14ac:dyDescent="0.2">
      <c r="A5" s="95" t="s">
        <v>1284</v>
      </c>
      <c r="B5" s="95">
        <v>1</v>
      </c>
      <c r="C5" s="95" t="s">
        <v>524</v>
      </c>
      <c r="D5" s="95">
        <v>2012</v>
      </c>
      <c r="E5" s="95">
        <v>4.5281547327290106</v>
      </c>
      <c r="F5" s="95" t="s">
        <v>558</v>
      </c>
      <c r="G5" s="95" t="s">
        <v>780</v>
      </c>
      <c r="H5" s="95" t="s">
        <v>558</v>
      </c>
      <c r="I5" s="95" t="s">
        <v>781</v>
      </c>
    </row>
    <row r="6" spans="1:10" ht="14.1" customHeight="1" x14ac:dyDescent="0.2">
      <c r="A6" s="95" t="s">
        <v>1285</v>
      </c>
      <c r="B6" s="95">
        <v>1</v>
      </c>
      <c r="C6" s="95" t="s">
        <v>526</v>
      </c>
      <c r="D6" s="95">
        <v>2012</v>
      </c>
      <c r="E6" s="95">
        <v>3.91327578192378</v>
      </c>
      <c r="F6" s="95" t="s">
        <v>782</v>
      </c>
      <c r="G6" s="95" t="s">
        <v>783</v>
      </c>
      <c r="H6" s="95" t="s">
        <v>782</v>
      </c>
      <c r="I6" s="95" t="s">
        <v>784</v>
      </c>
    </row>
    <row r="7" spans="1:10" ht="14.1" customHeight="1" x14ac:dyDescent="0.2">
      <c r="A7" s="95" t="s">
        <v>1286</v>
      </c>
      <c r="B7" s="95">
        <v>1</v>
      </c>
      <c r="C7" s="95" t="s">
        <v>528</v>
      </c>
      <c r="D7" s="95">
        <v>2012</v>
      </c>
      <c r="E7" s="95">
        <v>4.01</v>
      </c>
      <c r="F7" s="95" t="s">
        <v>785</v>
      </c>
      <c r="G7" s="95" t="s">
        <v>786</v>
      </c>
      <c r="H7" s="95" t="s">
        <v>785</v>
      </c>
      <c r="I7" s="95" t="s">
        <v>787</v>
      </c>
    </row>
    <row r="8" spans="1:10" ht="14.1" customHeight="1" x14ac:dyDescent="0.2">
      <c r="A8" s="95" t="s">
        <v>1287</v>
      </c>
      <c r="B8" s="95">
        <v>1</v>
      </c>
      <c r="C8" s="95" t="s">
        <v>530</v>
      </c>
      <c r="D8" s="95">
        <v>2012</v>
      </c>
      <c r="E8" s="95">
        <v>5.26505148816371</v>
      </c>
      <c r="F8" s="95" t="s">
        <v>788</v>
      </c>
      <c r="G8" s="95" t="s">
        <v>789</v>
      </c>
      <c r="H8" s="95" t="s">
        <v>788</v>
      </c>
      <c r="I8" s="95" t="s">
        <v>790</v>
      </c>
    </row>
    <row r="9" spans="1:10" ht="14.1" customHeight="1" x14ac:dyDescent="0.2">
      <c r="A9" s="95" t="s">
        <v>1288</v>
      </c>
      <c r="B9" s="95">
        <v>1</v>
      </c>
      <c r="C9" s="95" t="s">
        <v>532</v>
      </c>
      <c r="D9" s="95">
        <v>2012</v>
      </c>
      <c r="E9" s="95">
        <v>6.2970213381781504</v>
      </c>
      <c r="F9" s="95" t="s">
        <v>791</v>
      </c>
      <c r="G9" s="95" t="s">
        <v>789</v>
      </c>
      <c r="H9" s="95" t="s">
        <v>791</v>
      </c>
      <c r="I9" s="95" t="s">
        <v>790</v>
      </c>
    </row>
    <row r="10" spans="1:10" ht="14.1" customHeight="1" x14ac:dyDescent="0.2">
      <c r="A10" s="95" t="s">
        <v>1289</v>
      </c>
      <c r="B10" s="95">
        <v>1</v>
      </c>
      <c r="C10" s="95" t="s">
        <v>534</v>
      </c>
      <c r="D10" s="95">
        <v>2012</v>
      </c>
      <c r="E10" s="95">
        <v>7.6910436445216401</v>
      </c>
      <c r="F10" s="95" t="s">
        <v>559</v>
      </c>
      <c r="G10" s="95" t="s">
        <v>792</v>
      </c>
      <c r="H10" s="95" t="s">
        <v>559</v>
      </c>
      <c r="I10" s="95" t="s">
        <v>793</v>
      </c>
    </row>
    <row r="11" spans="1:10" ht="14.1" customHeight="1" x14ac:dyDescent="0.2">
      <c r="A11" s="95" t="s">
        <v>1290</v>
      </c>
      <c r="B11" s="95">
        <v>1</v>
      </c>
      <c r="C11" s="95" t="s">
        <v>536</v>
      </c>
      <c r="D11" s="95">
        <v>2012</v>
      </c>
      <c r="E11" s="95">
        <v>8.0450017908396898</v>
      </c>
      <c r="F11" s="95" t="s">
        <v>560</v>
      </c>
      <c r="G11" s="95" t="s">
        <v>794</v>
      </c>
      <c r="H11" s="95" t="s">
        <v>560</v>
      </c>
      <c r="I11" s="95" t="s">
        <v>795</v>
      </c>
    </row>
    <row r="12" spans="1:10" ht="14.1" customHeight="1" x14ac:dyDescent="0.2">
      <c r="A12" s="95" t="s">
        <v>1291</v>
      </c>
      <c r="B12" s="95">
        <v>1</v>
      </c>
      <c r="C12" s="95" t="s">
        <v>538</v>
      </c>
      <c r="D12" s="95">
        <v>2012</v>
      </c>
      <c r="E12" s="95">
        <v>6.9662940495960699</v>
      </c>
      <c r="F12" s="95" t="s">
        <v>561</v>
      </c>
      <c r="G12" s="95" t="s">
        <v>796</v>
      </c>
      <c r="H12" s="95" t="s">
        <v>561</v>
      </c>
      <c r="I12" s="95" t="s">
        <v>797</v>
      </c>
    </row>
    <row r="13" spans="1:10" ht="14.1" customHeight="1" x14ac:dyDescent="0.2">
      <c r="A13" s="95" t="s">
        <v>1292</v>
      </c>
      <c r="B13" s="95">
        <v>1</v>
      </c>
      <c r="C13" s="95" t="s">
        <v>540</v>
      </c>
      <c r="D13" s="95">
        <v>2012</v>
      </c>
      <c r="E13" s="95">
        <v>2.4994499559909897</v>
      </c>
      <c r="F13" s="95" t="s">
        <v>798</v>
      </c>
      <c r="G13" s="95" t="s">
        <v>799</v>
      </c>
      <c r="H13" s="95" t="s">
        <v>798</v>
      </c>
      <c r="I13" s="95" t="s">
        <v>800</v>
      </c>
    </row>
    <row r="14" spans="1:10" ht="14.1" customHeight="1" x14ac:dyDescent="0.2">
      <c r="A14" s="95" t="s">
        <v>1293</v>
      </c>
      <c r="B14" s="95">
        <v>1</v>
      </c>
      <c r="C14" s="95" t="s">
        <v>542</v>
      </c>
      <c r="D14" s="95">
        <v>2012</v>
      </c>
      <c r="E14" s="95">
        <v>6.0552171063273095</v>
      </c>
      <c r="F14" s="95" t="s">
        <v>562</v>
      </c>
      <c r="G14" s="95" t="s">
        <v>776</v>
      </c>
      <c r="H14" s="95" t="s">
        <v>562</v>
      </c>
      <c r="I14" s="95" t="s">
        <v>777</v>
      </c>
    </row>
    <row r="15" spans="1:10" ht="14.1" customHeight="1" x14ac:dyDescent="0.2">
      <c r="A15" s="95" t="s">
        <v>1294</v>
      </c>
      <c r="B15" s="95">
        <v>1</v>
      </c>
      <c r="C15" s="95" t="s">
        <v>544</v>
      </c>
      <c r="D15" s="95">
        <v>2012</v>
      </c>
      <c r="E15" s="95">
        <v>5.3618877032470706</v>
      </c>
      <c r="F15" s="95" t="s">
        <v>801</v>
      </c>
      <c r="G15" s="95" t="s">
        <v>786</v>
      </c>
      <c r="H15" s="95" t="s">
        <v>801</v>
      </c>
      <c r="I15" s="95" t="s">
        <v>787</v>
      </c>
    </row>
    <row r="16" spans="1:10" ht="14.1" customHeight="1" x14ac:dyDescent="0.2">
      <c r="A16" s="95" t="s">
        <v>1295</v>
      </c>
      <c r="B16" s="95">
        <v>1</v>
      </c>
      <c r="C16" s="95" t="s">
        <v>546</v>
      </c>
      <c r="D16" s="95">
        <v>2012</v>
      </c>
      <c r="E16" s="95">
        <v>4.3444985270182999</v>
      </c>
      <c r="F16" s="95" t="s">
        <v>563</v>
      </c>
      <c r="G16" s="95" t="s">
        <v>789</v>
      </c>
      <c r="H16" s="95" t="s">
        <v>563</v>
      </c>
      <c r="I16" s="95" t="s">
        <v>790</v>
      </c>
    </row>
    <row r="17" spans="1:9" ht="14.1" customHeight="1" x14ac:dyDescent="0.2">
      <c r="A17" s="95" t="s">
        <v>1296</v>
      </c>
      <c r="B17" s="95">
        <v>1</v>
      </c>
      <c r="C17" s="95" t="s">
        <v>548</v>
      </c>
      <c r="D17" s="95">
        <v>2012</v>
      </c>
      <c r="E17" s="95">
        <v>3.5627437840933798</v>
      </c>
      <c r="F17" s="95" t="s">
        <v>564</v>
      </c>
      <c r="G17" s="95" t="s">
        <v>789</v>
      </c>
      <c r="H17" s="95" t="s">
        <v>564</v>
      </c>
      <c r="I17" s="95" t="s">
        <v>790</v>
      </c>
    </row>
    <row r="18" spans="1:9" ht="14.1" customHeight="1" x14ac:dyDescent="0.2">
      <c r="A18" s="95" t="s">
        <v>1297</v>
      </c>
      <c r="B18" s="95">
        <v>1</v>
      </c>
      <c r="C18" s="95" t="s">
        <v>483</v>
      </c>
      <c r="D18" s="95">
        <v>2012</v>
      </c>
      <c r="E18" s="95">
        <v>3.6146611585719599</v>
      </c>
      <c r="F18" s="95" t="s">
        <v>1273</v>
      </c>
      <c r="G18" s="95" t="s">
        <v>565</v>
      </c>
      <c r="H18" s="95" t="s">
        <v>1273</v>
      </c>
      <c r="I18" s="95" t="s">
        <v>802</v>
      </c>
    </row>
    <row r="19" spans="1:9" ht="14.1" customHeight="1" x14ac:dyDescent="0.2">
      <c r="A19" s="95" t="s">
        <v>1298</v>
      </c>
      <c r="B19" s="95">
        <v>1</v>
      </c>
      <c r="C19" s="95" t="s">
        <v>488</v>
      </c>
      <c r="D19" s="95">
        <v>2012</v>
      </c>
      <c r="E19" s="95">
        <v>7.7299999999999995</v>
      </c>
      <c r="F19" s="95" t="s">
        <v>566</v>
      </c>
      <c r="G19" s="95">
        <v>0</v>
      </c>
      <c r="H19" s="95" t="s">
        <v>566</v>
      </c>
      <c r="I19" s="95">
        <v>0</v>
      </c>
    </row>
    <row r="20" spans="1:9" ht="14.1" customHeight="1" x14ac:dyDescent="0.2">
      <c r="A20" s="95" t="s">
        <v>1299</v>
      </c>
      <c r="B20" s="95">
        <v>1</v>
      </c>
      <c r="C20" s="95" t="s">
        <v>487</v>
      </c>
      <c r="D20" s="95">
        <v>2012</v>
      </c>
      <c r="E20" s="95">
        <v>6.8641640540997191</v>
      </c>
      <c r="F20" s="95" t="s">
        <v>567</v>
      </c>
      <c r="G20" s="95">
        <v>0</v>
      </c>
      <c r="H20" s="95" t="s">
        <v>567</v>
      </c>
      <c r="I20" s="95">
        <v>0</v>
      </c>
    </row>
    <row r="21" spans="1:9" ht="14.1" customHeight="1" x14ac:dyDescent="0.2">
      <c r="A21" s="95" t="s">
        <v>1300</v>
      </c>
      <c r="B21" s="95">
        <v>1</v>
      </c>
      <c r="C21" s="95" t="s">
        <v>486</v>
      </c>
      <c r="D21" s="95">
        <v>2012</v>
      </c>
      <c r="E21" s="95">
        <v>5.6016158710687201</v>
      </c>
      <c r="F21" s="95" t="s">
        <v>568</v>
      </c>
      <c r="G21" s="95">
        <v>0</v>
      </c>
      <c r="H21" s="95" t="s">
        <v>568</v>
      </c>
      <c r="I21" s="95">
        <v>0</v>
      </c>
    </row>
    <row r="22" spans="1:9" ht="14.1" customHeight="1" x14ac:dyDescent="0.2">
      <c r="A22" s="95" t="s">
        <v>1301</v>
      </c>
      <c r="B22" s="95">
        <v>1</v>
      </c>
      <c r="C22" s="95" t="s">
        <v>482</v>
      </c>
      <c r="D22" s="95">
        <v>2012</v>
      </c>
      <c r="E22" s="95">
        <v>7.8</v>
      </c>
      <c r="F22" s="95" t="s">
        <v>1273</v>
      </c>
      <c r="G22" s="95" t="s">
        <v>565</v>
      </c>
      <c r="H22" s="95" t="s">
        <v>1273</v>
      </c>
      <c r="I22" s="95" t="s">
        <v>802</v>
      </c>
    </row>
    <row r="23" spans="1:9" ht="14.1" customHeight="1" x14ac:dyDescent="0.2">
      <c r="A23" s="95" t="s">
        <v>1302</v>
      </c>
      <c r="B23" s="95">
        <v>1</v>
      </c>
      <c r="C23" s="95" t="s">
        <v>481</v>
      </c>
      <c r="D23" s="95">
        <v>2012</v>
      </c>
      <c r="E23" s="95">
        <v>5.9218808907268796</v>
      </c>
      <c r="F23" s="95" t="s">
        <v>508</v>
      </c>
      <c r="G23" s="95">
        <v>0</v>
      </c>
      <c r="H23" s="95" t="s">
        <v>508</v>
      </c>
      <c r="I23" s="95">
        <v>0</v>
      </c>
    </row>
    <row r="24" spans="1:9" ht="14.1" customHeight="1" x14ac:dyDescent="0.2">
      <c r="A24" s="95" t="s">
        <v>1303</v>
      </c>
      <c r="B24" s="95">
        <v>1</v>
      </c>
      <c r="C24" s="95" t="s">
        <v>484</v>
      </c>
      <c r="D24" s="95">
        <v>2012</v>
      </c>
      <c r="E24" s="95">
        <v>5</v>
      </c>
      <c r="F24" s="95" t="s">
        <v>1273</v>
      </c>
      <c r="G24" s="95" t="s">
        <v>565</v>
      </c>
      <c r="H24" s="95" t="s">
        <v>1273</v>
      </c>
      <c r="I24" s="95" t="s">
        <v>802</v>
      </c>
    </row>
    <row r="25" spans="1:9" ht="14.1" customHeight="1" x14ac:dyDescent="0.2">
      <c r="A25" s="95" t="s">
        <v>1304</v>
      </c>
      <c r="B25" s="95">
        <v>1</v>
      </c>
      <c r="C25" s="95" t="s">
        <v>485</v>
      </c>
      <c r="D25" s="95">
        <v>2012</v>
      </c>
      <c r="E25" s="95">
        <v>17.599999999999998</v>
      </c>
      <c r="F25" s="95" t="s">
        <v>1273</v>
      </c>
      <c r="G25" s="95" t="s">
        <v>565</v>
      </c>
      <c r="H25" s="95" t="s">
        <v>1273</v>
      </c>
      <c r="I25" s="95" t="s">
        <v>802</v>
      </c>
    </row>
    <row r="26" spans="1:9" ht="14.1" customHeight="1" x14ac:dyDescent="0.2">
      <c r="A26" s="95" t="s">
        <v>1305</v>
      </c>
      <c r="B26" s="95">
        <v>1</v>
      </c>
      <c r="C26" s="95" t="s">
        <v>489</v>
      </c>
      <c r="D26" s="95">
        <v>2012</v>
      </c>
      <c r="E26" s="95">
        <v>8.4378989177878498</v>
      </c>
      <c r="F26" s="95" t="s">
        <v>803</v>
      </c>
      <c r="G26" s="95">
        <v>0</v>
      </c>
      <c r="H26" s="95" t="s">
        <v>803</v>
      </c>
      <c r="I26" s="95">
        <v>0</v>
      </c>
    </row>
    <row r="27" spans="1:9" ht="14.1" customHeight="1" x14ac:dyDescent="0.2">
      <c r="A27" s="95" t="s">
        <v>1306</v>
      </c>
      <c r="B27" s="95">
        <v>2</v>
      </c>
      <c r="C27" s="95" t="s">
        <v>518</v>
      </c>
      <c r="D27" s="95">
        <v>2012</v>
      </c>
      <c r="E27" s="95">
        <v>41.116745999999999</v>
      </c>
      <c r="F27" s="95" t="s">
        <v>569</v>
      </c>
      <c r="G27" s="95" t="s">
        <v>804</v>
      </c>
      <c r="H27" s="95" t="s">
        <v>569</v>
      </c>
      <c r="I27" s="95" t="s">
        <v>805</v>
      </c>
    </row>
    <row r="28" spans="1:9" ht="14.1" customHeight="1" x14ac:dyDescent="0.2">
      <c r="A28" s="95" t="s">
        <v>1307</v>
      </c>
      <c r="B28" s="95">
        <v>2</v>
      </c>
      <c r="C28" s="95" t="s">
        <v>520</v>
      </c>
      <c r="D28" s="95">
        <v>2012</v>
      </c>
      <c r="E28" s="95">
        <v>0.27451900000000001</v>
      </c>
      <c r="F28" s="95" t="s">
        <v>569</v>
      </c>
      <c r="G28" s="95" t="s">
        <v>804</v>
      </c>
      <c r="H28" s="95" t="s">
        <v>569</v>
      </c>
      <c r="I28" s="95" t="s">
        <v>805</v>
      </c>
    </row>
    <row r="29" spans="1:9" ht="14.1" customHeight="1" x14ac:dyDescent="0.2">
      <c r="A29" s="95" t="s">
        <v>1308</v>
      </c>
      <c r="B29" s="95">
        <v>2</v>
      </c>
      <c r="C29" s="95" t="s">
        <v>522</v>
      </c>
      <c r="D29" s="95">
        <v>2012</v>
      </c>
      <c r="E29" s="95">
        <v>10.029999999999999</v>
      </c>
      <c r="F29" s="95" t="s">
        <v>569</v>
      </c>
      <c r="G29" s="95" t="s">
        <v>806</v>
      </c>
      <c r="H29" s="95" t="s">
        <v>569</v>
      </c>
      <c r="I29" s="95" t="s">
        <v>807</v>
      </c>
    </row>
    <row r="30" spans="1:9" ht="14.1" customHeight="1" x14ac:dyDescent="0.2">
      <c r="A30" s="95" t="s">
        <v>1309</v>
      </c>
      <c r="B30" s="95">
        <v>2</v>
      </c>
      <c r="C30" s="95" t="s">
        <v>524</v>
      </c>
      <c r="D30" s="95">
        <v>2012</v>
      </c>
      <c r="E30" s="95">
        <v>198.36355800000001</v>
      </c>
      <c r="F30" s="95" t="s">
        <v>569</v>
      </c>
      <c r="G30" s="95" t="s">
        <v>804</v>
      </c>
      <c r="H30" s="95" t="s">
        <v>569</v>
      </c>
      <c r="I30" s="95" t="s">
        <v>805</v>
      </c>
    </row>
    <row r="31" spans="1:9" ht="14.1" customHeight="1" x14ac:dyDescent="0.2">
      <c r="A31" s="95" t="s">
        <v>1310</v>
      </c>
      <c r="B31" s="95">
        <v>2</v>
      </c>
      <c r="C31" s="95" t="s">
        <v>526</v>
      </c>
      <c r="D31" s="95">
        <v>2012</v>
      </c>
      <c r="E31" s="95">
        <v>0.35199999999999998</v>
      </c>
      <c r="F31" s="95" t="s">
        <v>569</v>
      </c>
      <c r="G31" s="95" t="s">
        <v>806</v>
      </c>
      <c r="H31" s="95" t="s">
        <v>569</v>
      </c>
      <c r="I31" s="95" t="s">
        <v>807</v>
      </c>
    </row>
    <row r="32" spans="1:9" ht="14.1" customHeight="1" x14ac:dyDescent="0.2">
      <c r="A32" s="95" t="s">
        <v>1311</v>
      </c>
      <c r="B32" s="95">
        <v>2</v>
      </c>
      <c r="C32" s="95" t="s">
        <v>528</v>
      </c>
      <c r="D32" s="95">
        <v>2012</v>
      </c>
      <c r="E32" s="95">
        <v>17.402999999999999</v>
      </c>
      <c r="F32" s="95" t="s">
        <v>507</v>
      </c>
      <c r="G32" s="95" t="s">
        <v>806</v>
      </c>
      <c r="H32" s="95" t="s">
        <v>507</v>
      </c>
      <c r="I32" s="95" t="s">
        <v>807</v>
      </c>
    </row>
    <row r="33" spans="1:9" ht="14.1" customHeight="1" x14ac:dyDescent="0.2">
      <c r="A33" s="95" t="s">
        <v>1312</v>
      </c>
      <c r="B33" s="95">
        <v>2</v>
      </c>
      <c r="C33" s="95" t="s">
        <v>530</v>
      </c>
      <c r="D33" s="95">
        <v>2012</v>
      </c>
      <c r="E33" s="95">
        <v>14.867371</v>
      </c>
      <c r="F33" s="95" t="s">
        <v>569</v>
      </c>
      <c r="G33" s="95" t="s">
        <v>808</v>
      </c>
      <c r="H33" s="95" t="s">
        <v>569</v>
      </c>
      <c r="I33" s="95" t="s">
        <v>805</v>
      </c>
    </row>
    <row r="34" spans="1:9" ht="14.1" customHeight="1" x14ac:dyDescent="0.2">
      <c r="A34" s="95" t="s">
        <v>1313</v>
      </c>
      <c r="B34" s="95">
        <v>2</v>
      </c>
      <c r="C34" s="95" t="s">
        <v>532</v>
      </c>
      <c r="D34" s="95">
        <v>2012</v>
      </c>
      <c r="E34" s="95">
        <v>0.75758700000000001</v>
      </c>
      <c r="F34" s="95" t="s">
        <v>569</v>
      </c>
      <c r="G34" s="95" t="s">
        <v>808</v>
      </c>
      <c r="H34" s="95" t="s">
        <v>569</v>
      </c>
      <c r="I34" s="95" t="s">
        <v>805</v>
      </c>
    </row>
    <row r="35" spans="1:9" ht="14.1" customHeight="1" x14ac:dyDescent="0.2">
      <c r="A35" s="95" t="s">
        <v>1314</v>
      </c>
      <c r="B35" s="95">
        <v>2</v>
      </c>
      <c r="C35" s="95" t="s">
        <v>534</v>
      </c>
      <c r="D35" s="95">
        <v>2012</v>
      </c>
      <c r="E35" s="95">
        <v>10.254327</v>
      </c>
      <c r="F35" s="95" t="s">
        <v>569</v>
      </c>
      <c r="G35" s="95" t="s">
        <v>808</v>
      </c>
      <c r="H35" s="95" t="s">
        <v>569</v>
      </c>
      <c r="I35" s="95" t="s">
        <v>805</v>
      </c>
    </row>
    <row r="36" spans="1:9" ht="14.1" customHeight="1" x14ac:dyDescent="0.2">
      <c r="A36" s="95" t="s">
        <v>1315</v>
      </c>
      <c r="B36" s="95">
        <v>2</v>
      </c>
      <c r="C36" s="95" t="s">
        <v>536</v>
      </c>
      <c r="D36" s="95">
        <v>2012</v>
      </c>
      <c r="E36" s="95">
        <v>2.7114760000000002</v>
      </c>
      <c r="F36" s="95" t="s">
        <v>569</v>
      </c>
      <c r="G36" s="95" t="s">
        <v>809</v>
      </c>
      <c r="H36" s="95" t="s">
        <v>569</v>
      </c>
      <c r="I36" s="95" t="s">
        <v>807</v>
      </c>
    </row>
    <row r="37" spans="1:9" ht="14.1" customHeight="1" x14ac:dyDescent="0.2">
      <c r="A37" s="95" t="s">
        <v>1316</v>
      </c>
      <c r="B37" s="95">
        <v>2</v>
      </c>
      <c r="C37" s="95" t="s">
        <v>538</v>
      </c>
      <c r="D37" s="95">
        <v>2012</v>
      </c>
      <c r="E37" s="95">
        <v>30.474</v>
      </c>
      <c r="F37" s="95" t="s">
        <v>507</v>
      </c>
      <c r="G37" s="95" t="s">
        <v>809</v>
      </c>
      <c r="H37" s="95" t="s">
        <v>507</v>
      </c>
      <c r="I37" s="95" t="s">
        <v>807</v>
      </c>
    </row>
    <row r="38" spans="1:9" ht="14.1" customHeight="1" x14ac:dyDescent="0.2">
      <c r="A38" s="95" t="s">
        <v>1317</v>
      </c>
      <c r="B38" s="95">
        <v>2</v>
      </c>
      <c r="C38" s="95" t="s">
        <v>540</v>
      </c>
      <c r="D38" s="95">
        <v>2012</v>
      </c>
      <c r="E38" s="95">
        <v>6.6820320000000004</v>
      </c>
      <c r="F38" s="95" t="s">
        <v>569</v>
      </c>
      <c r="G38" s="95" t="s">
        <v>808</v>
      </c>
      <c r="H38" s="95" t="s">
        <v>569</v>
      </c>
      <c r="I38" s="95" t="s">
        <v>805</v>
      </c>
    </row>
    <row r="39" spans="1:9" ht="14.1" customHeight="1" x14ac:dyDescent="0.2">
      <c r="A39" s="95" t="s">
        <v>1318</v>
      </c>
      <c r="B39" s="95">
        <v>2</v>
      </c>
      <c r="C39" s="95" t="s">
        <v>542</v>
      </c>
      <c r="D39" s="95">
        <v>2012</v>
      </c>
      <c r="E39" s="95">
        <v>0.54600000000000004</v>
      </c>
      <c r="F39" s="95" t="s">
        <v>507</v>
      </c>
      <c r="G39" s="95" t="s">
        <v>809</v>
      </c>
      <c r="H39" s="95" t="s">
        <v>507</v>
      </c>
      <c r="I39" s="95" t="s">
        <v>807</v>
      </c>
    </row>
    <row r="40" spans="1:9" ht="14.1" customHeight="1" x14ac:dyDescent="0.2">
      <c r="A40" s="95" t="s">
        <v>1319</v>
      </c>
      <c r="B40" s="95">
        <v>2</v>
      </c>
      <c r="C40" s="95" t="s">
        <v>544</v>
      </c>
      <c r="D40" s="95">
        <v>2012</v>
      </c>
      <c r="E40" s="95">
        <v>1.329</v>
      </c>
      <c r="F40" s="95" t="s">
        <v>507</v>
      </c>
      <c r="G40" s="95" t="s">
        <v>809</v>
      </c>
      <c r="H40" s="95" t="s">
        <v>507</v>
      </c>
      <c r="I40" s="95" t="s">
        <v>807</v>
      </c>
    </row>
    <row r="41" spans="1:9" ht="14.1" customHeight="1" x14ac:dyDescent="0.2">
      <c r="A41" s="95" t="s">
        <v>1320</v>
      </c>
      <c r="B41" s="95">
        <v>2</v>
      </c>
      <c r="C41" s="95" t="s">
        <v>546</v>
      </c>
      <c r="D41" s="95">
        <v>2012</v>
      </c>
      <c r="E41" s="95">
        <v>3.3809999999999998</v>
      </c>
      <c r="F41" s="95" t="s">
        <v>569</v>
      </c>
      <c r="G41" s="95" t="s">
        <v>809</v>
      </c>
      <c r="H41" s="95" t="s">
        <v>569</v>
      </c>
      <c r="I41" s="95" t="s">
        <v>807</v>
      </c>
    </row>
    <row r="42" spans="1:9" ht="14.1" customHeight="1" x14ac:dyDescent="0.2">
      <c r="A42" s="95" t="s">
        <v>1321</v>
      </c>
      <c r="B42" s="95">
        <v>2</v>
      </c>
      <c r="C42" s="95" t="s">
        <v>548</v>
      </c>
      <c r="D42" s="95">
        <v>2012</v>
      </c>
      <c r="E42" s="95">
        <v>29.516999999999999</v>
      </c>
      <c r="F42" s="95" t="s">
        <v>507</v>
      </c>
      <c r="G42" s="95" t="s">
        <v>809</v>
      </c>
      <c r="H42" s="95" t="s">
        <v>507</v>
      </c>
      <c r="I42" s="95" t="s">
        <v>807</v>
      </c>
    </row>
    <row r="43" spans="1:9" ht="14.1" customHeight="1" x14ac:dyDescent="0.2">
      <c r="A43" s="95" t="s">
        <v>1322</v>
      </c>
      <c r="B43" s="95">
        <v>2</v>
      </c>
      <c r="C43" s="95" t="s">
        <v>483</v>
      </c>
      <c r="D43" s="95">
        <v>2012</v>
      </c>
      <c r="E43" s="95">
        <v>0.34195588378800001</v>
      </c>
      <c r="F43" s="95" t="s">
        <v>507</v>
      </c>
      <c r="G43" s="95">
        <v>0</v>
      </c>
      <c r="H43" s="95" t="s">
        <v>507</v>
      </c>
      <c r="I43" s="95">
        <v>0</v>
      </c>
    </row>
    <row r="44" spans="1:9" ht="14.1" customHeight="1" x14ac:dyDescent="0.2">
      <c r="A44" s="95" t="s">
        <v>1323</v>
      </c>
      <c r="B44" s="95">
        <v>2</v>
      </c>
      <c r="C44" s="95" t="s">
        <v>488</v>
      </c>
      <c r="D44" s="95">
        <v>2012</v>
      </c>
      <c r="E44" s="95">
        <v>46.597999999999999</v>
      </c>
      <c r="F44" s="95" t="s">
        <v>507</v>
      </c>
      <c r="G44" s="95">
        <v>0</v>
      </c>
      <c r="H44" s="95" t="s">
        <v>507</v>
      </c>
      <c r="I44" s="95">
        <v>0</v>
      </c>
    </row>
    <row r="45" spans="1:9" ht="14.1" customHeight="1" x14ac:dyDescent="0.2">
      <c r="A45" s="95" t="s">
        <v>1324</v>
      </c>
      <c r="B45" s="95">
        <v>2</v>
      </c>
      <c r="C45" s="95" t="s">
        <v>487</v>
      </c>
      <c r="D45" s="95">
        <v>2012</v>
      </c>
      <c r="E45" s="95">
        <v>4.782</v>
      </c>
      <c r="F45" s="95" t="s">
        <v>570</v>
      </c>
      <c r="G45" s="95">
        <v>0</v>
      </c>
      <c r="H45" s="95" t="s">
        <v>570</v>
      </c>
      <c r="I45" s="95">
        <v>0</v>
      </c>
    </row>
    <row r="46" spans="1:9" ht="14.1" customHeight="1" x14ac:dyDescent="0.2">
      <c r="A46" s="95" t="s">
        <v>1325</v>
      </c>
      <c r="B46" s="95">
        <v>2</v>
      </c>
      <c r="C46" s="95" t="s">
        <v>486</v>
      </c>
      <c r="D46" s="95">
        <v>2012</v>
      </c>
      <c r="E46" s="95">
        <v>6.2492619999999999</v>
      </c>
      <c r="F46" s="95" t="s">
        <v>568</v>
      </c>
      <c r="G46" s="95">
        <v>0</v>
      </c>
      <c r="H46" s="95" t="s">
        <v>568</v>
      </c>
      <c r="I46" s="95">
        <v>0</v>
      </c>
    </row>
    <row r="47" spans="1:9" ht="14.1" customHeight="1" x14ac:dyDescent="0.2">
      <c r="A47" s="95" t="s">
        <v>1326</v>
      </c>
      <c r="B47" s="95">
        <v>2</v>
      </c>
      <c r="C47" s="95" t="s">
        <v>482</v>
      </c>
      <c r="D47" s="95">
        <v>2012</v>
      </c>
      <c r="E47" s="95">
        <v>15.105</v>
      </c>
      <c r="F47" s="95" t="s">
        <v>507</v>
      </c>
      <c r="G47" s="95">
        <v>0</v>
      </c>
      <c r="H47" s="95" t="s">
        <v>507</v>
      </c>
      <c r="I47" s="95">
        <v>0</v>
      </c>
    </row>
    <row r="48" spans="1:9" ht="14.1" customHeight="1" x14ac:dyDescent="0.2">
      <c r="A48" s="95" t="s">
        <v>1327</v>
      </c>
      <c r="B48" s="95">
        <v>2</v>
      </c>
      <c r="C48" s="95" t="s">
        <v>490</v>
      </c>
      <c r="D48" s="95">
        <v>2012</v>
      </c>
      <c r="E48" s="95">
        <v>8.2010000000000005</v>
      </c>
      <c r="F48" s="95" t="s">
        <v>507</v>
      </c>
      <c r="G48" s="95">
        <v>0</v>
      </c>
      <c r="H48" s="95" t="s">
        <v>507</v>
      </c>
      <c r="I48" s="95">
        <v>0</v>
      </c>
    </row>
    <row r="49" spans="1:9" ht="14.1" customHeight="1" x14ac:dyDescent="0.2">
      <c r="A49" s="95" t="s">
        <v>1328</v>
      </c>
      <c r="B49" s="95">
        <v>2</v>
      </c>
      <c r="C49" s="95" t="s">
        <v>481</v>
      </c>
      <c r="D49" s="95">
        <v>2012</v>
      </c>
      <c r="E49" s="95">
        <v>114.872</v>
      </c>
      <c r="F49" s="95" t="s">
        <v>569</v>
      </c>
      <c r="G49" s="95">
        <v>0</v>
      </c>
      <c r="H49" s="95" t="s">
        <v>569</v>
      </c>
      <c r="I49" s="95">
        <v>0</v>
      </c>
    </row>
    <row r="50" spans="1:9" ht="14.1" customHeight="1" x14ac:dyDescent="0.2">
      <c r="A50" s="95" t="s">
        <v>1329</v>
      </c>
      <c r="B50" s="95">
        <v>2</v>
      </c>
      <c r="C50" s="95" t="s">
        <v>484</v>
      </c>
      <c r="D50" s="95">
        <v>2012</v>
      </c>
      <c r="E50" s="95">
        <v>5.9809999999999999</v>
      </c>
      <c r="F50" s="95" t="s">
        <v>507</v>
      </c>
      <c r="G50" s="95">
        <v>0</v>
      </c>
      <c r="H50" s="95" t="s">
        <v>507</v>
      </c>
      <c r="I50" s="95">
        <v>0</v>
      </c>
    </row>
    <row r="51" spans="1:9" ht="14.1" customHeight="1" x14ac:dyDescent="0.2">
      <c r="A51" s="95" t="s">
        <v>1330</v>
      </c>
      <c r="B51" s="95">
        <v>2</v>
      </c>
      <c r="C51" s="95" t="s">
        <v>485</v>
      </c>
      <c r="D51" s="95">
        <v>2012</v>
      </c>
      <c r="E51" s="95">
        <v>3.6549999999999998</v>
      </c>
      <c r="F51" s="95" t="s">
        <v>507</v>
      </c>
      <c r="G51" s="95">
        <v>0</v>
      </c>
      <c r="H51" s="95" t="s">
        <v>507</v>
      </c>
      <c r="I51" s="95">
        <v>0</v>
      </c>
    </row>
    <row r="52" spans="1:9" ht="14.1" customHeight="1" x14ac:dyDescent="0.2">
      <c r="A52" s="95" t="s">
        <v>1331</v>
      </c>
      <c r="B52" s="95">
        <v>2</v>
      </c>
      <c r="C52" s="95" t="s">
        <v>489</v>
      </c>
      <c r="D52" s="95">
        <v>2012</v>
      </c>
      <c r="E52" s="95">
        <v>10.237</v>
      </c>
      <c r="F52" s="95" t="s">
        <v>507</v>
      </c>
      <c r="G52" s="95">
        <v>0</v>
      </c>
      <c r="H52" s="95" t="s">
        <v>507</v>
      </c>
      <c r="I52" s="95">
        <v>0</v>
      </c>
    </row>
    <row r="53" spans="1:9" ht="14.1" customHeight="1" x14ac:dyDescent="0.2">
      <c r="A53" s="95" t="s">
        <v>1332</v>
      </c>
      <c r="B53" s="95">
        <v>3</v>
      </c>
      <c r="C53" s="95" t="s">
        <v>518</v>
      </c>
      <c r="D53" s="95">
        <v>2012</v>
      </c>
      <c r="E53" s="95">
        <v>2780400</v>
      </c>
      <c r="F53" s="95" t="s">
        <v>569</v>
      </c>
      <c r="G53" s="95" t="s">
        <v>809</v>
      </c>
      <c r="H53" s="95" t="s">
        <v>569</v>
      </c>
      <c r="I53" s="95" t="s">
        <v>807</v>
      </c>
    </row>
    <row r="54" spans="1:9" ht="14.1" customHeight="1" x14ac:dyDescent="0.2">
      <c r="A54" s="95" t="s">
        <v>1333</v>
      </c>
      <c r="B54" s="95">
        <v>3</v>
      </c>
      <c r="C54" s="95" t="s">
        <v>520</v>
      </c>
      <c r="D54" s="95">
        <v>2012</v>
      </c>
      <c r="E54" s="95">
        <v>430</v>
      </c>
      <c r="F54" s="95" t="s">
        <v>569</v>
      </c>
      <c r="G54" s="95" t="s">
        <v>809</v>
      </c>
      <c r="H54" s="95" t="s">
        <v>569</v>
      </c>
      <c r="I54" s="95" t="s">
        <v>807</v>
      </c>
    </row>
    <row r="55" spans="1:9" ht="14.1" customHeight="1" x14ac:dyDescent="0.2">
      <c r="A55" s="95" t="s">
        <v>1334</v>
      </c>
      <c r="B55" s="95">
        <v>3</v>
      </c>
      <c r="C55" s="95" t="s">
        <v>522</v>
      </c>
      <c r="D55" s="95">
        <v>2012</v>
      </c>
      <c r="E55" s="95">
        <v>1098581</v>
      </c>
      <c r="F55" s="95" t="s">
        <v>569</v>
      </c>
      <c r="G55" s="95" t="s">
        <v>809</v>
      </c>
      <c r="H55" s="95" t="s">
        <v>569</v>
      </c>
      <c r="I55" s="95" t="s">
        <v>807</v>
      </c>
    </row>
    <row r="56" spans="1:9" ht="14.1" customHeight="1" x14ac:dyDescent="0.2">
      <c r="A56" s="95" t="s">
        <v>1335</v>
      </c>
      <c r="B56" s="95">
        <v>3</v>
      </c>
      <c r="C56" s="95" t="s">
        <v>524</v>
      </c>
      <c r="D56" s="95">
        <v>2012</v>
      </c>
      <c r="E56" s="95">
        <v>8514880</v>
      </c>
      <c r="F56" s="95" t="s">
        <v>569</v>
      </c>
      <c r="G56" s="95" t="s">
        <v>809</v>
      </c>
      <c r="H56" s="95" t="s">
        <v>569</v>
      </c>
      <c r="I56" s="95" t="s">
        <v>807</v>
      </c>
    </row>
    <row r="57" spans="1:9" ht="14.1" customHeight="1" x14ac:dyDescent="0.2">
      <c r="A57" s="95" t="s">
        <v>1336</v>
      </c>
      <c r="B57" s="95">
        <v>3</v>
      </c>
      <c r="C57" s="95" t="s">
        <v>526</v>
      </c>
      <c r="D57" s="95">
        <v>2012</v>
      </c>
      <c r="E57" s="95">
        <v>13880</v>
      </c>
      <c r="F57" s="95" t="s">
        <v>569</v>
      </c>
      <c r="G57" s="95" t="s">
        <v>809</v>
      </c>
      <c r="H57" s="95" t="s">
        <v>569</v>
      </c>
      <c r="I57" s="95" t="s">
        <v>807</v>
      </c>
    </row>
    <row r="58" spans="1:9" ht="14.1" customHeight="1" x14ac:dyDescent="0.2">
      <c r="A58" s="95" t="s">
        <v>1337</v>
      </c>
      <c r="B58" s="95">
        <v>3</v>
      </c>
      <c r="C58" s="95" t="s">
        <v>528</v>
      </c>
      <c r="D58" s="95">
        <v>2012</v>
      </c>
      <c r="E58" s="95">
        <v>756090</v>
      </c>
      <c r="F58" s="95" t="s">
        <v>569</v>
      </c>
      <c r="G58" s="95" t="s">
        <v>809</v>
      </c>
      <c r="H58" s="95" t="s">
        <v>569</v>
      </c>
      <c r="I58" s="95" t="s">
        <v>807</v>
      </c>
    </row>
    <row r="59" spans="1:9" ht="14.1" customHeight="1" x14ac:dyDescent="0.2">
      <c r="A59" s="95" t="s">
        <v>1338</v>
      </c>
      <c r="B59" s="95">
        <v>3</v>
      </c>
      <c r="C59" s="95" t="s">
        <v>530</v>
      </c>
      <c r="D59" s="95">
        <v>2012</v>
      </c>
      <c r="E59" s="95">
        <v>256370</v>
      </c>
      <c r="F59" s="95" t="s">
        <v>569</v>
      </c>
      <c r="G59" s="95" t="s">
        <v>809</v>
      </c>
      <c r="H59" s="95" t="s">
        <v>569</v>
      </c>
      <c r="I59" s="95" t="s">
        <v>807</v>
      </c>
    </row>
    <row r="60" spans="1:9" ht="14.1" customHeight="1" x14ac:dyDescent="0.2">
      <c r="A60" s="95" t="s">
        <v>1339</v>
      </c>
      <c r="B60" s="95">
        <v>3</v>
      </c>
      <c r="C60" s="95" t="s">
        <v>532</v>
      </c>
      <c r="D60" s="95">
        <v>2012</v>
      </c>
      <c r="E60" s="95">
        <v>214970</v>
      </c>
      <c r="F60" s="95" t="s">
        <v>569</v>
      </c>
      <c r="G60" s="95" t="s">
        <v>809</v>
      </c>
      <c r="H60" s="95" t="s">
        <v>569</v>
      </c>
      <c r="I60" s="95" t="s">
        <v>807</v>
      </c>
    </row>
    <row r="61" spans="1:9" ht="14.1" customHeight="1" x14ac:dyDescent="0.2">
      <c r="A61" s="95" t="s">
        <v>1340</v>
      </c>
      <c r="B61" s="95">
        <v>3</v>
      </c>
      <c r="C61" s="95" t="s">
        <v>534</v>
      </c>
      <c r="D61" s="95">
        <v>2012</v>
      </c>
      <c r="E61" s="95">
        <v>27750</v>
      </c>
      <c r="F61" s="95" t="s">
        <v>569</v>
      </c>
      <c r="G61" s="95" t="s">
        <v>809</v>
      </c>
      <c r="H61" s="95" t="s">
        <v>569</v>
      </c>
      <c r="I61" s="95" t="s">
        <v>807</v>
      </c>
    </row>
    <row r="62" spans="1:9" ht="14.1" customHeight="1" x14ac:dyDescent="0.2">
      <c r="A62" s="95" t="s">
        <v>1341</v>
      </c>
      <c r="B62" s="95">
        <v>3</v>
      </c>
      <c r="C62" s="95" t="s">
        <v>536</v>
      </c>
      <c r="D62" s="95">
        <v>2012</v>
      </c>
      <c r="E62" s="95">
        <v>10990</v>
      </c>
      <c r="F62" s="95" t="s">
        <v>569</v>
      </c>
      <c r="G62" s="95" t="s">
        <v>809</v>
      </c>
      <c r="H62" s="95" t="s">
        <v>569</v>
      </c>
      <c r="I62" s="95" t="s">
        <v>807</v>
      </c>
    </row>
    <row r="63" spans="1:9" ht="14.1" customHeight="1" x14ac:dyDescent="0.2">
      <c r="A63" s="95" t="s">
        <v>1342</v>
      </c>
      <c r="B63" s="95">
        <v>3</v>
      </c>
      <c r="C63" s="95" t="s">
        <v>538</v>
      </c>
      <c r="D63" s="95">
        <v>2012</v>
      </c>
      <c r="E63" s="95">
        <v>1285220</v>
      </c>
      <c r="F63" s="95" t="s">
        <v>569</v>
      </c>
      <c r="G63" s="95" t="s">
        <v>809</v>
      </c>
      <c r="H63" s="95" t="s">
        <v>569</v>
      </c>
      <c r="I63" s="95" t="s">
        <v>807</v>
      </c>
    </row>
    <row r="64" spans="1:9" ht="14.1" customHeight="1" x14ac:dyDescent="0.2">
      <c r="A64" s="95" t="s">
        <v>1343</v>
      </c>
      <c r="B64" s="95">
        <v>3</v>
      </c>
      <c r="C64" s="95" t="s">
        <v>540</v>
      </c>
      <c r="D64" s="95">
        <v>2012</v>
      </c>
      <c r="E64" s="95">
        <v>406750</v>
      </c>
      <c r="F64" s="95" t="s">
        <v>569</v>
      </c>
      <c r="G64" s="95" t="s">
        <v>809</v>
      </c>
      <c r="H64" s="95" t="s">
        <v>569</v>
      </c>
      <c r="I64" s="95" t="s">
        <v>807</v>
      </c>
    </row>
    <row r="65" spans="1:9" ht="14.1" customHeight="1" x14ac:dyDescent="0.2">
      <c r="A65" s="95" t="s">
        <v>1344</v>
      </c>
      <c r="B65" s="95">
        <v>3</v>
      </c>
      <c r="C65" s="95" t="s">
        <v>542</v>
      </c>
      <c r="D65" s="95">
        <v>2012</v>
      </c>
      <c r="E65" s="95">
        <v>163820</v>
      </c>
      <c r="F65" s="95" t="s">
        <v>569</v>
      </c>
      <c r="G65" s="95" t="s">
        <v>809</v>
      </c>
      <c r="H65" s="95" t="s">
        <v>569</v>
      </c>
      <c r="I65" s="95" t="s">
        <v>807</v>
      </c>
    </row>
    <row r="66" spans="1:9" ht="14.1" customHeight="1" x14ac:dyDescent="0.2">
      <c r="A66" s="95" t="s">
        <v>1345</v>
      </c>
      <c r="B66" s="95">
        <v>3</v>
      </c>
      <c r="C66" s="95" t="s">
        <v>544</v>
      </c>
      <c r="D66" s="95">
        <v>2012</v>
      </c>
      <c r="E66" s="95">
        <v>5130</v>
      </c>
      <c r="F66" s="95" t="s">
        <v>569</v>
      </c>
      <c r="G66" s="95" t="s">
        <v>809</v>
      </c>
      <c r="H66" s="95" t="s">
        <v>569</v>
      </c>
      <c r="I66" s="95" t="s">
        <v>807</v>
      </c>
    </row>
    <row r="67" spans="1:9" ht="14.1" customHeight="1" x14ac:dyDescent="0.2">
      <c r="A67" s="95" t="s">
        <v>1346</v>
      </c>
      <c r="B67" s="95">
        <v>3</v>
      </c>
      <c r="C67" s="95" t="s">
        <v>546</v>
      </c>
      <c r="D67" s="95">
        <v>2012</v>
      </c>
      <c r="E67" s="95">
        <v>176220</v>
      </c>
      <c r="F67" s="95" t="s">
        <v>569</v>
      </c>
      <c r="G67" s="95" t="s">
        <v>809</v>
      </c>
      <c r="H67" s="95" t="s">
        <v>569</v>
      </c>
      <c r="I67" s="95" t="s">
        <v>807</v>
      </c>
    </row>
    <row r="68" spans="1:9" ht="14.1" customHeight="1" x14ac:dyDescent="0.2">
      <c r="A68" s="95" t="s">
        <v>1347</v>
      </c>
      <c r="B68" s="95">
        <v>3</v>
      </c>
      <c r="C68" s="95" t="s">
        <v>548</v>
      </c>
      <c r="D68" s="95">
        <v>2012</v>
      </c>
      <c r="E68" s="95">
        <v>912050</v>
      </c>
      <c r="F68" s="95" t="s">
        <v>569</v>
      </c>
      <c r="G68" s="95" t="s">
        <v>809</v>
      </c>
      <c r="H68" s="95" t="s">
        <v>569</v>
      </c>
      <c r="I68" s="95" t="s">
        <v>807</v>
      </c>
    </row>
    <row r="69" spans="1:9" ht="14.1" customHeight="1" x14ac:dyDescent="0.2">
      <c r="A69" s="95" t="s">
        <v>1348</v>
      </c>
      <c r="B69" s="95">
        <v>3</v>
      </c>
      <c r="C69" s="95" t="s">
        <v>483</v>
      </c>
      <c r="D69" s="95">
        <v>2012</v>
      </c>
      <c r="E69" s="95">
        <v>22970</v>
      </c>
      <c r="F69" s="95" t="s">
        <v>1273</v>
      </c>
      <c r="G69" s="95">
        <v>0</v>
      </c>
      <c r="H69" s="95" t="s">
        <v>1273</v>
      </c>
      <c r="I69" s="95">
        <v>0</v>
      </c>
    </row>
    <row r="70" spans="1:9" ht="14.1" customHeight="1" x14ac:dyDescent="0.2">
      <c r="A70" s="95" t="s">
        <v>1349</v>
      </c>
      <c r="B70" s="95">
        <v>3</v>
      </c>
      <c r="C70" s="95" t="s">
        <v>488</v>
      </c>
      <c r="D70" s="95">
        <v>2012</v>
      </c>
      <c r="E70" s="95">
        <v>1141748</v>
      </c>
      <c r="F70" s="95" t="s">
        <v>569</v>
      </c>
      <c r="G70" s="95">
        <v>0</v>
      </c>
      <c r="H70" s="95" t="s">
        <v>569</v>
      </c>
      <c r="I70" s="95">
        <v>0</v>
      </c>
    </row>
    <row r="71" spans="1:9" ht="14.1" customHeight="1" x14ac:dyDescent="0.2">
      <c r="A71" s="95" t="s">
        <v>1350</v>
      </c>
      <c r="B71" s="95">
        <v>3</v>
      </c>
      <c r="C71" s="95" t="s">
        <v>487</v>
      </c>
      <c r="D71" s="95">
        <v>2012</v>
      </c>
      <c r="E71" s="95">
        <v>51100</v>
      </c>
      <c r="F71" s="95" t="s">
        <v>567</v>
      </c>
      <c r="G71" s="95">
        <v>0</v>
      </c>
      <c r="H71" s="95" t="s">
        <v>567</v>
      </c>
      <c r="I71" s="95">
        <v>0</v>
      </c>
    </row>
    <row r="72" spans="1:9" ht="14.1" customHeight="1" x14ac:dyDescent="0.2">
      <c r="A72" s="95" t="s">
        <v>1351</v>
      </c>
      <c r="B72" s="95">
        <v>3</v>
      </c>
      <c r="C72" s="95" t="s">
        <v>486</v>
      </c>
      <c r="D72" s="95">
        <v>2012</v>
      </c>
      <c r="E72" s="95">
        <v>21040</v>
      </c>
      <c r="F72" s="95" t="s">
        <v>569</v>
      </c>
      <c r="G72" s="95">
        <v>0</v>
      </c>
      <c r="H72" s="95" t="s">
        <v>569</v>
      </c>
      <c r="I72" s="95">
        <v>0</v>
      </c>
    </row>
    <row r="73" spans="1:9" ht="14.1" customHeight="1" x14ac:dyDescent="0.2">
      <c r="A73" s="95" t="s">
        <v>1352</v>
      </c>
      <c r="B73" s="95">
        <v>3</v>
      </c>
      <c r="C73" s="95" t="s">
        <v>482</v>
      </c>
      <c r="D73" s="95">
        <v>2012</v>
      </c>
      <c r="E73" s="95">
        <v>108890</v>
      </c>
      <c r="F73" s="95" t="s">
        <v>569</v>
      </c>
      <c r="G73" s="95">
        <v>0</v>
      </c>
      <c r="H73" s="95" t="s">
        <v>569</v>
      </c>
      <c r="I73" s="95">
        <v>0</v>
      </c>
    </row>
    <row r="74" spans="1:9" ht="14.1" customHeight="1" x14ac:dyDescent="0.2">
      <c r="A74" s="95" t="s">
        <v>1353</v>
      </c>
      <c r="B74" s="95">
        <v>3</v>
      </c>
      <c r="C74" s="95" t="s">
        <v>490</v>
      </c>
      <c r="D74" s="95">
        <v>2012</v>
      </c>
      <c r="E74" s="95">
        <v>112490</v>
      </c>
      <c r="F74" s="95" t="s">
        <v>569</v>
      </c>
      <c r="G74" s="95">
        <v>0</v>
      </c>
      <c r="H74" s="95" t="s">
        <v>569</v>
      </c>
      <c r="I74" s="95">
        <v>0</v>
      </c>
    </row>
    <row r="75" spans="1:9" ht="14.1" customHeight="1" x14ac:dyDescent="0.2">
      <c r="A75" s="95" t="s">
        <v>1354</v>
      </c>
      <c r="B75" s="95">
        <v>3</v>
      </c>
      <c r="C75" s="95" t="s">
        <v>481</v>
      </c>
      <c r="D75" s="95">
        <v>2012</v>
      </c>
      <c r="E75" s="95">
        <v>1964380</v>
      </c>
      <c r="F75" s="95" t="s">
        <v>569</v>
      </c>
      <c r="G75" s="95">
        <v>0</v>
      </c>
      <c r="H75" s="95" t="s">
        <v>569</v>
      </c>
      <c r="I75" s="95">
        <v>0</v>
      </c>
    </row>
    <row r="76" spans="1:9" ht="14.1" customHeight="1" x14ac:dyDescent="0.2">
      <c r="A76" s="95" t="s">
        <v>1355</v>
      </c>
      <c r="B76" s="95">
        <v>3</v>
      </c>
      <c r="C76" s="95" t="s">
        <v>484</v>
      </c>
      <c r="D76" s="95">
        <v>2012</v>
      </c>
      <c r="E76" s="95">
        <v>130370</v>
      </c>
      <c r="F76" s="95" t="s">
        <v>569</v>
      </c>
      <c r="G76" s="95">
        <v>0</v>
      </c>
      <c r="H76" s="95" t="s">
        <v>569</v>
      </c>
      <c r="I76" s="95">
        <v>0</v>
      </c>
    </row>
    <row r="77" spans="1:9" ht="14.1" customHeight="1" x14ac:dyDescent="0.2">
      <c r="A77" s="95" t="s">
        <v>1356</v>
      </c>
      <c r="B77" s="95">
        <v>3</v>
      </c>
      <c r="C77" s="95" t="s">
        <v>485</v>
      </c>
      <c r="D77" s="95">
        <v>2012</v>
      </c>
      <c r="E77" s="95">
        <v>75420</v>
      </c>
      <c r="F77" s="95" t="s">
        <v>569</v>
      </c>
      <c r="G77" s="95">
        <v>0</v>
      </c>
      <c r="H77" s="95" t="s">
        <v>569</v>
      </c>
      <c r="I77" s="95">
        <v>0</v>
      </c>
    </row>
    <row r="78" spans="1:9" ht="14.1" customHeight="1" x14ac:dyDescent="0.2">
      <c r="A78" s="95" t="s">
        <v>1357</v>
      </c>
      <c r="B78" s="95">
        <v>3</v>
      </c>
      <c r="C78" s="95" t="s">
        <v>489</v>
      </c>
      <c r="D78" s="95">
        <v>2012</v>
      </c>
      <c r="E78" s="95">
        <v>48670</v>
      </c>
      <c r="F78" s="95" t="s">
        <v>569</v>
      </c>
      <c r="G78" s="95">
        <v>0</v>
      </c>
      <c r="H78" s="95" t="s">
        <v>569</v>
      </c>
      <c r="I78" s="95">
        <v>0</v>
      </c>
    </row>
    <row r="79" spans="1:9" ht="14.1" customHeight="1" x14ac:dyDescent="0.2">
      <c r="A79" s="95" t="s">
        <v>1358</v>
      </c>
      <c r="B79" s="95">
        <v>4</v>
      </c>
      <c r="C79" s="95" t="s">
        <v>518</v>
      </c>
      <c r="D79" s="95">
        <v>2012</v>
      </c>
      <c r="E79" s="95">
        <v>474.81200000000001</v>
      </c>
      <c r="F79" s="95" t="s">
        <v>507</v>
      </c>
      <c r="G79" s="95" t="s">
        <v>810</v>
      </c>
      <c r="H79" s="95" t="s">
        <v>507</v>
      </c>
      <c r="I79" s="95" t="s">
        <v>811</v>
      </c>
    </row>
    <row r="80" spans="1:9" ht="14.1" customHeight="1" x14ac:dyDescent="0.2">
      <c r="A80" s="95" t="s">
        <v>1359</v>
      </c>
      <c r="B80" s="95">
        <v>4</v>
      </c>
      <c r="C80" s="95" t="s">
        <v>520</v>
      </c>
      <c r="D80" s="95">
        <v>2012</v>
      </c>
      <c r="E80" s="95">
        <v>4.5330000000000004</v>
      </c>
      <c r="F80" s="95" t="s">
        <v>507</v>
      </c>
      <c r="G80" s="95" t="s">
        <v>810</v>
      </c>
      <c r="H80" s="95" t="s">
        <v>507</v>
      </c>
      <c r="I80" s="95" t="s">
        <v>811</v>
      </c>
    </row>
    <row r="81" spans="1:9" ht="14.1" customHeight="1" x14ac:dyDescent="0.2">
      <c r="A81" s="95" t="s">
        <v>1360</v>
      </c>
      <c r="B81" s="95">
        <v>4</v>
      </c>
      <c r="C81" s="95" t="s">
        <v>522</v>
      </c>
      <c r="D81" s="95">
        <v>2012</v>
      </c>
      <c r="E81" s="95">
        <v>27.04</v>
      </c>
      <c r="F81" s="95" t="s">
        <v>507</v>
      </c>
      <c r="G81" s="95" t="s">
        <v>810</v>
      </c>
      <c r="H81" s="95" t="s">
        <v>507</v>
      </c>
      <c r="I81" s="95" t="s">
        <v>811</v>
      </c>
    </row>
    <row r="82" spans="1:9" ht="14.1" customHeight="1" x14ac:dyDescent="0.2">
      <c r="A82" s="95" t="s">
        <v>1361</v>
      </c>
      <c r="B82" s="95">
        <v>4</v>
      </c>
      <c r="C82" s="95" t="s">
        <v>524</v>
      </c>
      <c r="D82" s="95">
        <v>2012</v>
      </c>
      <c r="E82" s="95">
        <v>2395.9679999999998</v>
      </c>
      <c r="F82" s="95" t="s">
        <v>507</v>
      </c>
      <c r="G82" s="95" t="s">
        <v>810</v>
      </c>
      <c r="H82" s="95" t="s">
        <v>507</v>
      </c>
      <c r="I82" s="95" t="s">
        <v>811</v>
      </c>
    </row>
    <row r="83" spans="1:9" ht="14.1" customHeight="1" x14ac:dyDescent="0.2">
      <c r="A83" s="95" t="s">
        <v>1362</v>
      </c>
      <c r="B83" s="95">
        <v>4</v>
      </c>
      <c r="C83" s="95" t="s">
        <v>526</v>
      </c>
      <c r="D83" s="95">
        <v>2012</v>
      </c>
      <c r="E83" s="95">
        <v>8.1490039999999997</v>
      </c>
      <c r="F83" s="95" t="s">
        <v>782</v>
      </c>
      <c r="G83" s="95" t="s">
        <v>810</v>
      </c>
      <c r="H83" s="95" t="s">
        <v>782</v>
      </c>
      <c r="I83" s="95" t="s">
        <v>811</v>
      </c>
    </row>
    <row r="84" spans="1:9" ht="14.1" customHeight="1" x14ac:dyDescent="0.2">
      <c r="A84" s="95" t="s">
        <v>1363</v>
      </c>
      <c r="B84" s="95">
        <v>4</v>
      </c>
      <c r="C84" s="95" t="s">
        <v>528</v>
      </c>
      <c r="D84" s="95">
        <v>2012</v>
      </c>
      <c r="E84" s="95">
        <v>268.30249824834198</v>
      </c>
      <c r="F84" s="95" t="s">
        <v>507</v>
      </c>
      <c r="G84" s="95" t="s">
        <v>810</v>
      </c>
      <c r="H84" s="95" t="s">
        <v>507</v>
      </c>
      <c r="I84" s="95" t="s">
        <v>811</v>
      </c>
    </row>
    <row r="85" spans="1:9" ht="14.1" customHeight="1" x14ac:dyDescent="0.2">
      <c r="A85" s="95" t="s">
        <v>1364</v>
      </c>
      <c r="B85" s="95">
        <v>4</v>
      </c>
      <c r="C85" s="95" t="s">
        <v>530</v>
      </c>
      <c r="D85" s="95">
        <v>2012</v>
      </c>
      <c r="E85" s="95">
        <v>86.166234503098195</v>
      </c>
      <c r="F85" s="95" t="s">
        <v>788</v>
      </c>
      <c r="G85" s="95" t="s">
        <v>810</v>
      </c>
      <c r="H85" s="95" t="s">
        <v>788</v>
      </c>
      <c r="I85" s="95" t="s">
        <v>811</v>
      </c>
    </row>
    <row r="86" spans="1:9" ht="14.1" customHeight="1" x14ac:dyDescent="0.2">
      <c r="A86" s="95" t="s">
        <v>1365</v>
      </c>
      <c r="B86" s="95">
        <v>4</v>
      </c>
      <c r="C86" s="95" t="s">
        <v>532</v>
      </c>
      <c r="D86" s="95">
        <v>2012</v>
      </c>
      <c r="E86" s="95">
        <v>2.7879999999999998</v>
      </c>
      <c r="F86" s="95" t="s">
        <v>507</v>
      </c>
      <c r="G86" s="95" t="s">
        <v>810</v>
      </c>
      <c r="H86" s="95" t="s">
        <v>507</v>
      </c>
      <c r="I86" s="95" t="s">
        <v>811</v>
      </c>
    </row>
    <row r="87" spans="1:9" ht="14.1" customHeight="1" x14ac:dyDescent="0.2">
      <c r="A87" s="95" t="s">
        <v>1366</v>
      </c>
      <c r="B87" s="95">
        <v>4</v>
      </c>
      <c r="C87" s="95" t="s">
        <v>534</v>
      </c>
      <c r="D87" s="95">
        <v>2012</v>
      </c>
      <c r="E87" s="95">
        <v>7.8949999999999996</v>
      </c>
      <c r="F87" s="95" t="s">
        <v>507</v>
      </c>
      <c r="G87" s="95" t="s">
        <v>810</v>
      </c>
      <c r="H87" s="95" t="s">
        <v>507</v>
      </c>
      <c r="I87" s="95" t="s">
        <v>811</v>
      </c>
    </row>
    <row r="88" spans="1:9" ht="14.1" customHeight="1" x14ac:dyDescent="0.2">
      <c r="A88" s="95" t="s">
        <v>1367</v>
      </c>
      <c r="B88" s="95">
        <v>4</v>
      </c>
      <c r="C88" s="95" t="s">
        <v>536</v>
      </c>
      <c r="D88" s="95">
        <v>2012</v>
      </c>
      <c r="E88" s="95">
        <v>15.262</v>
      </c>
      <c r="F88" s="95" t="s">
        <v>507</v>
      </c>
      <c r="G88" s="95" t="s">
        <v>810</v>
      </c>
      <c r="H88" s="95" t="s">
        <v>507</v>
      </c>
      <c r="I88" s="95" t="s">
        <v>811</v>
      </c>
    </row>
    <row r="89" spans="1:9" ht="14.1" customHeight="1" x14ac:dyDescent="0.2">
      <c r="A89" s="95" t="s">
        <v>1368</v>
      </c>
      <c r="B89" s="95">
        <v>4</v>
      </c>
      <c r="C89" s="95" t="s">
        <v>538</v>
      </c>
      <c r="D89" s="95">
        <v>2012</v>
      </c>
      <c r="E89" s="95">
        <v>199.00299999999999</v>
      </c>
      <c r="F89" s="95" t="s">
        <v>507</v>
      </c>
      <c r="G89" s="95" t="s">
        <v>810</v>
      </c>
      <c r="H89" s="95" t="s">
        <v>507</v>
      </c>
      <c r="I89" s="95" t="s">
        <v>811</v>
      </c>
    </row>
    <row r="90" spans="1:9" ht="14.1" customHeight="1" x14ac:dyDescent="0.2">
      <c r="A90" s="95" t="s">
        <v>1369</v>
      </c>
      <c r="B90" s="95">
        <v>4</v>
      </c>
      <c r="C90" s="95" t="s">
        <v>540</v>
      </c>
      <c r="D90" s="95">
        <v>2012</v>
      </c>
      <c r="E90" s="95">
        <v>26.088999999999999</v>
      </c>
      <c r="F90" s="95" t="s">
        <v>507</v>
      </c>
      <c r="G90" s="95" t="s">
        <v>810</v>
      </c>
      <c r="H90" s="95" t="s">
        <v>507</v>
      </c>
      <c r="I90" s="95" t="s">
        <v>811</v>
      </c>
    </row>
    <row r="91" spans="1:9" ht="14.1" customHeight="1" x14ac:dyDescent="0.2">
      <c r="A91" s="95" t="s">
        <v>1370</v>
      </c>
      <c r="B91" s="95">
        <v>4</v>
      </c>
      <c r="C91" s="95" t="s">
        <v>542</v>
      </c>
      <c r="D91" s="95">
        <v>2012</v>
      </c>
      <c r="E91" s="95">
        <v>4.7380000000000004</v>
      </c>
      <c r="F91" s="95" t="s">
        <v>507</v>
      </c>
      <c r="G91" s="95" t="s">
        <v>810</v>
      </c>
      <c r="H91" s="95" t="s">
        <v>507</v>
      </c>
      <c r="I91" s="95" t="s">
        <v>811</v>
      </c>
    </row>
    <row r="92" spans="1:9" ht="14.1" customHeight="1" x14ac:dyDescent="0.2">
      <c r="A92" s="95" t="s">
        <v>1371</v>
      </c>
      <c r="B92" s="95">
        <v>4</v>
      </c>
      <c r="C92" s="95" t="s">
        <v>544</v>
      </c>
      <c r="D92" s="95">
        <v>2012</v>
      </c>
      <c r="E92" s="95">
        <v>25.277000000000001</v>
      </c>
      <c r="F92" s="95" t="s">
        <v>507</v>
      </c>
      <c r="G92" s="95" t="s">
        <v>810</v>
      </c>
      <c r="H92" s="95" t="s">
        <v>507</v>
      </c>
      <c r="I92" s="95" t="s">
        <v>811</v>
      </c>
    </row>
    <row r="93" spans="1:9" ht="14.1" customHeight="1" x14ac:dyDescent="0.2">
      <c r="A93" s="95" t="s">
        <v>1372</v>
      </c>
      <c r="B93" s="95">
        <v>4</v>
      </c>
      <c r="C93" s="95" t="s">
        <v>546</v>
      </c>
      <c r="D93" s="95">
        <v>2012</v>
      </c>
      <c r="E93" s="95">
        <v>49.404000000000003</v>
      </c>
      <c r="F93" s="95" t="s">
        <v>507</v>
      </c>
      <c r="G93" s="95" t="s">
        <v>810</v>
      </c>
      <c r="H93" s="95" t="s">
        <v>507</v>
      </c>
      <c r="I93" s="95" t="s">
        <v>811</v>
      </c>
    </row>
    <row r="94" spans="1:9" ht="14.1" customHeight="1" x14ac:dyDescent="0.2">
      <c r="A94" s="95" t="s">
        <v>1373</v>
      </c>
      <c r="B94" s="95">
        <v>4</v>
      </c>
      <c r="C94" s="95" t="s">
        <v>548</v>
      </c>
      <c r="D94" s="95">
        <v>2012</v>
      </c>
      <c r="E94" s="95">
        <v>382.42399999999998</v>
      </c>
      <c r="F94" s="95" t="s">
        <v>507</v>
      </c>
      <c r="G94" s="95" t="s">
        <v>810</v>
      </c>
      <c r="H94" s="95" t="s">
        <v>507</v>
      </c>
      <c r="I94" s="95" t="s">
        <v>811</v>
      </c>
    </row>
    <row r="95" spans="1:9" ht="14.1" customHeight="1" x14ac:dyDescent="0.2">
      <c r="A95" s="95" t="s">
        <v>1374</v>
      </c>
      <c r="B95" s="95">
        <v>4</v>
      </c>
      <c r="C95" s="95" t="s">
        <v>483</v>
      </c>
      <c r="D95" s="95">
        <v>2012</v>
      </c>
      <c r="E95" s="95">
        <v>1.554</v>
      </c>
      <c r="F95" s="95" t="s">
        <v>507</v>
      </c>
      <c r="G95" s="95">
        <v>0</v>
      </c>
      <c r="H95" s="95" t="s">
        <v>507</v>
      </c>
      <c r="I95" s="95">
        <v>0</v>
      </c>
    </row>
    <row r="96" spans="1:9" ht="14.1" customHeight="1" x14ac:dyDescent="0.2">
      <c r="A96" s="95" t="s">
        <v>1375</v>
      </c>
      <c r="B96" s="95">
        <v>4</v>
      </c>
      <c r="C96" s="95" t="s">
        <v>488</v>
      </c>
      <c r="D96" s="95">
        <v>2012</v>
      </c>
      <c r="E96" s="95">
        <v>366.02</v>
      </c>
      <c r="F96" s="95" t="s">
        <v>507</v>
      </c>
      <c r="G96" s="95">
        <v>0</v>
      </c>
      <c r="H96" s="95" t="s">
        <v>507</v>
      </c>
      <c r="I96" s="95">
        <v>0</v>
      </c>
    </row>
    <row r="97" spans="1:9" ht="14.1" customHeight="1" x14ac:dyDescent="0.2">
      <c r="A97" s="95" t="s">
        <v>1376</v>
      </c>
      <c r="B97" s="95">
        <v>4</v>
      </c>
      <c r="C97" s="95" t="s">
        <v>487</v>
      </c>
      <c r="D97" s="95">
        <v>2012</v>
      </c>
      <c r="E97" s="95">
        <v>45.107420042450002</v>
      </c>
      <c r="F97" s="95" t="s">
        <v>650</v>
      </c>
      <c r="G97" s="95">
        <v>0</v>
      </c>
      <c r="H97" s="95" t="s">
        <v>650</v>
      </c>
      <c r="I97" s="95">
        <v>0</v>
      </c>
    </row>
    <row r="98" spans="1:9" ht="14.1" customHeight="1" x14ac:dyDescent="0.2">
      <c r="A98" s="95" t="s">
        <v>1377</v>
      </c>
      <c r="B98" s="95">
        <v>4</v>
      </c>
      <c r="C98" s="95" t="s">
        <v>486</v>
      </c>
      <c r="D98" s="95">
        <v>2012</v>
      </c>
      <c r="E98" s="95">
        <v>23.8644</v>
      </c>
      <c r="F98" s="95" t="s">
        <v>568</v>
      </c>
      <c r="G98" s="95">
        <v>0</v>
      </c>
      <c r="H98" s="95" t="s">
        <v>568</v>
      </c>
      <c r="I98" s="95">
        <v>0</v>
      </c>
    </row>
    <row r="99" spans="1:9" ht="14.1" customHeight="1" x14ac:dyDescent="0.2">
      <c r="A99" s="95" t="s">
        <v>1378</v>
      </c>
      <c r="B99" s="95">
        <v>4</v>
      </c>
      <c r="C99" s="95" t="s">
        <v>482</v>
      </c>
      <c r="D99" s="95">
        <v>2012</v>
      </c>
      <c r="E99" s="95">
        <v>49.88</v>
      </c>
      <c r="F99" s="95" t="s">
        <v>507</v>
      </c>
      <c r="G99" s="95">
        <v>0</v>
      </c>
      <c r="H99" s="95" t="s">
        <v>507</v>
      </c>
      <c r="I99" s="95">
        <v>0</v>
      </c>
    </row>
    <row r="100" spans="1:9" ht="14.1" customHeight="1" x14ac:dyDescent="0.2">
      <c r="A100" s="95" t="s">
        <v>1379</v>
      </c>
      <c r="B100" s="95">
        <v>4</v>
      </c>
      <c r="C100" s="95" t="s">
        <v>490</v>
      </c>
      <c r="D100" s="95">
        <v>2012</v>
      </c>
      <c r="E100" s="95">
        <v>18.388000000000002</v>
      </c>
      <c r="F100" s="95" t="s">
        <v>507</v>
      </c>
      <c r="G100" s="95">
        <v>0</v>
      </c>
      <c r="H100" s="95" t="s">
        <v>507</v>
      </c>
      <c r="I100" s="95">
        <v>0</v>
      </c>
    </row>
    <row r="101" spans="1:9" ht="14.1" customHeight="1" x14ac:dyDescent="0.2">
      <c r="A101" s="95" t="s">
        <v>1380</v>
      </c>
      <c r="B101" s="95">
        <v>4</v>
      </c>
      <c r="C101" s="95" t="s">
        <v>481</v>
      </c>
      <c r="D101" s="95">
        <v>2012</v>
      </c>
      <c r="E101" s="95">
        <v>1177.116</v>
      </c>
      <c r="F101" s="95" t="s">
        <v>507</v>
      </c>
      <c r="G101" s="95">
        <v>0</v>
      </c>
      <c r="H101" s="95" t="s">
        <v>507</v>
      </c>
      <c r="I101" s="95">
        <v>0</v>
      </c>
    </row>
    <row r="102" spans="1:9" ht="14.1" customHeight="1" x14ac:dyDescent="0.2">
      <c r="A102" s="95" t="s">
        <v>1381</v>
      </c>
      <c r="B102" s="95">
        <v>4</v>
      </c>
      <c r="C102" s="95" t="s">
        <v>484</v>
      </c>
      <c r="D102" s="95">
        <v>2012</v>
      </c>
      <c r="E102" s="95">
        <v>10.506</v>
      </c>
      <c r="F102" s="95" t="s">
        <v>507</v>
      </c>
      <c r="G102" s="95">
        <v>0</v>
      </c>
      <c r="H102" s="95" t="s">
        <v>507</v>
      </c>
      <c r="I102" s="95">
        <v>0</v>
      </c>
    </row>
    <row r="103" spans="1:9" ht="14.1" customHeight="1" x14ac:dyDescent="0.2">
      <c r="A103" s="95" t="s">
        <v>1382</v>
      </c>
      <c r="B103" s="95">
        <v>4</v>
      </c>
      <c r="C103" s="95" t="s">
        <v>485</v>
      </c>
      <c r="D103" s="95">
        <v>2012</v>
      </c>
      <c r="E103" s="95">
        <v>36.253</v>
      </c>
      <c r="F103" s="95" t="s">
        <v>507</v>
      </c>
      <c r="G103" s="95">
        <v>0</v>
      </c>
      <c r="H103" s="95" t="s">
        <v>507</v>
      </c>
      <c r="I103" s="95">
        <v>0</v>
      </c>
    </row>
    <row r="104" spans="1:9" ht="14.1" customHeight="1" x14ac:dyDescent="0.2">
      <c r="A104" s="95" t="s">
        <v>1383</v>
      </c>
      <c r="B104" s="95">
        <v>4</v>
      </c>
      <c r="C104" s="95" t="s">
        <v>489</v>
      </c>
      <c r="D104" s="95">
        <v>2012</v>
      </c>
      <c r="E104" s="95">
        <v>58.996000000000002</v>
      </c>
      <c r="F104" s="95" t="s">
        <v>507</v>
      </c>
      <c r="G104" s="95">
        <v>0</v>
      </c>
      <c r="H104" s="95" t="s">
        <v>507</v>
      </c>
      <c r="I104" s="95">
        <v>0</v>
      </c>
    </row>
    <row r="105" spans="1:9" ht="14.1" customHeight="1" x14ac:dyDescent="0.2">
      <c r="A105" s="95" t="s">
        <v>1384</v>
      </c>
      <c r="B105" s="95">
        <v>5</v>
      </c>
      <c r="C105" s="95" t="s">
        <v>518</v>
      </c>
      <c r="D105" s="95">
        <v>2012</v>
      </c>
      <c r="E105" s="95">
        <v>746.92700000000002</v>
      </c>
      <c r="F105" s="95" t="s">
        <v>507</v>
      </c>
      <c r="G105" s="95">
        <v>0</v>
      </c>
      <c r="H105" s="95" t="s">
        <v>507</v>
      </c>
      <c r="I105" s="95">
        <v>0</v>
      </c>
    </row>
    <row r="106" spans="1:9" ht="14.1" customHeight="1" x14ac:dyDescent="0.2">
      <c r="A106" s="95" t="s">
        <v>1385</v>
      </c>
      <c r="B106" s="95">
        <v>5</v>
      </c>
      <c r="C106" s="95" t="s">
        <v>520</v>
      </c>
      <c r="D106" s="95">
        <v>2012</v>
      </c>
      <c r="E106" s="95">
        <v>7.0910000000000002</v>
      </c>
      <c r="F106" s="95" t="s">
        <v>507</v>
      </c>
      <c r="G106" s="95">
        <v>0</v>
      </c>
      <c r="H106" s="95" t="s">
        <v>507</v>
      </c>
      <c r="I106" s="95">
        <v>0</v>
      </c>
    </row>
    <row r="107" spans="1:9" ht="14.1" customHeight="1" x14ac:dyDescent="0.2">
      <c r="A107" s="95" t="s">
        <v>1386</v>
      </c>
      <c r="B107" s="95">
        <v>5</v>
      </c>
      <c r="C107" s="95" t="s">
        <v>522</v>
      </c>
      <c r="D107" s="95">
        <v>2012</v>
      </c>
      <c r="E107" s="95">
        <v>54.360999999999997</v>
      </c>
      <c r="F107" s="95" t="s">
        <v>507</v>
      </c>
      <c r="G107" s="95">
        <v>0</v>
      </c>
      <c r="H107" s="95" t="s">
        <v>507</v>
      </c>
      <c r="I107" s="95">
        <v>0</v>
      </c>
    </row>
    <row r="108" spans="1:9" ht="14.1" customHeight="1" x14ac:dyDescent="0.2">
      <c r="A108" s="95" t="s">
        <v>1387</v>
      </c>
      <c r="B108" s="95">
        <v>5</v>
      </c>
      <c r="C108" s="95" t="s">
        <v>524</v>
      </c>
      <c r="D108" s="95">
        <v>2012</v>
      </c>
      <c r="E108" s="95">
        <v>2355.5859999999998</v>
      </c>
      <c r="F108" s="95" t="s">
        <v>507</v>
      </c>
      <c r="G108" s="95">
        <v>0</v>
      </c>
      <c r="H108" s="95" t="s">
        <v>507</v>
      </c>
      <c r="I108" s="95">
        <v>0</v>
      </c>
    </row>
    <row r="109" spans="1:9" ht="14.1" customHeight="1" x14ac:dyDescent="0.2">
      <c r="A109" s="95" t="s">
        <v>1388</v>
      </c>
      <c r="B109" s="95">
        <v>5</v>
      </c>
      <c r="C109" s="95" t="s">
        <v>526</v>
      </c>
      <c r="D109" s="95">
        <v>2012</v>
      </c>
      <c r="E109" s="95">
        <v>11.037000000000001</v>
      </c>
      <c r="F109" s="95" t="s">
        <v>507</v>
      </c>
      <c r="G109" s="95">
        <v>0</v>
      </c>
      <c r="H109" s="95" t="s">
        <v>507</v>
      </c>
      <c r="I109" s="95">
        <v>0</v>
      </c>
    </row>
    <row r="110" spans="1:9" ht="14.1" customHeight="1" x14ac:dyDescent="0.2">
      <c r="A110" s="95" t="s">
        <v>1389</v>
      </c>
      <c r="B110" s="95">
        <v>5</v>
      </c>
      <c r="C110" s="95" t="s">
        <v>528</v>
      </c>
      <c r="D110" s="95">
        <v>2012</v>
      </c>
      <c r="E110" s="95">
        <v>320.54000000000002</v>
      </c>
      <c r="F110" s="95" t="s">
        <v>507</v>
      </c>
      <c r="G110" s="95">
        <v>0</v>
      </c>
      <c r="H110" s="95" t="s">
        <v>507</v>
      </c>
      <c r="I110" s="95">
        <v>0</v>
      </c>
    </row>
    <row r="111" spans="1:9" ht="14.1" customHeight="1" x14ac:dyDescent="0.2">
      <c r="A111" s="95" t="s">
        <v>1390</v>
      </c>
      <c r="B111" s="95">
        <v>5</v>
      </c>
      <c r="C111" s="95" t="s">
        <v>530</v>
      </c>
      <c r="D111" s="95">
        <v>2012</v>
      </c>
      <c r="E111" s="95">
        <v>142.04900000000001</v>
      </c>
      <c r="F111" s="95" t="s">
        <v>507</v>
      </c>
      <c r="G111" s="95" t="s">
        <v>565</v>
      </c>
      <c r="H111" s="95" t="s">
        <v>507</v>
      </c>
      <c r="I111" s="95" t="s">
        <v>802</v>
      </c>
    </row>
    <row r="112" spans="1:9" ht="14.1" customHeight="1" x14ac:dyDescent="0.2">
      <c r="A112" s="95" t="s">
        <v>1391</v>
      </c>
      <c r="B112" s="95">
        <v>5</v>
      </c>
      <c r="C112" s="95" t="s">
        <v>532</v>
      </c>
      <c r="D112" s="95">
        <v>2012</v>
      </c>
      <c r="E112" s="95">
        <v>6.1639999999999997</v>
      </c>
      <c r="F112" s="95" t="s">
        <v>507</v>
      </c>
      <c r="G112" s="95">
        <v>0</v>
      </c>
      <c r="H112" s="95" t="s">
        <v>507</v>
      </c>
      <c r="I112" s="95">
        <v>0</v>
      </c>
    </row>
    <row r="113" spans="1:9" ht="14.1" customHeight="1" x14ac:dyDescent="0.2">
      <c r="A113" s="95" t="s">
        <v>1392</v>
      </c>
      <c r="B113" s="95">
        <v>5</v>
      </c>
      <c r="C113" s="95" t="s">
        <v>534</v>
      </c>
      <c r="D113" s="95">
        <v>2012</v>
      </c>
      <c r="E113" s="95">
        <v>13.132</v>
      </c>
      <c r="F113" s="95" t="s">
        <v>507</v>
      </c>
      <c r="G113" s="95">
        <v>0</v>
      </c>
      <c r="H113" s="95" t="s">
        <v>507</v>
      </c>
      <c r="I113" s="95">
        <v>0</v>
      </c>
    </row>
    <row r="114" spans="1:9" ht="14.1" customHeight="1" x14ac:dyDescent="0.2">
      <c r="A114" s="95" t="s">
        <v>1393</v>
      </c>
      <c r="B114" s="95">
        <v>5</v>
      </c>
      <c r="C114" s="95" t="s">
        <v>536</v>
      </c>
      <c r="D114" s="95">
        <v>2012</v>
      </c>
      <c r="E114" s="95">
        <v>25.184000000000001</v>
      </c>
      <c r="F114" s="95" t="s">
        <v>507</v>
      </c>
      <c r="G114" s="95">
        <v>0</v>
      </c>
      <c r="H114" s="95" t="s">
        <v>507</v>
      </c>
      <c r="I114" s="95">
        <v>0</v>
      </c>
    </row>
    <row r="115" spans="1:9" ht="14.1" customHeight="1" x14ac:dyDescent="0.2">
      <c r="A115" s="95" t="s">
        <v>1394</v>
      </c>
      <c r="B115" s="95">
        <v>5</v>
      </c>
      <c r="C115" s="95" t="s">
        <v>538</v>
      </c>
      <c r="D115" s="95">
        <v>2012</v>
      </c>
      <c r="E115" s="95">
        <v>326.661</v>
      </c>
      <c r="F115" s="95" t="s">
        <v>507</v>
      </c>
      <c r="G115" s="95">
        <v>0</v>
      </c>
      <c r="H115" s="95" t="s">
        <v>507</v>
      </c>
      <c r="I115" s="95">
        <v>0</v>
      </c>
    </row>
    <row r="116" spans="1:9" ht="14.1" customHeight="1" x14ac:dyDescent="0.2">
      <c r="A116" s="95" t="s">
        <v>1395</v>
      </c>
      <c r="B116" s="95">
        <v>5</v>
      </c>
      <c r="C116" s="95" t="s">
        <v>540</v>
      </c>
      <c r="D116" s="95">
        <v>2012</v>
      </c>
      <c r="E116" s="95">
        <v>40.685000000000002</v>
      </c>
      <c r="F116" s="95" t="s">
        <v>507</v>
      </c>
      <c r="G116" s="95">
        <v>0</v>
      </c>
      <c r="H116" s="95" t="s">
        <v>507</v>
      </c>
      <c r="I116" s="95">
        <v>0</v>
      </c>
    </row>
    <row r="117" spans="1:9" ht="14.1" customHeight="1" x14ac:dyDescent="0.2">
      <c r="A117" s="95" t="s">
        <v>1396</v>
      </c>
      <c r="B117" s="95">
        <v>5</v>
      </c>
      <c r="C117" s="95" t="s">
        <v>542</v>
      </c>
      <c r="D117" s="95">
        <v>2012</v>
      </c>
      <c r="E117" s="95">
        <v>6.7629999999999999</v>
      </c>
      <c r="F117" s="95" t="s">
        <v>507</v>
      </c>
      <c r="G117" s="95">
        <v>0</v>
      </c>
      <c r="H117" s="95" t="s">
        <v>507</v>
      </c>
      <c r="I117" s="95">
        <v>0</v>
      </c>
    </row>
    <row r="118" spans="1:9" ht="14.1" customHeight="1" x14ac:dyDescent="0.2">
      <c r="A118" s="95" t="s">
        <v>1397</v>
      </c>
      <c r="B118" s="95">
        <v>5</v>
      </c>
      <c r="C118" s="95" t="s">
        <v>544</v>
      </c>
      <c r="D118" s="95">
        <v>2012</v>
      </c>
      <c r="E118" s="95">
        <v>26.696999999999999</v>
      </c>
      <c r="F118" s="95" t="s">
        <v>507</v>
      </c>
      <c r="G118" s="95">
        <v>0</v>
      </c>
      <c r="H118" s="95" t="s">
        <v>507</v>
      </c>
      <c r="I118" s="95">
        <v>0</v>
      </c>
    </row>
    <row r="119" spans="1:9" ht="14.1" customHeight="1" x14ac:dyDescent="0.2">
      <c r="A119" s="95" t="s">
        <v>1398</v>
      </c>
      <c r="B119" s="95">
        <v>5</v>
      </c>
      <c r="C119" s="95" t="s">
        <v>546</v>
      </c>
      <c r="D119" s="95">
        <v>2012</v>
      </c>
      <c r="E119" s="95">
        <v>53.786999999999999</v>
      </c>
      <c r="F119" s="95" t="s">
        <v>507</v>
      </c>
      <c r="G119" s="95">
        <v>0</v>
      </c>
      <c r="H119" s="95" t="s">
        <v>507</v>
      </c>
      <c r="I119" s="95">
        <v>0</v>
      </c>
    </row>
    <row r="120" spans="1:9" ht="14.1" customHeight="1" x14ac:dyDescent="0.2">
      <c r="A120" s="95" t="s">
        <v>1399</v>
      </c>
      <c r="B120" s="95">
        <v>5</v>
      </c>
      <c r="C120" s="95" t="s">
        <v>548</v>
      </c>
      <c r="D120" s="95">
        <v>2012</v>
      </c>
      <c r="E120" s="95">
        <v>401.89800000000002</v>
      </c>
      <c r="F120" s="95" t="s">
        <v>507</v>
      </c>
      <c r="G120" s="95">
        <v>0</v>
      </c>
      <c r="H120" s="95" t="s">
        <v>507</v>
      </c>
      <c r="I120" s="95">
        <v>0</v>
      </c>
    </row>
    <row r="121" spans="1:9" ht="14.1" customHeight="1" x14ac:dyDescent="0.2">
      <c r="A121" s="95" t="s">
        <v>1400</v>
      </c>
      <c r="B121" s="95">
        <v>5</v>
      </c>
      <c r="C121" s="95" t="s">
        <v>483</v>
      </c>
      <c r="D121" s="95">
        <v>2012</v>
      </c>
      <c r="E121" s="95">
        <v>2.9990000000000001</v>
      </c>
      <c r="F121" s="95" t="s">
        <v>507</v>
      </c>
      <c r="G121" s="95">
        <v>0</v>
      </c>
      <c r="H121" s="95" t="s">
        <v>507</v>
      </c>
      <c r="I121" s="95">
        <v>0</v>
      </c>
    </row>
    <row r="122" spans="1:9" ht="14.1" customHeight="1" x14ac:dyDescent="0.2">
      <c r="A122" s="95" t="s">
        <v>1401</v>
      </c>
      <c r="B122" s="95">
        <v>5</v>
      </c>
      <c r="C122" s="95" t="s">
        <v>488</v>
      </c>
      <c r="D122" s="95">
        <v>2012</v>
      </c>
      <c r="E122" s="95">
        <v>502.87400000000002</v>
      </c>
      <c r="F122" s="95" t="s">
        <v>507</v>
      </c>
      <c r="G122" s="95">
        <v>0</v>
      </c>
      <c r="H122" s="95" t="s">
        <v>507</v>
      </c>
      <c r="I122" s="95">
        <v>0</v>
      </c>
    </row>
    <row r="123" spans="1:9" ht="14.1" customHeight="1" x14ac:dyDescent="0.2">
      <c r="A123" s="95" t="s">
        <v>1402</v>
      </c>
      <c r="B123" s="95">
        <v>5</v>
      </c>
      <c r="C123" s="95" t="s">
        <v>487</v>
      </c>
      <c r="D123" s="95">
        <v>2012</v>
      </c>
      <c r="E123" s="95">
        <v>58.822000000000003</v>
      </c>
      <c r="F123" s="95" t="s">
        <v>507</v>
      </c>
      <c r="G123" s="95">
        <v>0</v>
      </c>
      <c r="H123" s="95" t="s">
        <v>507</v>
      </c>
      <c r="I123" s="95">
        <v>0</v>
      </c>
    </row>
    <row r="124" spans="1:9" ht="14.1" customHeight="1" x14ac:dyDescent="0.2">
      <c r="A124" s="95" t="s">
        <v>1403</v>
      </c>
      <c r="B124" s="95">
        <v>5</v>
      </c>
      <c r="C124" s="95" t="s">
        <v>486</v>
      </c>
      <c r="D124" s="95">
        <v>2012</v>
      </c>
      <c r="E124" s="95">
        <v>46.329000000000001</v>
      </c>
      <c r="F124" s="95" t="s">
        <v>507</v>
      </c>
      <c r="G124" s="95">
        <v>0</v>
      </c>
      <c r="H124" s="95" t="s">
        <v>507</v>
      </c>
      <c r="I124" s="95">
        <v>0</v>
      </c>
    </row>
    <row r="125" spans="1:9" ht="14.1" customHeight="1" x14ac:dyDescent="0.2">
      <c r="A125" s="95" t="s">
        <v>1404</v>
      </c>
      <c r="B125" s="95">
        <v>5</v>
      </c>
      <c r="C125" s="95" t="s">
        <v>482</v>
      </c>
      <c r="D125" s="95">
        <v>2012</v>
      </c>
      <c r="E125" s="95">
        <v>78.680999999999997</v>
      </c>
      <c r="F125" s="95" t="s">
        <v>507</v>
      </c>
      <c r="G125" s="95">
        <v>0</v>
      </c>
      <c r="H125" s="95" t="s">
        <v>507</v>
      </c>
      <c r="I125" s="95">
        <v>0</v>
      </c>
    </row>
    <row r="126" spans="1:9" ht="14.1" customHeight="1" x14ac:dyDescent="0.2">
      <c r="A126" s="95" t="s">
        <v>1405</v>
      </c>
      <c r="B126" s="95">
        <v>5</v>
      </c>
      <c r="C126" s="95" t="s">
        <v>490</v>
      </c>
      <c r="D126" s="95">
        <v>2012</v>
      </c>
      <c r="E126" s="95">
        <v>37.802</v>
      </c>
      <c r="F126" s="95" t="s">
        <v>507</v>
      </c>
      <c r="G126" s="95">
        <v>0</v>
      </c>
      <c r="H126" s="95" t="s">
        <v>507</v>
      </c>
      <c r="I126" s="95">
        <v>0</v>
      </c>
    </row>
    <row r="127" spans="1:9" ht="14.1" customHeight="1" x14ac:dyDescent="0.2">
      <c r="A127" s="95" t="s">
        <v>1406</v>
      </c>
      <c r="B127" s="95">
        <v>5</v>
      </c>
      <c r="C127" s="95" t="s">
        <v>481</v>
      </c>
      <c r="D127" s="95">
        <v>2012</v>
      </c>
      <c r="E127" s="95">
        <v>1758.896</v>
      </c>
      <c r="F127" s="95" t="s">
        <v>507</v>
      </c>
      <c r="G127" s="95">
        <v>0</v>
      </c>
      <c r="H127" s="95" t="s">
        <v>507</v>
      </c>
      <c r="I127" s="95">
        <v>0</v>
      </c>
    </row>
    <row r="128" spans="1:9" ht="14.1" customHeight="1" x14ac:dyDescent="0.2">
      <c r="A128" s="95" t="s">
        <v>1407</v>
      </c>
      <c r="B128" s="95">
        <v>5</v>
      </c>
      <c r="C128" s="95" t="s">
        <v>484</v>
      </c>
      <c r="D128" s="95">
        <v>2012</v>
      </c>
      <c r="E128" s="95">
        <v>26.666</v>
      </c>
      <c r="F128" s="95" t="s">
        <v>507</v>
      </c>
      <c r="G128" s="95">
        <v>0</v>
      </c>
      <c r="H128" s="95" t="s">
        <v>507</v>
      </c>
      <c r="I128" s="95">
        <v>0</v>
      </c>
    </row>
    <row r="129" spans="1:9" ht="14.1" customHeight="1" x14ac:dyDescent="0.2">
      <c r="A129" s="95" t="s">
        <v>1408</v>
      </c>
      <c r="B129" s="95">
        <v>5</v>
      </c>
      <c r="C129" s="95" t="s">
        <v>485</v>
      </c>
      <c r="D129" s="95">
        <v>2012</v>
      </c>
      <c r="E129" s="95">
        <v>57.079000000000001</v>
      </c>
      <c r="F129" s="95" t="s">
        <v>507</v>
      </c>
      <c r="G129" s="95">
        <v>0</v>
      </c>
      <c r="H129" s="95" t="s">
        <v>507</v>
      </c>
      <c r="I129" s="95">
        <v>0</v>
      </c>
    </row>
    <row r="130" spans="1:9" ht="14.1" customHeight="1" x14ac:dyDescent="0.2">
      <c r="A130" s="95" t="s">
        <v>1409</v>
      </c>
      <c r="B130" s="95">
        <v>5</v>
      </c>
      <c r="C130" s="95" t="s">
        <v>489</v>
      </c>
      <c r="D130" s="95">
        <v>2012</v>
      </c>
      <c r="E130" s="95">
        <v>98.747</v>
      </c>
      <c r="F130" s="95" t="s">
        <v>507</v>
      </c>
      <c r="G130" s="95">
        <v>0</v>
      </c>
      <c r="H130" s="95" t="s">
        <v>507</v>
      </c>
      <c r="I130" s="95">
        <v>0</v>
      </c>
    </row>
    <row r="131" spans="1:9" ht="14.1" customHeight="1" x14ac:dyDescent="0.2">
      <c r="A131" s="95" t="s">
        <v>1410</v>
      </c>
      <c r="B131" s="95">
        <v>6</v>
      </c>
      <c r="C131" s="95" t="s">
        <v>518</v>
      </c>
      <c r="D131" s="95">
        <v>2012</v>
      </c>
      <c r="E131" s="95">
        <v>5.3750454000000003</v>
      </c>
      <c r="F131" s="95" t="s">
        <v>507</v>
      </c>
      <c r="G131" s="95" t="s">
        <v>812</v>
      </c>
      <c r="H131" s="95" t="s">
        <v>507</v>
      </c>
      <c r="I131" s="95" t="s">
        <v>813</v>
      </c>
    </row>
    <row r="132" spans="1:9" ht="14.1" customHeight="1" x14ac:dyDescent="0.2">
      <c r="A132" s="95" t="s">
        <v>1411</v>
      </c>
      <c r="B132" s="95">
        <v>6</v>
      </c>
      <c r="C132" s="95" t="s">
        <v>520</v>
      </c>
      <c r="D132" s="95">
        <v>2012</v>
      </c>
      <c r="E132" s="95">
        <v>0.16877030000000001</v>
      </c>
      <c r="F132" s="95" t="s">
        <v>507</v>
      </c>
      <c r="G132" s="95" t="s">
        <v>812</v>
      </c>
      <c r="H132" s="95" t="s">
        <v>507</v>
      </c>
      <c r="I132" s="95" t="s">
        <v>813</v>
      </c>
    </row>
    <row r="133" spans="1:9" ht="14.1" customHeight="1" x14ac:dyDescent="0.2">
      <c r="A133" s="95" t="s">
        <v>1412</v>
      </c>
      <c r="B133" s="95">
        <v>6</v>
      </c>
      <c r="C133" s="95" t="s">
        <v>522</v>
      </c>
      <c r="D133" s="95">
        <v>2012</v>
      </c>
      <c r="E133" s="95">
        <v>0.63114000000000003</v>
      </c>
      <c r="F133" s="95" t="s">
        <v>507</v>
      </c>
      <c r="G133" s="95" t="s">
        <v>812</v>
      </c>
      <c r="H133" s="95" t="s">
        <v>507</v>
      </c>
      <c r="I133" s="95" t="s">
        <v>813</v>
      </c>
    </row>
    <row r="134" spans="1:9" ht="14.1" customHeight="1" x14ac:dyDescent="0.2">
      <c r="A134" s="95" t="s">
        <v>1413</v>
      </c>
      <c r="B134" s="95">
        <v>6</v>
      </c>
      <c r="C134" s="95" t="s">
        <v>524</v>
      </c>
      <c r="D134" s="95">
        <v>2012</v>
      </c>
      <c r="E134" s="95">
        <v>16.966999999999999</v>
      </c>
      <c r="F134" s="95" t="s">
        <v>507</v>
      </c>
      <c r="G134" s="95" t="s">
        <v>565</v>
      </c>
      <c r="H134" s="95" t="s">
        <v>507</v>
      </c>
      <c r="I134" s="95" t="s">
        <v>802</v>
      </c>
    </row>
    <row r="135" spans="1:9" ht="14.1" customHeight="1" x14ac:dyDescent="0.2">
      <c r="A135" s="95" t="s">
        <v>1414</v>
      </c>
      <c r="B135" s="95">
        <v>6</v>
      </c>
      <c r="C135" s="95" t="s">
        <v>526</v>
      </c>
      <c r="D135" s="95">
        <v>2012</v>
      </c>
      <c r="E135" s="95">
        <v>0.38949630000000002</v>
      </c>
      <c r="F135" s="95" t="s">
        <v>507</v>
      </c>
      <c r="G135" s="95" t="s">
        <v>810</v>
      </c>
      <c r="H135" s="95" t="s">
        <v>507</v>
      </c>
      <c r="I135" s="95" t="s">
        <v>811</v>
      </c>
    </row>
    <row r="136" spans="1:9" ht="14.1" customHeight="1" x14ac:dyDescent="0.2">
      <c r="A136" s="95" t="s">
        <v>1415</v>
      </c>
      <c r="B136" s="95">
        <v>6</v>
      </c>
      <c r="C136" s="95" t="s">
        <v>528</v>
      </c>
      <c r="D136" s="95">
        <v>2012</v>
      </c>
      <c r="E136" s="95">
        <v>7.1905953890000003</v>
      </c>
      <c r="F136" s="95" t="s">
        <v>507</v>
      </c>
      <c r="G136" s="95" t="s">
        <v>810</v>
      </c>
      <c r="H136" s="95" t="s">
        <v>507</v>
      </c>
      <c r="I136" s="95" t="s">
        <v>811</v>
      </c>
    </row>
    <row r="137" spans="1:9" ht="14.1" customHeight="1" x14ac:dyDescent="0.2">
      <c r="A137" s="95" t="s">
        <v>1416</v>
      </c>
      <c r="B137" s="95">
        <v>6</v>
      </c>
      <c r="C137" s="95" t="s">
        <v>530</v>
      </c>
      <c r="D137" s="95">
        <v>2012</v>
      </c>
      <c r="E137" s="95">
        <v>3.3943321000000002</v>
      </c>
      <c r="F137" s="95" t="s">
        <v>507</v>
      </c>
      <c r="G137" s="95" t="s">
        <v>810</v>
      </c>
      <c r="H137" s="95" t="s">
        <v>507</v>
      </c>
      <c r="I137" s="95" t="s">
        <v>811</v>
      </c>
    </row>
    <row r="138" spans="1:9" ht="14.1" customHeight="1" x14ac:dyDescent="0.2">
      <c r="A138" s="95" t="s">
        <v>1417</v>
      </c>
      <c r="B138" s="95">
        <v>6</v>
      </c>
      <c r="C138" s="95" t="s">
        <v>532</v>
      </c>
      <c r="D138" s="95">
        <v>2012</v>
      </c>
      <c r="E138" s="95">
        <v>0.2311281</v>
      </c>
      <c r="F138" s="95" t="s">
        <v>507</v>
      </c>
      <c r="G138" s="95" t="s">
        <v>812</v>
      </c>
      <c r="H138" s="95" t="s">
        <v>507</v>
      </c>
      <c r="I138" s="95" t="s">
        <v>813</v>
      </c>
    </row>
    <row r="139" spans="1:9" ht="14.1" customHeight="1" x14ac:dyDescent="0.2">
      <c r="A139" s="95" t="s">
        <v>1418</v>
      </c>
      <c r="B139" s="95">
        <v>6</v>
      </c>
      <c r="C139" s="95" t="s">
        <v>534</v>
      </c>
      <c r="D139" s="95">
        <v>2012</v>
      </c>
      <c r="E139" s="95">
        <v>0.69539200000000001</v>
      </c>
      <c r="F139" s="95" t="s">
        <v>507</v>
      </c>
      <c r="G139" s="95" t="s">
        <v>812</v>
      </c>
      <c r="H139" s="95" t="s">
        <v>507</v>
      </c>
      <c r="I139" s="95" t="s">
        <v>813</v>
      </c>
    </row>
    <row r="140" spans="1:9" ht="14.1" customHeight="1" x14ac:dyDescent="0.2">
      <c r="A140" s="95" t="s">
        <v>1419</v>
      </c>
      <c r="B140" s="95">
        <v>6</v>
      </c>
      <c r="C140" s="95" t="s">
        <v>536</v>
      </c>
      <c r="D140" s="95">
        <v>2012</v>
      </c>
      <c r="E140" s="95">
        <v>0.97197560000000005</v>
      </c>
      <c r="F140" s="95" t="s">
        <v>507</v>
      </c>
      <c r="G140" s="95" t="s">
        <v>812</v>
      </c>
      <c r="H140" s="95" t="s">
        <v>507</v>
      </c>
      <c r="I140" s="95" t="s">
        <v>813</v>
      </c>
    </row>
    <row r="141" spans="1:9" ht="14.1" customHeight="1" x14ac:dyDescent="0.2">
      <c r="A141" s="95" t="s">
        <v>1420</v>
      </c>
      <c r="B141" s="95">
        <v>6</v>
      </c>
      <c r="C141" s="95" t="s">
        <v>538</v>
      </c>
      <c r="D141" s="95">
        <v>2012</v>
      </c>
      <c r="E141" s="95">
        <v>2.5815804999999998</v>
      </c>
      <c r="F141" s="95" t="s">
        <v>507</v>
      </c>
      <c r="G141" s="95" t="s">
        <v>812</v>
      </c>
      <c r="H141" s="95" t="s">
        <v>507</v>
      </c>
      <c r="I141" s="95" t="s">
        <v>813</v>
      </c>
    </row>
    <row r="142" spans="1:9" ht="14.1" customHeight="1" x14ac:dyDescent="0.2">
      <c r="A142" s="95" t="s">
        <v>1421</v>
      </c>
      <c r="B142" s="95">
        <v>6</v>
      </c>
      <c r="C142" s="95" t="s">
        <v>540</v>
      </c>
      <c r="D142" s="95">
        <v>2012</v>
      </c>
      <c r="E142" s="95">
        <v>0.70270149999999998</v>
      </c>
      <c r="F142" s="95" t="s">
        <v>507</v>
      </c>
      <c r="G142" s="95" t="s">
        <v>812</v>
      </c>
      <c r="H142" s="95" t="s">
        <v>507</v>
      </c>
      <c r="I142" s="95" t="s">
        <v>813</v>
      </c>
    </row>
    <row r="143" spans="1:9" ht="14.1" customHeight="1" x14ac:dyDescent="0.2">
      <c r="A143" s="95" t="s">
        <v>1422</v>
      </c>
      <c r="B143" s="95">
        <v>6</v>
      </c>
      <c r="C143" s="95" t="s">
        <v>542</v>
      </c>
      <c r="D143" s="95">
        <v>2012</v>
      </c>
      <c r="E143" s="95">
        <v>7.8880000000000006E-2</v>
      </c>
      <c r="F143" s="95" t="s">
        <v>507</v>
      </c>
      <c r="G143" s="95" t="s">
        <v>810</v>
      </c>
      <c r="H143" s="95" t="s">
        <v>507</v>
      </c>
      <c r="I143" s="95" t="s">
        <v>811</v>
      </c>
    </row>
    <row r="144" spans="1:9" ht="14.1" customHeight="1" x14ac:dyDescent="0.2">
      <c r="A144" s="95" t="s">
        <v>1423</v>
      </c>
      <c r="B144" s="95">
        <v>6</v>
      </c>
      <c r="C144" s="95" t="s">
        <v>544</v>
      </c>
      <c r="D144" s="95">
        <v>2012</v>
      </c>
      <c r="E144" s="95">
        <v>0.11070000000000001</v>
      </c>
      <c r="F144" s="95" t="s">
        <v>507</v>
      </c>
      <c r="G144" s="95" t="s">
        <v>812</v>
      </c>
      <c r="H144" s="95" t="s">
        <v>507</v>
      </c>
      <c r="I144" s="95" t="s">
        <v>813</v>
      </c>
    </row>
    <row r="145" spans="1:9" ht="14.1" customHeight="1" x14ac:dyDescent="0.2">
      <c r="A145" s="95" t="s">
        <v>1424</v>
      </c>
      <c r="B145" s="95">
        <v>6</v>
      </c>
      <c r="C145" s="95" t="s">
        <v>546</v>
      </c>
      <c r="D145" s="95">
        <v>2012</v>
      </c>
      <c r="E145" s="95">
        <v>0.59451360722281898</v>
      </c>
      <c r="F145" s="95" t="s">
        <v>507</v>
      </c>
      <c r="G145" s="95" t="s">
        <v>810</v>
      </c>
      <c r="H145" s="95" t="s">
        <v>507</v>
      </c>
      <c r="I145" s="95" t="s">
        <v>811</v>
      </c>
    </row>
    <row r="146" spans="1:9" ht="14.1" customHeight="1" x14ac:dyDescent="0.2">
      <c r="A146" s="95" t="s">
        <v>1425</v>
      </c>
      <c r="B146" s="95">
        <v>6</v>
      </c>
      <c r="C146" s="95" t="s">
        <v>548</v>
      </c>
      <c r="D146" s="95">
        <v>2012</v>
      </c>
      <c r="E146" s="95">
        <v>3.7890000000000001</v>
      </c>
      <c r="F146" s="95" t="s">
        <v>507</v>
      </c>
      <c r="G146" s="95" t="s">
        <v>812</v>
      </c>
      <c r="H146" s="95" t="s">
        <v>507</v>
      </c>
      <c r="I146" s="95" t="s">
        <v>813</v>
      </c>
    </row>
    <row r="147" spans="1:9" ht="14.1" customHeight="1" x14ac:dyDescent="0.2">
      <c r="A147" s="95" t="s">
        <v>1426</v>
      </c>
      <c r="B147" s="95">
        <v>6</v>
      </c>
      <c r="C147" s="95" t="s">
        <v>483</v>
      </c>
      <c r="D147" s="95">
        <v>2012</v>
      </c>
      <c r="E147" s="95">
        <v>7.9100000000000004E-2</v>
      </c>
      <c r="F147" s="95" t="s">
        <v>507</v>
      </c>
      <c r="G147" s="95">
        <v>0</v>
      </c>
      <c r="H147" s="95" t="s">
        <v>507</v>
      </c>
      <c r="I147" s="95">
        <v>0</v>
      </c>
    </row>
    <row r="148" spans="1:9" ht="14.1" customHeight="1" x14ac:dyDescent="0.2">
      <c r="A148" s="95" t="s">
        <v>1427</v>
      </c>
      <c r="B148" s="95">
        <v>6</v>
      </c>
      <c r="C148" s="95" t="s">
        <v>488</v>
      </c>
      <c r="D148" s="95">
        <v>2012</v>
      </c>
      <c r="E148" s="95">
        <v>3.4607169999999998</v>
      </c>
      <c r="F148" s="95" t="s">
        <v>507</v>
      </c>
      <c r="G148" s="95">
        <v>0</v>
      </c>
      <c r="H148" s="95" t="s">
        <v>507</v>
      </c>
      <c r="I148" s="95">
        <v>0</v>
      </c>
    </row>
    <row r="149" spans="1:9" ht="14.1" customHeight="1" x14ac:dyDescent="0.2">
      <c r="A149" s="95" t="s">
        <v>1428</v>
      </c>
      <c r="B149" s="95">
        <v>6</v>
      </c>
      <c r="C149" s="95" t="s">
        <v>487</v>
      </c>
      <c r="D149" s="95">
        <v>2012</v>
      </c>
      <c r="E149" s="95">
        <v>0.88429171746711699</v>
      </c>
      <c r="F149" s="95" t="s">
        <v>571</v>
      </c>
      <c r="G149" s="95">
        <v>0</v>
      </c>
      <c r="H149" s="95" t="s">
        <v>571</v>
      </c>
      <c r="I149" s="95">
        <v>0</v>
      </c>
    </row>
    <row r="150" spans="1:9" ht="14.1" customHeight="1" x14ac:dyDescent="0.2">
      <c r="A150" s="95" t="s">
        <v>1429</v>
      </c>
      <c r="B150" s="95">
        <v>6</v>
      </c>
      <c r="C150" s="95" t="s">
        <v>486</v>
      </c>
      <c r="D150" s="95">
        <v>2012</v>
      </c>
      <c r="E150" s="95">
        <v>0.53259999999999996</v>
      </c>
      <c r="F150" s="95" t="s">
        <v>507</v>
      </c>
      <c r="G150" s="95">
        <v>0</v>
      </c>
      <c r="H150" s="95" t="s">
        <v>507</v>
      </c>
      <c r="I150" s="95">
        <v>0</v>
      </c>
    </row>
    <row r="151" spans="1:9" ht="14.1" customHeight="1" x14ac:dyDescent="0.2">
      <c r="A151" s="95" t="s">
        <v>1430</v>
      </c>
      <c r="B151" s="95">
        <v>6</v>
      </c>
      <c r="C151" s="95" t="s">
        <v>482</v>
      </c>
      <c r="D151" s="95">
        <v>2012</v>
      </c>
      <c r="E151" s="95">
        <v>1.28566</v>
      </c>
      <c r="F151" s="95" t="s">
        <v>507</v>
      </c>
      <c r="G151" s="95">
        <v>0</v>
      </c>
      <c r="H151" s="95" t="s">
        <v>507</v>
      </c>
      <c r="I151" s="95">
        <v>0</v>
      </c>
    </row>
    <row r="152" spans="1:9" ht="14.1" customHeight="1" x14ac:dyDescent="0.2">
      <c r="A152" s="95" t="s">
        <v>1431</v>
      </c>
      <c r="B152" s="95">
        <v>6</v>
      </c>
      <c r="C152" s="95" t="s">
        <v>490</v>
      </c>
      <c r="D152" s="95">
        <v>2012</v>
      </c>
      <c r="E152" s="95">
        <v>0.80289999999999995</v>
      </c>
      <c r="F152" s="95" t="s">
        <v>507</v>
      </c>
      <c r="G152" s="95">
        <v>0</v>
      </c>
      <c r="H152" s="95" t="s">
        <v>507</v>
      </c>
      <c r="I152" s="95">
        <v>0</v>
      </c>
    </row>
    <row r="153" spans="1:9" ht="14.1" customHeight="1" x14ac:dyDescent="0.2">
      <c r="A153" s="95" t="s">
        <v>1432</v>
      </c>
      <c r="B153" s="95">
        <v>6</v>
      </c>
      <c r="C153" s="95" t="s">
        <v>481</v>
      </c>
      <c r="D153" s="95">
        <v>2012</v>
      </c>
      <c r="E153" s="95">
        <v>14.015862500000001</v>
      </c>
      <c r="F153" s="95" t="s">
        <v>507</v>
      </c>
      <c r="G153" s="95" t="s">
        <v>565</v>
      </c>
      <c r="H153" s="95" t="s">
        <v>507</v>
      </c>
      <c r="I153" s="95" t="s">
        <v>802</v>
      </c>
    </row>
    <row r="154" spans="1:9" ht="14.1" customHeight="1" x14ac:dyDescent="0.2">
      <c r="A154" s="95" t="s">
        <v>1433</v>
      </c>
      <c r="B154" s="95">
        <v>6</v>
      </c>
      <c r="C154" s="95" t="s">
        <v>484</v>
      </c>
      <c r="D154" s="95">
        <v>2012</v>
      </c>
      <c r="E154" s="95">
        <v>0.39829999999999999</v>
      </c>
      <c r="F154" s="95" t="s">
        <v>507</v>
      </c>
      <c r="G154" s="95" t="s">
        <v>565</v>
      </c>
      <c r="H154" s="95" t="s">
        <v>507</v>
      </c>
      <c r="I154" s="95" t="s">
        <v>802</v>
      </c>
    </row>
    <row r="155" spans="1:9" ht="14.1" customHeight="1" x14ac:dyDescent="0.2">
      <c r="A155" s="95" t="s">
        <v>1434</v>
      </c>
      <c r="B155" s="95">
        <v>6</v>
      </c>
      <c r="C155" s="95" t="s">
        <v>485</v>
      </c>
      <c r="D155" s="95">
        <v>2012</v>
      </c>
      <c r="E155" s="95">
        <v>1.9410000000000001</v>
      </c>
      <c r="F155" s="95" t="s">
        <v>507</v>
      </c>
      <c r="G155" s="95" t="s">
        <v>565</v>
      </c>
      <c r="H155" s="95" t="s">
        <v>507</v>
      </c>
      <c r="I155" s="95" t="s">
        <v>802</v>
      </c>
    </row>
    <row r="156" spans="1:9" ht="14.1" customHeight="1" x14ac:dyDescent="0.2">
      <c r="A156" s="95" t="s">
        <v>1435</v>
      </c>
      <c r="B156" s="95">
        <v>6</v>
      </c>
      <c r="C156" s="95" t="s">
        <v>489</v>
      </c>
      <c r="D156" s="95">
        <v>2012</v>
      </c>
      <c r="E156" s="95">
        <v>0.97430000000000005</v>
      </c>
      <c r="F156" s="95" t="s">
        <v>507</v>
      </c>
      <c r="G156" s="95" t="s">
        <v>565</v>
      </c>
      <c r="H156" s="95" t="s">
        <v>507</v>
      </c>
      <c r="I156" s="95" t="s">
        <v>802</v>
      </c>
    </row>
    <row r="157" spans="1:9" ht="14.1" customHeight="1" x14ac:dyDescent="0.2">
      <c r="A157" s="95" t="s">
        <v>1436</v>
      </c>
      <c r="B157" s="95">
        <v>7</v>
      </c>
      <c r="C157" s="95" t="s">
        <v>518</v>
      </c>
      <c r="D157" s="95">
        <v>2012</v>
      </c>
      <c r="E157" s="95">
        <v>2.4069547999999998</v>
      </c>
      <c r="F157" s="95" t="s">
        <v>507</v>
      </c>
      <c r="G157" s="95" t="s">
        <v>812</v>
      </c>
      <c r="H157" s="95" t="s">
        <v>507</v>
      </c>
      <c r="I157" s="95" t="s">
        <v>813</v>
      </c>
    </row>
    <row r="158" spans="1:9" ht="14.1" customHeight="1" x14ac:dyDescent="0.2">
      <c r="A158" s="95" t="s">
        <v>1437</v>
      </c>
      <c r="B158" s="95">
        <v>7</v>
      </c>
      <c r="C158" s="95" t="s">
        <v>520</v>
      </c>
      <c r="D158" s="95">
        <v>2012</v>
      </c>
      <c r="E158" s="95">
        <v>4.4231699999999999E-2</v>
      </c>
      <c r="F158" s="95" t="s">
        <v>507</v>
      </c>
      <c r="G158" s="95" t="s">
        <v>812</v>
      </c>
      <c r="H158" s="95" t="s">
        <v>507</v>
      </c>
      <c r="I158" s="95" t="s">
        <v>813</v>
      </c>
    </row>
    <row r="159" spans="1:9" ht="14.1" customHeight="1" x14ac:dyDescent="0.2">
      <c r="A159" s="95" t="s">
        <v>1438</v>
      </c>
      <c r="B159" s="95">
        <v>7</v>
      </c>
      <c r="C159" s="95" t="s">
        <v>522</v>
      </c>
      <c r="D159" s="95">
        <v>2012</v>
      </c>
      <c r="E159" s="95">
        <v>7.0767499999999997E-2</v>
      </c>
      <c r="F159" s="95" t="s">
        <v>507</v>
      </c>
      <c r="G159" s="95" t="s">
        <v>812</v>
      </c>
      <c r="H159" s="95" t="s">
        <v>507</v>
      </c>
      <c r="I159" s="95" t="s">
        <v>813</v>
      </c>
    </row>
    <row r="160" spans="1:9" ht="14.1" customHeight="1" x14ac:dyDescent="0.2">
      <c r="A160" s="95" t="s">
        <v>1439</v>
      </c>
      <c r="B160" s="95">
        <v>7</v>
      </c>
      <c r="C160" s="95" t="s">
        <v>524</v>
      </c>
      <c r="D160" s="95">
        <v>2012</v>
      </c>
      <c r="E160" s="95">
        <v>6.7060000000000004</v>
      </c>
      <c r="F160" s="95" t="s">
        <v>507</v>
      </c>
      <c r="G160" s="95" t="s">
        <v>565</v>
      </c>
      <c r="H160" s="95" t="s">
        <v>507</v>
      </c>
      <c r="I160" s="95" t="s">
        <v>802</v>
      </c>
    </row>
    <row r="161" spans="1:9" ht="14.1" customHeight="1" x14ac:dyDescent="0.2">
      <c r="A161" s="95" t="s">
        <v>1440</v>
      </c>
      <c r="B161" s="95">
        <v>7</v>
      </c>
      <c r="C161" s="95" t="s">
        <v>526</v>
      </c>
      <c r="D161" s="95">
        <v>2012</v>
      </c>
      <c r="E161" s="95">
        <v>0.1183715</v>
      </c>
      <c r="F161" s="95" t="s">
        <v>507</v>
      </c>
      <c r="G161" s="95" t="s">
        <v>810</v>
      </c>
      <c r="H161" s="95" t="s">
        <v>507</v>
      </c>
      <c r="I161" s="95" t="s">
        <v>811</v>
      </c>
    </row>
    <row r="162" spans="1:9" ht="14.1" customHeight="1" x14ac:dyDescent="0.2">
      <c r="A162" s="95" t="s">
        <v>1441</v>
      </c>
      <c r="B162" s="95">
        <v>7</v>
      </c>
      <c r="C162" s="95" t="s">
        <v>528</v>
      </c>
      <c r="D162" s="95">
        <v>2012</v>
      </c>
      <c r="E162" s="95">
        <v>6.7264964210000002</v>
      </c>
      <c r="F162" s="95" t="s">
        <v>507</v>
      </c>
      <c r="G162" s="95" t="s">
        <v>810</v>
      </c>
      <c r="H162" s="95" t="s">
        <v>507</v>
      </c>
      <c r="I162" s="95" t="s">
        <v>811</v>
      </c>
    </row>
    <row r="163" spans="1:9" ht="14.1" customHeight="1" x14ac:dyDescent="0.2">
      <c r="A163" s="95" t="s">
        <v>1442</v>
      </c>
      <c r="B163" s="95">
        <v>7</v>
      </c>
      <c r="C163" s="95" t="s">
        <v>530</v>
      </c>
      <c r="D163" s="95">
        <v>2012</v>
      </c>
      <c r="E163" s="95">
        <v>1.7828835000000001</v>
      </c>
      <c r="F163" s="95" t="s">
        <v>507</v>
      </c>
      <c r="G163" s="95" t="s">
        <v>810</v>
      </c>
      <c r="H163" s="95" t="s">
        <v>507</v>
      </c>
      <c r="I163" s="95" t="s">
        <v>811</v>
      </c>
    </row>
    <row r="164" spans="1:9" ht="14.1" customHeight="1" x14ac:dyDescent="0.2">
      <c r="A164" s="95" t="s">
        <v>1443</v>
      </c>
      <c r="B164" s="95">
        <v>7</v>
      </c>
      <c r="C164" s="95" t="s">
        <v>532</v>
      </c>
      <c r="D164" s="95">
        <v>2012</v>
      </c>
      <c r="E164" s="95">
        <v>2.44628E-2</v>
      </c>
      <c r="F164" s="95" t="s">
        <v>507</v>
      </c>
      <c r="G164" s="95" t="s">
        <v>812</v>
      </c>
      <c r="H164" s="95" t="s">
        <v>507</v>
      </c>
      <c r="I164" s="95" t="s">
        <v>813</v>
      </c>
    </row>
    <row r="165" spans="1:9" ht="14.1" customHeight="1" x14ac:dyDescent="0.2">
      <c r="A165" s="95" t="s">
        <v>1444</v>
      </c>
      <c r="B165" s="95">
        <v>7</v>
      </c>
      <c r="C165" s="95" t="s">
        <v>536</v>
      </c>
      <c r="D165" s="95">
        <v>2012</v>
      </c>
      <c r="E165" s="95">
        <v>0.29434460000000001</v>
      </c>
      <c r="F165" s="95" t="s">
        <v>507</v>
      </c>
      <c r="G165" s="95" t="s">
        <v>812</v>
      </c>
      <c r="H165" s="95" t="s">
        <v>507</v>
      </c>
      <c r="I165" s="95" t="s">
        <v>813</v>
      </c>
    </row>
    <row r="166" spans="1:9" ht="14.1" customHeight="1" x14ac:dyDescent="0.2">
      <c r="A166" s="95" t="s">
        <v>1445</v>
      </c>
      <c r="B166" s="95">
        <v>7</v>
      </c>
      <c r="C166" s="95" t="s">
        <v>538</v>
      </c>
      <c r="D166" s="95">
        <v>2012</v>
      </c>
      <c r="E166" s="95">
        <v>1.1391036000000001</v>
      </c>
      <c r="F166" s="95" t="s">
        <v>507</v>
      </c>
      <c r="G166" s="95" t="s">
        <v>812</v>
      </c>
      <c r="H166" s="95" t="s">
        <v>507</v>
      </c>
      <c r="I166" s="95" t="s">
        <v>813</v>
      </c>
    </row>
    <row r="167" spans="1:9" ht="14.1" customHeight="1" x14ac:dyDescent="0.2">
      <c r="A167" s="95" t="s">
        <v>1446</v>
      </c>
      <c r="B167" s="95">
        <v>7</v>
      </c>
      <c r="C167" s="95" t="s">
        <v>540</v>
      </c>
      <c r="D167" s="95">
        <v>2012</v>
      </c>
      <c r="E167" s="95">
        <v>0.35527150000000002</v>
      </c>
      <c r="F167" s="95" t="s">
        <v>507</v>
      </c>
      <c r="G167" s="95" t="s">
        <v>812</v>
      </c>
      <c r="H167" s="95" t="s">
        <v>507</v>
      </c>
      <c r="I167" s="95" t="s">
        <v>813</v>
      </c>
    </row>
    <row r="168" spans="1:9" ht="14.1" customHeight="1" x14ac:dyDescent="0.2">
      <c r="A168" s="95" t="s">
        <v>1447</v>
      </c>
      <c r="B168" s="95">
        <v>7</v>
      </c>
      <c r="C168" s="95" t="s">
        <v>542</v>
      </c>
      <c r="D168" s="95">
        <v>2012</v>
      </c>
      <c r="E168" s="95">
        <v>2.0910000000000002E-2</v>
      </c>
      <c r="F168" s="95" t="s">
        <v>507</v>
      </c>
      <c r="G168" s="95" t="s">
        <v>810</v>
      </c>
      <c r="H168" s="95" t="s">
        <v>507</v>
      </c>
      <c r="I168" s="95" t="s">
        <v>811</v>
      </c>
    </row>
    <row r="169" spans="1:9" ht="14.1" customHeight="1" x14ac:dyDescent="0.2">
      <c r="A169" s="95" t="s">
        <v>1448</v>
      </c>
      <c r="B169" s="95">
        <v>7</v>
      </c>
      <c r="C169" s="95" t="s">
        <v>544</v>
      </c>
      <c r="D169" s="95">
        <v>2012</v>
      </c>
      <c r="E169" s="95">
        <v>0.23949999999999999</v>
      </c>
      <c r="F169" s="95" t="s">
        <v>507</v>
      </c>
      <c r="G169" s="95" t="s">
        <v>812</v>
      </c>
      <c r="H169" s="95" t="s">
        <v>507</v>
      </c>
      <c r="I169" s="95" t="s">
        <v>813</v>
      </c>
    </row>
    <row r="170" spans="1:9" ht="14.1" customHeight="1" x14ac:dyDescent="0.2">
      <c r="A170" s="95" t="s">
        <v>1449</v>
      </c>
      <c r="B170" s="95">
        <v>7</v>
      </c>
      <c r="C170" s="95" t="s">
        <v>546</v>
      </c>
      <c r="D170" s="95">
        <v>2012</v>
      </c>
      <c r="E170" s="95">
        <v>0.85620932189668597</v>
      </c>
      <c r="F170" s="95" t="s">
        <v>507</v>
      </c>
      <c r="G170" s="95" t="s">
        <v>810</v>
      </c>
      <c r="H170" s="95" t="s">
        <v>507</v>
      </c>
      <c r="I170" s="95" t="s">
        <v>811</v>
      </c>
    </row>
    <row r="171" spans="1:9" ht="14.1" customHeight="1" x14ac:dyDescent="0.2">
      <c r="A171" s="95" t="s">
        <v>1450</v>
      </c>
      <c r="B171" s="95">
        <v>7</v>
      </c>
      <c r="C171" s="95" t="s">
        <v>548</v>
      </c>
      <c r="D171" s="95">
        <v>2012</v>
      </c>
      <c r="E171" s="95">
        <v>0.28100000000000003</v>
      </c>
      <c r="F171" s="95" t="s">
        <v>507</v>
      </c>
      <c r="G171" s="95" t="s">
        <v>812</v>
      </c>
      <c r="H171" s="95" t="s">
        <v>507</v>
      </c>
      <c r="I171" s="95" t="s">
        <v>813</v>
      </c>
    </row>
    <row r="172" spans="1:9" ht="14.1" customHeight="1" x14ac:dyDescent="0.2">
      <c r="A172" s="95" t="s">
        <v>1451</v>
      </c>
      <c r="B172" s="95">
        <v>7</v>
      </c>
      <c r="C172" s="95" t="s">
        <v>483</v>
      </c>
      <c r="D172" s="95">
        <v>2012</v>
      </c>
      <c r="E172" s="95">
        <v>1.205E-2</v>
      </c>
      <c r="F172" s="95" t="s">
        <v>507</v>
      </c>
      <c r="G172" s="95">
        <v>0</v>
      </c>
      <c r="H172" s="95" t="s">
        <v>507</v>
      </c>
      <c r="I172" s="95">
        <v>0</v>
      </c>
    </row>
    <row r="173" spans="1:9" ht="14.1" customHeight="1" x14ac:dyDescent="0.2">
      <c r="A173" s="95" t="s">
        <v>1452</v>
      </c>
      <c r="B173" s="95">
        <v>7</v>
      </c>
      <c r="C173" s="95" t="s">
        <v>488</v>
      </c>
      <c r="D173" s="95">
        <v>2012</v>
      </c>
      <c r="E173" s="95">
        <v>1.4703040000000001</v>
      </c>
      <c r="F173" s="95" t="s">
        <v>507</v>
      </c>
      <c r="G173" s="95">
        <v>0</v>
      </c>
      <c r="H173" s="95" t="s">
        <v>507</v>
      </c>
      <c r="I173" s="95">
        <v>0</v>
      </c>
    </row>
    <row r="174" spans="1:9" ht="14.1" customHeight="1" x14ac:dyDescent="0.2">
      <c r="A174" s="95" t="s">
        <v>1453</v>
      </c>
      <c r="B174" s="95">
        <v>7</v>
      </c>
      <c r="C174" s="95" t="s">
        <v>487</v>
      </c>
      <c r="D174" s="95">
        <v>2012</v>
      </c>
      <c r="E174" s="95">
        <v>0.452263928883467</v>
      </c>
      <c r="F174" s="95" t="s">
        <v>571</v>
      </c>
      <c r="G174" s="95">
        <v>0</v>
      </c>
      <c r="H174" s="95" t="s">
        <v>571</v>
      </c>
      <c r="I174" s="95">
        <v>0</v>
      </c>
    </row>
    <row r="175" spans="1:9" ht="14.1" customHeight="1" x14ac:dyDescent="0.2">
      <c r="A175" s="95" t="s">
        <v>1454</v>
      </c>
      <c r="B175" s="95">
        <v>7</v>
      </c>
      <c r="C175" s="95" t="s">
        <v>486</v>
      </c>
      <c r="D175" s="95">
        <v>2012</v>
      </c>
      <c r="E175" s="95">
        <v>0.41239999999999999</v>
      </c>
      <c r="F175" s="95" t="s">
        <v>507</v>
      </c>
      <c r="G175" s="95">
        <v>0</v>
      </c>
      <c r="H175" s="95" t="s">
        <v>507</v>
      </c>
      <c r="I175" s="95">
        <v>0</v>
      </c>
    </row>
    <row r="176" spans="1:9" ht="14.1" customHeight="1" x14ac:dyDescent="0.2">
      <c r="A176" s="95" t="s">
        <v>1455</v>
      </c>
      <c r="B176" s="95">
        <v>7</v>
      </c>
      <c r="C176" s="95" t="s">
        <v>482</v>
      </c>
      <c r="D176" s="95">
        <v>2012</v>
      </c>
      <c r="E176" s="95">
        <v>0.33935999999999999</v>
      </c>
      <c r="F176" s="95" t="s">
        <v>507</v>
      </c>
      <c r="G176" s="95">
        <v>0</v>
      </c>
      <c r="H176" s="95" t="s">
        <v>507</v>
      </c>
      <c r="I176" s="95">
        <v>0</v>
      </c>
    </row>
    <row r="177" spans="1:9" ht="14.1" customHeight="1" x14ac:dyDescent="0.2">
      <c r="A177" s="95" t="s">
        <v>1456</v>
      </c>
      <c r="B177" s="95">
        <v>7</v>
      </c>
      <c r="C177" s="95" t="s">
        <v>490</v>
      </c>
      <c r="D177" s="95">
        <v>2012</v>
      </c>
      <c r="E177" s="95">
        <v>8.2199999999999995E-2</v>
      </c>
      <c r="F177" s="95" t="s">
        <v>507</v>
      </c>
      <c r="G177" s="95">
        <v>0</v>
      </c>
      <c r="H177" s="95" t="s">
        <v>507</v>
      </c>
      <c r="I177" s="95">
        <v>0</v>
      </c>
    </row>
    <row r="178" spans="1:9" ht="14.1" customHeight="1" x14ac:dyDescent="0.2">
      <c r="A178" s="95" t="s">
        <v>1457</v>
      </c>
      <c r="B178" s="95">
        <v>7</v>
      </c>
      <c r="C178" s="95" t="s">
        <v>481</v>
      </c>
      <c r="D178" s="95">
        <v>2012</v>
      </c>
      <c r="E178" s="95">
        <v>0.63758579999999998</v>
      </c>
      <c r="F178" s="95" t="s">
        <v>507</v>
      </c>
      <c r="G178" s="95" t="s">
        <v>565</v>
      </c>
      <c r="H178" s="95" t="s">
        <v>507</v>
      </c>
      <c r="I178" s="95" t="s">
        <v>802</v>
      </c>
    </row>
    <row r="179" spans="1:9" ht="14.1" customHeight="1" x14ac:dyDescent="0.2">
      <c r="A179" s="95" t="s">
        <v>1458</v>
      </c>
      <c r="B179" s="95">
        <v>7</v>
      </c>
      <c r="C179" s="95" t="s">
        <v>484</v>
      </c>
      <c r="D179" s="95">
        <v>2012</v>
      </c>
      <c r="E179" s="95">
        <v>5.2900000000000003E-2</v>
      </c>
      <c r="F179" s="95" t="s">
        <v>507</v>
      </c>
      <c r="G179" s="95" t="s">
        <v>565</v>
      </c>
      <c r="H179" s="95" t="s">
        <v>507</v>
      </c>
      <c r="I179" s="95" t="s">
        <v>802</v>
      </c>
    </row>
    <row r="180" spans="1:9" ht="14.1" customHeight="1" x14ac:dyDescent="0.2">
      <c r="A180" s="95" t="s">
        <v>1459</v>
      </c>
      <c r="B180" s="95">
        <v>7</v>
      </c>
      <c r="C180" s="95" t="s">
        <v>485</v>
      </c>
      <c r="D180" s="95">
        <v>2012</v>
      </c>
      <c r="E180" s="95">
        <v>4.5293999999999999</v>
      </c>
      <c r="F180" s="95" t="s">
        <v>507</v>
      </c>
      <c r="G180" s="95" t="s">
        <v>565</v>
      </c>
      <c r="H180" s="95" t="s">
        <v>507</v>
      </c>
      <c r="I180" s="95" t="s">
        <v>802</v>
      </c>
    </row>
    <row r="181" spans="1:9" ht="14.1" customHeight="1" x14ac:dyDescent="0.2">
      <c r="A181" s="95" t="s">
        <v>1460</v>
      </c>
      <c r="B181" s="95">
        <v>8</v>
      </c>
      <c r="C181" s="95" t="s">
        <v>518</v>
      </c>
      <c r="D181" s="95">
        <v>2012</v>
      </c>
      <c r="E181" s="95">
        <v>81.903149600000006</v>
      </c>
      <c r="F181" s="95" t="s">
        <v>507</v>
      </c>
      <c r="G181" s="95">
        <v>0</v>
      </c>
      <c r="H181" s="95" t="s">
        <v>507</v>
      </c>
      <c r="I181" s="95">
        <v>0</v>
      </c>
    </row>
    <row r="182" spans="1:9" ht="14.1" customHeight="1" x14ac:dyDescent="0.2">
      <c r="A182" s="95" t="s">
        <v>1461</v>
      </c>
      <c r="B182" s="95">
        <v>8</v>
      </c>
      <c r="C182" s="95" t="s">
        <v>520</v>
      </c>
      <c r="D182" s="95">
        <v>2012</v>
      </c>
      <c r="E182" s="95">
        <v>0.47486099999999998</v>
      </c>
      <c r="F182" s="95" t="s">
        <v>507</v>
      </c>
      <c r="G182" s="95">
        <v>0</v>
      </c>
      <c r="H182" s="95" t="s">
        <v>507</v>
      </c>
      <c r="I182" s="95">
        <v>0</v>
      </c>
    </row>
    <row r="183" spans="1:9" ht="14.1" customHeight="1" x14ac:dyDescent="0.2">
      <c r="A183" s="95" t="s">
        <v>1462</v>
      </c>
      <c r="B183" s="95">
        <v>8</v>
      </c>
      <c r="C183" s="95" t="s">
        <v>522</v>
      </c>
      <c r="D183" s="95">
        <v>2012</v>
      </c>
      <c r="E183" s="95">
        <v>9.6820997999999996</v>
      </c>
      <c r="F183" s="95" t="s">
        <v>507</v>
      </c>
      <c r="G183" s="95">
        <v>0</v>
      </c>
      <c r="H183" s="95" t="s">
        <v>507</v>
      </c>
      <c r="I183" s="95">
        <v>0</v>
      </c>
    </row>
    <row r="184" spans="1:9" ht="14.1" customHeight="1" x14ac:dyDescent="0.2">
      <c r="A184" s="95" t="s">
        <v>1463</v>
      </c>
      <c r="B184" s="95">
        <v>8</v>
      </c>
      <c r="C184" s="95" t="s">
        <v>524</v>
      </c>
      <c r="D184" s="95">
        <v>2012</v>
      </c>
      <c r="E184" s="95">
        <v>244.5488751</v>
      </c>
      <c r="F184" s="95" t="s">
        <v>507</v>
      </c>
      <c r="G184" s="95">
        <v>0</v>
      </c>
      <c r="H184" s="95" t="s">
        <v>507</v>
      </c>
      <c r="I184" s="95">
        <v>0</v>
      </c>
    </row>
    <row r="185" spans="1:9" ht="14.1" customHeight="1" x14ac:dyDescent="0.2">
      <c r="A185" s="95" t="s">
        <v>1464</v>
      </c>
      <c r="B185" s="95">
        <v>8</v>
      </c>
      <c r="C185" s="95" t="s">
        <v>526</v>
      </c>
      <c r="D185" s="95">
        <v>2012</v>
      </c>
      <c r="E185" s="95">
        <v>0.88939109999999999</v>
      </c>
      <c r="F185" s="95" t="s">
        <v>507</v>
      </c>
      <c r="G185" s="95">
        <v>0</v>
      </c>
      <c r="H185" s="95" t="s">
        <v>507</v>
      </c>
      <c r="I185" s="95">
        <v>0</v>
      </c>
    </row>
    <row r="186" spans="1:9" ht="14.1" customHeight="1" x14ac:dyDescent="0.2">
      <c r="A186" s="95" t="s">
        <v>1465</v>
      </c>
      <c r="B186" s="95">
        <v>8</v>
      </c>
      <c r="C186" s="95" t="s">
        <v>528</v>
      </c>
      <c r="D186" s="95">
        <v>2012</v>
      </c>
      <c r="E186" s="95">
        <v>78.276982606000004</v>
      </c>
      <c r="F186" s="95" t="s">
        <v>507</v>
      </c>
      <c r="G186" s="95">
        <v>0</v>
      </c>
      <c r="H186" s="95" t="s">
        <v>507</v>
      </c>
      <c r="I186" s="95">
        <v>0</v>
      </c>
    </row>
    <row r="187" spans="1:9" ht="14.1" customHeight="1" x14ac:dyDescent="0.2">
      <c r="A187" s="95" t="s">
        <v>1466</v>
      </c>
      <c r="B187" s="95">
        <v>8</v>
      </c>
      <c r="C187" s="95" t="s">
        <v>530</v>
      </c>
      <c r="D187" s="95">
        <v>2012</v>
      </c>
      <c r="E187" s="95">
        <v>24.922507499999998</v>
      </c>
      <c r="F187" s="95" t="s">
        <v>507</v>
      </c>
      <c r="G187" s="95">
        <v>0</v>
      </c>
      <c r="H187" s="95" t="s">
        <v>507</v>
      </c>
      <c r="I187" s="95">
        <v>0</v>
      </c>
    </row>
    <row r="188" spans="1:9" ht="14.1" customHeight="1" x14ac:dyDescent="0.2">
      <c r="A188" s="95" t="s">
        <v>1467</v>
      </c>
      <c r="B188" s="95">
        <v>8</v>
      </c>
      <c r="C188" s="95" t="s">
        <v>532</v>
      </c>
      <c r="D188" s="95">
        <v>2012</v>
      </c>
      <c r="E188" s="95">
        <v>1.232</v>
      </c>
      <c r="F188" s="95" t="s">
        <v>507</v>
      </c>
      <c r="G188" s="95">
        <v>0</v>
      </c>
      <c r="H188" s="95" t="s">
        <v>507</v>
      </c>
      <c r="I188" s="95">
        <v>0</v>
      </c>
    </row>
    <row r="189" spans="1:9" ht="14.1" customHeight="1" x14ac:dyDescent="0.2">
      <c r="A189" s="95" t="s">
        <v>1468</v>
      </c>
      <c r="B189" s="95">
        <v>8</v>
      </c>
      <c r="C189" s="95" t="s">
        <v>534</v>
      </c>
      <c r="D189" s="95">
        <v>2012</v>
      </c>
      <c r="E189" s="95">
        <v>0.78622999999999998</v>
      </c>
      <c r="F189" s="95" t="s">
        <v>507</v>
      </c>
      <c r="G189" s="95">
        <v>0</v>
      </c>
      <c r="H189" s="95" t="s">
        <v>507</v>
      </c>
      <c r="I189" s="95">
        <v>0</v>
      </c>
    </row>
    <row r="190" spans="1:9" ht="14.1" customHeight="1" x14ac:dyDescent="0.2">
      <c r="A190" s="95" t="s">
        <v>1469</v>
      </c>
      <c r="B190" s="95">
        <v>8</v>
      </c>
      <c r="C190" s="95" t="s">
        <v>536</v>
      </c>
      <c r="D190" s="95">
        <v>2012</v>
      </c>
      <c r="E190" s="95">
        <v>1.7322</v>
      </c>
      <c r="F190" s="95" t="s">
        <v>507</v>
      </c>
      <c r="G190" s="95">
        <v>0</v>
      </c>
      <c r="H190" s="95" t="s">
        <v>507</v>
      </c>
      <c r="I190" s="95">
        <v>0</v>
      </c>
    </row>
    <row r="191" spans="1:9" ht="14.1" customHeight="1" x14ac:dyDescent="0.2">
      <c r="A191" s="95" t="s">
        <v>1470</v>
      </c>
      <c r="B191" s="95">
        <v>8</v>
      </c>
      <c r="C191" s="95" t="s">
        <v>538</v>
      </c>
      <c r="D191" s="95">
        <v>2012</v>
      </c>
      <c r="E191" s="95">
        <v>45.383964800000001</v>
      </c>
      <c r="F191" s="95" t="s">
        <v>507</v>
      </c>
      <c r="G191" s="95">
        <v>0</v>
      </c>
      <c r="H191" s="95" t="s">
        <v>507</v>
      </c>
      <c r="I191" s="95">
        <v>0</v>
      </c>
    </row>
    <row r="192" spans="1:9" ht="14.1" customHeight="1" x14ac:dyDescent="0.2">
      <c r="A192" s="95" t="s">
        <v>1471</v>
      </c>
      <c r="B192" s="95">
        <v>8</v>
      </c>
      <c r="C192" s="95" t="s">
        <v>540</v>
      </c>
      <c r="D192" s="95">
        <v>2012</v>
      </c>
      <c r="E192" s="95">
        <v>9.2874298</v>
      </c>
      <c r="F192" s="95" t="s">
        <v>507</v>
      </c>
      <c r="G192" s="95">
        <v>0</v>
      </c>
      <c r="H192" s="95" t="s">
        <v>507</v>
      </c>
      <c r="I192" s="95">
        <v>0</v>
      </c>
    </row>
    <row r="193" spans="1:9" ht="14.1" customHeight="1" x14ac:dyDescent="0.2">
      <c r="A193" s="95" t="s">
        <v>1472</v>
      </c>
      <c r="B193" s="95">
        <v>8</v>
      </c>
      <c r="C193" s="95" t="s">
        <v>542</v>
      </c>
      <c r="D193" s="95">
        <v>2012</v>
      </c>
      <c r="E193" s="95">
        <v>2.0964399999999999</v>
      </c>
      <c r="F193" s="95" t="s">
        <v>507</v>
      </c>
      <c r="G193" s="95">
        <v>0</v>
      </c>
      <c r="H193" s="95" t="s">
        <v>507</v>
      </c>
      <c r="I193" s="95">
        <v>0</v>
      </c>
    </row>
    <row r="194" spans="1:9" ht="14.1" customHeight="1" x14ac:dyDescent="0.2">
      <c r="A194" s="95" t="s">
        <v>1473</v>
      </c>
      <c r="B194" s="95">
        <v>8</v>
      </c>
      <c r="C194" s="95" t="s">
        <v>544</v>
      </c>
      <c r="D194" s="95">
        <v>2012</v>
      </c>
      <c r="E194" s="95">
        <v>14.235201399999999</v>
      </c>
      <c r="F194" s="95" t="s">
        <v>507</v>
      </c>
      <c r="G194" s="95">
        <v>0</v>
      </c>
      <c r="H194" s="95" t="s">
        <v>507</v>
      </c>
      <c r="I194" s="95">
        <v>0</v>
      </c>
    </row>
    <row r="195" spans="1:9" ht="14.1" customHeight="1" x14ac:dyDescent="0.2">
      <c r="A195" s="95" t="s">
        <v>1474</v>
      </c>
      <c r="B195" s="95">
        <v>8</v>
      </c>
      <c r="C195" s="95" t="s">
        <v>546</v>
      </c>
      <c r="D195" s="95">
        <v>2012</v>
      </c>
      <c r="E195" s="95">
        <v>9.9065930590204303</v>
      </c>
      <c r="F195" s="95" t="s">
        <v>507</v>
      </c>
      <c r="G195" s="95">
        <v>0</v>
      </c>
      <c r="H195" s="95" t="s">
        <v>507</v>
      </c>
      <c r="I195" s="95">
        <v>0</v>
      </c>
    </row>
    <row r="196" spans="1:9" ht="14.1" customHeight="1" x14ac:dyDescent="0.2">
      <c r="A196" s="95" t="s">
        <v>1475</v>
      </c>
      <c r="B196" s="95">
        <v>8</v>
      </c>
      <c r="C196" s="95" t="s">
        <v>548</v>
      </c>
      <c r="D196" s="95">
        <v>2012</v>
      </c>
      <c r="E196" s="95">
        <v>96.461419800000002</v>
      </c>
      <c r="F196" s="95" t="s">
        <v>507</v>
      </c>
      <c r="G196" s="95">
        <v>0</v>
      </c>
      <c r="H196" s="95" t="s">
        <v>507</v>
      </c>
      <c r="I196" s="95">
        <v>0</v>
      </c>
    </row>
    <row r="197" spans="1:9" ht="14.1" customHeight="1" x14ac:dyDescent="0.2">
      <c r="A197" s="95" t="s">
        <v>1476</v>
      </c>
      <c r="B197" s="95">
        <v>8</v>
      </c>
      <c r="C197" s="95" t="s">
        <v>483</v>
      </c>
      <c r="D197" s="95">
        <v>2012</v>
      </c>
      <c r="E197" s="95">
        <v>0.63690000000000002</v>
      </c>
      <c r="F197" s="95" t="s">
        <v>507</v>
      </c>
      <c r="G197" s="95">
        <v>0</v>
      </c>
      <c r="H197" s="95" t="s">
        <v>507</v>
      </c>
      <c r="I197" s="95">
        <v>0</v>
      </c>
    </row>
    <row r="198" spans="1:9" ht="14.1" customHeight="1" x14ac:dyDescent="0.2">
      <c r="A198" s="95" t="s">
        <v>1477</v>
      </c>
      <c r="B198" s="95">
        <v>8</v>
      </c>
      <c r="C198" s="95" t="s">
        <v>488</v>
      </c>
      <c r="D198" s="95">
        <v>2012</v>
      </c>
      <c r="E198" s="95">
        <v>60.125165917929998</v>
      </c>
      <c r="F198" s="95" t="s">
        <v>507</v>
      </c>
      <c r="G198" s="95">
        <v>0</v>
      </c>
      <c r="H198" s="115" t="s">
        <v>507</v>
      </c>
      <c r="I198" s="95">
        <v>0</v>
      </c>
    </row>
    <row r="199" spans="1:9" ht="14.1" customHeight="1" x14ac:dyDescent="0.2">
      <c r="A199" s="95" t="s">
        <v>1478</v>
      </c>
      <c r="B199" s="95">
        <v>8</v>
      </c>
      <c r="C199" s="95" t="s">
        <v>487</v>
      </c>
      <c r="D199" s="95">
        <v>2012</v>
      </c>
      <c r="E199" s="95">
        <v>11.4573</v>
      </c>
      <c r="F199" s="95" t="s">
        <v>571</v>
      </c>
      <c r="G199" s="95">
        <v>0</v>
      </c>
      <c r="H199" s="95" t="s">
        <v>571</v>
      </c>
      <c r="I199" s="95">
        <v>0</v>
      </c>
    </row>
    <row r="200" spans="1:9" ht="14.1" customHeight="1" x14ac:dyDescent="0.2">
      <c r="A200" s="95" t="s">
        <v>1479</v>
      </c>
      <c r="B200" s="95">
        <v>8</v>
      </c>
      <c r="C200" s="95" t="s">
        <v>486</v>
      </c>
      <c r="D200" s="95">
        <v>2012</v>
      </c>
      <c r="E200" s="95">
        <v>5.33908839331</v>
      </c>
      <c r="F200" s="95" t="s">
        <v>507</v>
      </c>
      <c r="G200" s="95">
        <v>0</v>
      </c>
      <c r="H200" s="95" t="s">
        <v>507</v>
      </c>
      <c r="I200" s="95">
        <v>0</v>
      </c>
    </row>
    <row r="201" spans="1:9" ht="14.1" customHeight="1" x14ac:dyDescent="0.2">
      <c r="A201" s="95" t="s">
        <v>1480</v>
      </c>
      <c r="B201" s="95">
        <v>8</v>
      </c>
      <c r="C201" s="95" t="s">
        <v>482</v>
      </c>
      <c r="D201" s="95">
        <v>2012</v>
      </c>
      <c r="E201" s="95">
        <v>10.6265</v>
      </c>
      <c r="F201" s="95" t="s">
        <v>507</v>
      </c>
      <c r="G201" s="95">
        <v>0</v>
      </c>
      <c r="H201" s="95" t="s">
        <v>507</v>
      </c>
      <c r="I201" s="95">
        <v>0</v>
      </c>
    </row>
    <row r="202" spans="1:9" ht="14.1" customHeight="1" x14ac:dyDescent="0.2">
      <c r="A202" s="95" t="s">
        <v>1481</v>
      </c>
      <c r="B202" s="95">
        <v>8</v>
      </c>
      <c r="C202" s="95" t="s">
        <v>490</v>
      </c>
      <c r="D202" s="95">
        <v>2012</v>
      </c>
      <c r="E202" s="95">
        <v>7.4744000000000002</v>
      </c>
      <c r="F202" s="95" t="s">
        <v>507</v>
      </c>
      <c r="G202" s="95">
        <v>0</v>
      </c>
      <c r="H202" s="95" t="s">
        <v>507</v>
      </c>
      <c r="I202" s="95">
        <v>0</v>
      </c>
    </row>
    <row r="203" spans="1:9" ht="14.1" customHeight="1" x14ac:dyDescent="0.2">
      <c r="A203" s="95" t="s">
        <v>1482</v>
      </c>
      <c r="B203" s="95">
        <v>8</v>
      </c>
      <c r="C203" s="95" t="s">
        <v>481</v>
      </c>
      <c r="D203" s="95">
        <v>2012</v>
      </c>
      <c r="E203" s="95">
        <v>370.00369590000003</v>
      </c>
      <c r="F203" s="95" t="s">
        <v>507</v>
      </c>
      <c r="G203" s="95">
        <v>0</v>
      </c>
      <c r="H203" s="95" t="s">
        <v>507</v>
      </c>
      <c r="I203" s="95">
        <v>0</v>
      </c>
    </row>
    <row r="204" spans="1:9" ht="14.1" customHeight="1" x14ac:dyDescent="0.2">
      <c r="A204" s="95" t="s">
        <v>1483</v>
      </c>
      <c r="B204" s="95">
        <v>8</v>
      </c>
      <c r="C204" s="95" t="s">
        <v>484</v>
      </c>
      <c r="D204" s="95">
        <v>2012</v>
      </c>
      <c r="E204" s="95">
        <v>4.2699411999999999</v>
      </c>
      <c r="F204" s="95" t="s">
        <v>507</v>
      </c>
      <c r="G204" s="95">
        <v>0</v>
      </c>
      <c r="H204" s="95" t="s">
        <v>507</v>
      </c>
      <c r="I204" s="95">
        <v>0</v>
      </c>
    </row>
    <row r="205" spans="1:9" ht="14.1" customHeight="1" x14ac:dyDescent="0.2">
      <c r="A205" s="95" t="s">
        <v>1484</v>
      </c>
      <c r="B205" s="95">
        <v>8</v>
      </c>
      <c r="C205" s="95" t="s">
        <v>485</v>
      </c>
      <c r="D205" s="95">
        <v>2012</v>
      </c>
      <c r="E205" s="95">
        <v>18.024983800000001</v>
      </c>
      <c r="F205" s="95" t="s">
        <v>507</v>
      </c>
      <c r="G205" s="95">
        <v>0</v>
      </c>
      <c r="H205" s="95" t="s">
        <v>507</v>
      </c>
      <c r="I205" s="95">
        <v>0</v>
      </c>
    </row>
    <row r="206" spans="1:9" ht="14.1" customHeight="1" x14ac:dyDescent="0.2">
      <c r="A206" s="95" t="s">
        <v>1485</v>
      </c>
      <c r="B206" s="95">
        <v>8</v>
      </c>
      <c r="C206" s="95" t="s">
        <v>489</v>
      </c>
      <c r="D206" s="95">
        <v>2012</v>
      </c>
      <c r="E206" s="95">
        <v>9.0161134999999994</v>
      </c>
      <c r="F206" s="95" t="s">
        <v>507</v>
      </c>
      <c r="G206" s="95">
        <v>0</v>
      </c>
      <c r="H206" s="95" t="s">
        <v>507</v>
      </c>
      <c r="I206" s="95">
        <v>0</v>
      </c>
    </row>
    <row r="207" spans="1:9" ht="14.1" customHeight="1" x14ac:dyDescent="0.2">
      <c r="A207" s="95" t="s">
        <v>1486</v>
      </c>
      <c r="B207" s="95">
        <v>9</v>
      </c>
      <c r="C207" s="95" t="s">
        <v>518</v>
      </c>
      <c r="D207" s="95">
        <v>2012</v>
      </c>
      <c r="E207" s="95">
        <v>100244570.502</v>
      </c>
      <c r="F207" s="95" t="s">
        <v>3070</v>
      </c>
      <c r="G207" s="95">
        <v>0</v>
      </c>
      <c r="H207" s="95" t="s">
        <v>3070</v>
      </c>
      <c r="I207" s="95">
        <v>0</v>
      </c>
    </row>
    <row r="208" spans="1:9" ht="14.1" customHeight="1" x14ac:dyDescent="0.2">
      <c r="A208" s="95" t="s">
        <v>1487</v>
      </c>
      <c r="B208" s="95">
        <v>9</v>
      </c>
      <c r="C208" s="95" t="s">
        <v>520</v>
      </c>
      <c r="D208" s="95">
        <v>2012</v>
      </c>
      <c r="E208" s="95">
        <v>499678.22700000001</v>
      </c>
      <c r="F208" s="95" t="s">
        <v>574</v>
      </c>
      <c r="G208" s="95">
        <v>0</v>
      </c>
      <c r="H208" s="95" t="s">
        <v>574</v>
      </c>
      <c r="I208" s="95">
        <v>0</v>
      </c>
    </row>
    <row r="209" spans="1:9" ht="14.1" customHeight="1" x14ac:dyDescent="0.2">
      <c r="A209" s="95" t="s">
        <v>1488</v>
      </c>
      <c r="B209" s="95">
        <v>9</v>
      </c>
      <c r="C209" s="95" t="s">
        <v>522</v>
      </c>
      <c r="D209" s="95">
        <v>2012</v>
      </c>
      <c r="E209" s="95">
        <v>15599157.466</v>
      </c>
      <c r="F209" s="95" t="s">
        <v>3070</v>
      </c>
      <c r="G209" s="95">
        <v>0</v>
      </c>
      <c r="H209" s="95" t="s">
        <v>3070</v>
      </c>
      <c r="I209" s="95">
        <v>0</v>
      </c>
    </row>
    <row r="210" spans="1:9" ht="14.1" customHeight="1" x14ac:dyDescent="0.2">
      <c r="A210" s="95" t="s">
        <v>1489</v>
      </c>
      <c r="B210" s="95">
        <v>9</v>
      </c>
      <c r="C210" s="95" t="s">
        <v>524</v>
      </c>
      <c r="D210" s="95">
        <v>2012</v>
      </c>
      <c r="E210" s="95">
        <v>537536631.38199997</v>
      </c>
      <c r="F210" s="95" t="s">
        <v>3070</v>
      </c>
      <c r="G210" s="95">
        <v>0</v>
      </c>
      <c r="H210" s="95" t="s">
        <v>3070</v>
      </c>
      <c r="I210" s="95">
        <v>0</v>
      </c>
    </row>
    <row r="211" spans="1:9" ht="14.1" customHeight="1" x14ac:dyDescent="0.2">
      <c r="A211" s="95" t="s">
        <v>1490</v>
      </c>
      <c r="B211" s="95">
        <v>9</v>
      </c>
      <c r="C211" s="95" t="s">
        <v>526</v>
      </c>
      <c r="D211" s="95">
        <v>2012</v>
      </c>
      <c r="E211" s="95">
        <v>2795797.8879999998</v>
      </c>
      <c r="F211" s="95" t="s">
        <v>3070</v>
      </c>
      <c r="G211" s="95">
        <v>0</v>
      </c>
      <c r="H211" s="95" t="s">
        <v>3070</v>
      </c>
      <c r="I211" s="95">
        <v>0</v>
      </c>
    </row>
    <row r="212" spans="1:9" ht="14.1" customHeight="1" x14ac:dyDescent="0.2">
      <c r="A212" s="95" t="s">
        <v>1491</v>
      </c>
      <c r="B212" s="95">
        <v>9</v>
      </c>
      <c r="C212" s="95" t="s">
        <v>528</v>
      </c>
      <c r="D212" s="95">
        <v>2012</v>
      </c>
      <c r="E212" s="95">
        <v>43837764.449000001</v>
      </c>
      <c r="F212" s="95" t="s">
        <v>3070</v>
      </c>
      <c r="G212" s="95">
        <v>0</v>
      </c>
      <c r="H212" s="95" t="s">
        <v>3070</v>
      </c>
      <c r="I212" s="95">
        <v>0</v>
      </c>
    </row>
    <row r="213" spans="1:9" ht="14.1" customHeight="1" x14ac:dyDescent="0.2">
      <c r="A213" s="95" t="s">
        <v>1492</v>
      </c>
      <c r="B213" s="95">
        <v>9</v>
      </c>
      <c r="C213" s="95" t="s">
        <v>530</v>
      </c>
      <c r="D213" s="95">
        <v>2012</v>
      </c>
      <c r="E213" s="95">
        <v>27849775.333000001</v>
      </c>
      <c r="F213" s="95" t="s">
        <v>3070</v>
      </c>
      <c r="G213" s="95">
        <v>0</v>
      </c>
      <c r="H213" s="95" t="s">
        <v>3070</v>
      </c>
      <c r="I213" s="95">
        <v>0</v>
      </c>
    </row>
    <row r="214" spans="1:9" ht="14.1" customHeight="1" x14ac:dyDescent="0.2">
      <c r="A214" s="95" t="s">
        <v>1493</v>
      </c>
      <c r="B214" s="95">
        <v>9</v>
      </c>
      <c r="C214" s="95" t="s">
        <v>532</v>
      </c>
      <c r="D214" s="95">
        <v>2012</v>
      </c>
      <c r="E214" s="95">
        <v>2029466.226</v>
      </c>
      <c r="F214" s="95" t="s">
        <v>3070</v>
      </c>
      <c r="G214" s="95">
        <v>0</v>
      </c>
      <c r="H214" s="95" t="s">
        <v>3070</v>
      </c>
      <c r="I214" s="95">
        <v>0</v>
      </c>
    </row>
    <row r="215" spans="1:9" ht="14.1" customHeight="1" x14ac:dyDescent="0.2">
      <c r="A215" s="95" t="s">
        <v>1494</v>
      </c>
      <c r="B215" s="95">
        <v>9</v>
      </c>
      <c r="C215" s="95" t="s">
        <v>536</v>
      </c>
      <c r="D215" s="95">
        <v>2012</v>
      </c>
      <c r="E215" s="95">
        <v>7537315.4819999998</v>
      </c>
      <c r="F215" s="95" t="s">
        <v>3070</v>
      </c>
      <c r="G215" s="95">
        <v>0</v>
      </c>
      <c r="H215" s="95" t="s">
        <v>3070</v>
      </c>
      <c r="I215" s="95">
        <v>0</v>
      </c>
    </row>
    <row r="216" spans="1:9" ht="14.1" customHeight="1" x14ac:dyDescent="0.2">
      <c r="A216" s="95" t="s">
        <v>1495</v>
      </c>
      <c r="B216" s="95">
        <v>9</v>
      </c>
      <c r="C216" s="95" t="s">
        <v>538</v>
      </c>
      <c r="D216" s="95">
        <v>2012</v>
      </c>
      <c r="E216" s="95">
        <v>37059596.365000002</v>
      </c>
      <c r="F216" s="95" t="s">
        <v>3070</v>
      </c>
      <c r="G216" s="95">
        <v>0</v>
      </c>
      <c r="H216" s="95" t="s">
        <v>3070</v>
      </c>
      <c r="I216" s="95">
        <v>0</v>
      </c>
    </row>
    <row r="217" spans="1:9" ht="14.1" customHeight="1" x14ac:dyDescent="0.2">
      <c r="A217" s="95" t="s">
        <v>1496</v>
      </c>
      <c r="B217" s="95">
        <v>9</v>
      </c>
      <c r="C217" s="95" t="s">
        <v>540</v>
      </c>
      <c r="D217" s="95">
        <v>2012</v>
      </c>
      <c r="E217" s="95">
        <v>11816765.481977999</v>
      </c>
      <c r="F217" s="95" t="s">
        <v>798</v>
      </c>
      <c r="G217" s="95">
        <v>0</v>
      </c>
      <c r="H217" s="95" t="s">
        <v>798</v>
      </c>
      <c r="I217" s="95">
        <v>0</v>
      </c>
    </row>
    <row r="218" spans="1:9" ht="14.1" customHeight="1" x14ac:dyDescent="0.2">
      <c r="A218" s="95" t="s">
        <v>1497</v>
      </c>
      <c r="B218" s="95">
        <v>9</v>
      </c>
      <c r="C218" s="95" t="s">
        <v>542</v>
      </c>
      <c r="D218" s="95">
        <v>2012</v>
      </c>
      <c r="E218" s="95">
        <v>1228304.2109999999</v>
      </c>
      <c r="F218" s="95" t="s">
        <v>562</v>
      </c>
      <c r="G218" s="95" t="s">
        <v>565</v>
      </c>
      <c r="H218" s="95" t="s">
        <v>562</v>
      </c>
      <c r="I218" s="95" t="s">
        <v>802</v>
      </c>
    </row>
    <row r="219" spans="1:9" ht="14.1" customHeight="1" x14ac:dyDescent="0.2">
      <c r="A219" s="95" t="s">
        <v>1498</v>
      </c>
      <c r="B219" s="95">
        <v>9</v>
      </c>
      <c r="C219" s="95" t="s">
        <v>544</v>
      </c>
      <c r="D219" s="95">
        <v>2012</v>
      </c>
      <c r="E219" s="95">
        <v>25518635.283</v>
      </c>
      <c r="F219" s="95" t="s">
        <v>3070</v>
      </c>
      <c r="G219" s="95" t="s">
        <v>572</v>
      </c>
      <c r="H219" s="95" t="s">
        <v>3070</v>
      </c>
      <c r="I219" s="95" t="s">
        <v>814</v>
      </c>
    </row>
    <row r="220" spans="1:9" ht="14.1" customHeight="1" x14ac:dyDescent="0.2">
      <c r="A220" s="95" t="s">
        <v>1499</v>
      </c>
      <c r="B220" s="95">
        <v>9</v>
      </c>
      <c r="C220" s="95" t="s">
        <v>546</v>
      </c>
      <c r="D220" s="95">
        <v>2012</v>
      </c>
      <c r="E220" s="95">
        <v>11953003.3525899</v>
      </c>
      <c r="F220" s="95" t="s">
        <v>589</v>
      </c>
      <c r="G220" s="95">
        <v>0</v>
      </c>
      <c r="H220" s="95" t="s">
        <v>589</v>
      </c>
      <c r="I220" s="95">
        <v>0</v>
      </c>
    </row>
    <row r="221" spans="1:9" ht="14.1" customHeight="1" x14ac:dyDescent="0.2">
      <c r="A221" s="95" t="s">
        <v>1500</v>
      </c>
      <c r="B221" s="95">
        <v>9</v>
      </c>
      <c r="C221" s="95" t="s">
        <v>548</v>
      </c>
      <c r="D221" s="95">
        <v>2012</v>
      </c>
      <c r="E221" s="95">
        <v>117437477.006</v>
      </c>
      <c r="F221" s="95" t="s">
        <v>3070</v>
      </c>
      <c r="G221" s="95">
        <v>0</v>
      </c>
      <c r="H221" s="95" t="s">
        <v>3070</v>
      </c>
      <c r="I221" s="95">
        <v>0</v>
      </c>
    </row>
    <row r="222" spans="1:9" ht="14.1" customHeight="1" x14ac:dyDescent="0.2">
      <c r="A222" s="95" t="s">
        <v>1501</v>
      </c>
      <c r="B222" s="95">
        <v>9</v>
      </c>
      <c r="C222" s="95" t="s">
        <v>483</v>
      </c>
      <c r="D222" s="95">
        <v>2012</v>
      </c>
      <c r="E222" s="95">
        <v>352043.95699999999</v>
      </c>
      <c r="F222" s="95" t="s">
        <v>815</v>
      </c>
      <c r="G222" s="95">
        <v>0</v>
      </c>
      <c r="H222" s="95" t="s">
        <v>815</v>
      </c>
      <c r="I222" s="95">
        <v>0</v>
      </c>
    </row>
    <row r="223" spans="1:9" ht="14.1" customHeight="1" x14ac:dyDescent="0.2">
      <c r="A223" s="95" t="s">
        <v>1502</v>
      </c>
      <c r="B223" s="95">
        <v>9</v>
      </c>
      <c r="C223" s="95" t="s">
        <v>488</v>
      </c>
      <c r="D223" s="95">
        <v>2012</v>
      </c>
      <c r="E223" s="95">
        <v>129355981.10087</v>
      </c>
      <c r="F223" s="95" t="s">
        <v>815</v>
      </c>
      <c r="G223" s="95">
        <v>0</v>
      </c>
      <c r="H223" s="95" t="s">
        <v>815</v>
      </c>
      <c r="I223" s="95">
        <v>0</v>
      </c>
    </row>
    <row r="224" spans="1:9" ht="14.1" customHeight="1" x14ac:dyDescent="0.2">
      <c r="A224" s="95" t="s">
        <v>1503</v>
      </c>
      <c r="B224" s="95">
        <v>9</v>
      </c>
      <c r="C224" s="95" t="s">
        <v>487</v>
      </c>
      <c r="D224" s="95">
        <v>2012</v>
      </c>
      <c r="E224" s="95">
        <v>14320485.425000001</v>
      </c>
      <c r="F224" s="95" t="s">
        <v>567</v>
      </c>
      <c r="G224" s="95">
        <v>0</v>
      </c>
      <c r="H224" s="95" t="s">
        <v>567</v>
      </c>
      <c r="I224" s="95">
        <v>0</v>
      </c>
    </row>
    <row r="225" spans="1:9" ht="14.1" customHeight="1" x14ac:dyDescent="0.2">
      <c r="A225" s="95" t="s">
        <v>1504</v>
      </c>
      <c r="B225" s="95">
        <v>9</v>
      </c>
      <c r="C225" s="95" t="s">
        <v>486</v>
      </c>
      <c r="D225" s="95">
        <v>2012</v>
      </c>
      <c r="E225" s="95">
        <v>2838803.64756</v>
      </c>
      <c r="F225" s="95" t="s">
        <v>815</v>
      </c>
      <c r="G225" s="95">
        <v>0</v>
      </c>
      <c r="H225" s="95" t="s">
        <v>815</v>
      </c>
      <c r="I225" s="95">
        <v>0</v>
      </c>
    </row>
    <row r="226" spans="1:9" ht="14.1" customHeight="1" x14ac:dyDescent="0.2">
      <c r="A226" s="95" t="s">
        <v>1505</v>
      </c>
      <c r="B226" s="95">
        <v>9</v>
      </c>
      <c r="C226" s="95" t="s">
        <v>482</v>
      </c>
      <c r="D226" s="95">
        <v>2012</v>
      </c>
      <c r="E226" s="95">
        <v>9525017.4810000006</v>
      </c>
      <c r="F226" s="95" t="s">
        <v>815</v>
      </c>
      <c r="G226" s="95">
        <v>0</v>
      </c>
      <c r="H226" s="95" t="s">
        <v>815</v>
      </c>
      <c r="I226" s="95">
        <v>0</v>
      </c>
    </row>
    <row r="227" spans="1:9" ht="14.1" customHeight="1" x14ac:dyDescent="0.2">
      <c r="A227" s="95" t="s">
        <v>1506</v>
      </c>
      <c r="B227" s="95">
        <v>9</v>
      </c>
      <c r="C227" s="95" t="s">
        <v>490</v>
      </c>
      <c r="D227" s="95">
        <v>2012</v>
      </c>
      <c r="E227" s="95">
        <v>3286099</v>
      </c>
      <c r="F227" s="95" t="s">
        <v>815</v>
      </c>
      <c r="G227" s="95" t="s">
        <v>573</v>
      </c>
      <c r="H227" s="95" t="s">
        <v>815</v>
      </c>
      <c r="I227" s="95" t="s">
        <v>816</v>
      </c>
    </row>
    <row r="228" spans="1:9" ht="14.1" customHeight="1" x14ac:dyDescent="0.2">
      <c r="A228" s="95" t="s">
        <v>1507</v>
      </c>
      <c r="B228" s="95">
        <v>9</v>
      </c>
      <c r="C228" s="95" t="s">
        <v>481</v>
      </c>
      <c r="D228" s="95">
        <v>2012</v>
      </c>
      <c r="E228" s="95">
        <v>75436910.116999999</v>
      </c>
      <c r="F228" s="95" t="s">
        <v>815</v>
      </c>
      <c r="G228" s="95">
        <v>0</v>
      </c>
      <c r="H228" s="95" t="s">
        <v>815</v>
      </c>
      <c r="I228" s="95">
        <v>0</v>
      </c>
    </row>
    <row r="229" spans="1:9" ht="14.1" customHeight="1" x14ac:dyDescent="0.2">
      <c r="A229" s="95" t="s">
        <v>1508</v>
      </c>
      <c r="B229" s="95">
        <v>9</v>
      </c>
      <c r="C229" s="95" t="s">
        <v>484</v>
      </c>
      <c r="D229" s="95">
        <v>2012</v>
      </c>
      <c r="E229" s="95">
        <v>1624135.206</v>
      </c>
      <c r="F229" s="95" t="s">
        <v>815</v>
      </c>
      <c r="G229" s="95">
        <v>0</v>
      </c>
      <c r="H229" s="95" t="s">
        <v>815</v>
      </c>
      <c r="I229" s="95">
        <v>0</v>
      </c>
    </row>
    <row r="230" spans="1:9" ht="14.1" customHeight="1" x14ac:dyDescent="0.2">
      <c r="A230" s="95" t="s">
        <v>1509</v>
      </c>
      <c r="B230" s="95">
        <v>9</v>
      </c>
      <c r="C230" s="95" t="s">
        <v>485</v>
      </c>
      <c r="D230" s="95">
        <v>2012</v>
      </c>
      <c r="E230" s="95">
        <v>2365909.659</v>
      </c>
      <c r="F230" s="95" t="s">
        <v>815</v>
      </c>
      <c r="G230" s="95">
        <v>0</v>
      </c>
      <c r="H230" s="95" t="s">
        <v>815</v>
      </c>
      <c r="I230" s="95">
        <v>0</v>
      </c>
    </row>
    <row r="231" spans="1:9" ht="14.1" customHeight="1" x14ac:dyDescent="0.2">
      <c r="A231" s="95" t="s">
        <v>1510</v>
      </c>
      <c r="B231" s="95">
        <v>9</v>
      </c>
      <c r="C231" s="95" t="s">
        <v>489</v>
      </c>
      <c r="D231" s="95">
        <v>2012</v>
      </c>
      <c r="E231" s="95">
        <v>5487326.78623203</v>
      </c>
      <c r="F231" s="95" t="s">
        <v>815</v>
      </c>
      <c r="G231" s="95" t="s">
        <v>565</v>
      </c>
      <c r="H231" s="95" t="s">
        <v>815</v>
      </c>
      <c r="I231" s="95" t="s">
        <v>802</v>
      </c>
    </row>
    <row r="232" spans="1:9" ht="14.1" customHeight="1" x14ac:dyDescent="0.2">
      <c r="A232" s="95" t="s">
        <v>1511</v>
      </c>
      <c r="B232" s="95">
        <v>10</v>
      </c>
      <c r="C232" s="95" t="s">
        <v>518</v>
      </c>
      <c r="D232" s="95">
        <v>2012</v>
      </c>
      <c r="E232" s="95">
        <v>65.773621199999994</v>
      </c>
      <c r="F232" s="95" t="s">
        <v>507</v>
      </c>
      <c r="G232" s="95">
        <v>0</v>
      </c>
      <c r="H232" s="95" t="s">
        <v>507</v>
      </c>
      <c r="I232" s="95">
        <v>0</v>
      </c>
    </row>
    <row r="233" spans="1:9" ht="14.1" customHeight="1" x14ac:dyDescent="0.2">
      <c r="A233" s="95" t="s">
        <v>1512</v>
      </c>
      <c r="B233" s="95">
        <v>10</v>
      </c>
      <c r="C233" s="95" t="s">
        <v>520</v>
      </c>
      <c r="D233" s="95">
        <v>2012</v>
      </c>
      <c r="E233" s="95">
        <v>1.8449346</v>
      </c>
      <c r="F233" s="95" t="s">
        <v>507</v>
      </c>
      <c r="G233" s="95">
        <v>0</v>
      </c>
      <c r="H233" s="95" t="s">
        <v>507</v>
      </c>
      <c r="I233" s="95">
        <v>0</v>
      </c>
    </row>
    <row r="234" spans="1:9" ht="14.1" customHeight="1" x14ac:dyDescent="0.2">
      <c r="A234" s="95" t="s">
        <v>1513</v>
      </c>
      <c r="B234" s="95">
        <v>10</v>
      </c>
      <c r="C234" s="95" t="s">
        <v>522</v>
      </c>
      <c r="D234" s="95">
        <v>2012</v>
      </c>
      <c r="E234" s="95">
        <v>8.2590508000000007</v>
      </c>
      <c r="F234" s="95" t="s">
        <v>507</v>
      </c>
      <c r="G234" s="95">
        <v>0</v>
      </c>
      <c r="H234" s="95" t="s">
        <v>507</v>
      </c>
      <c r="I234" s="95">
        <v>0</v>
      </c>
    </row>
    <row r="235" spans="1:9" ht="14.1" customHeight="1" x14ac:dyDescent="0.2">
      <c r="A235" s="95" t="s">
        <v>1514</v>
      </c>
      <c r="B235" s="95">
        <v>10</v>
      </c>
      <c r="C235" s="95" t="s">
        <v>524</v>
      </c>
      <c r="D235" s="95">
        <v>2012</v>
      </c>
      <c r="E235" s="95">
        <v>226.3847342</v>
      </c>
      <c r="F235" s="95" t="s">
        <v>507</v>
      </c>
      <c r="G235" s="95">
        <v>0</v>
      </c>
      <c r="H235" s="95" t="s">
        <v>507</v>
      </c>
      <c r="I235" s="95">
        <v>0</v>
      </c>
    </row>
    <row r="236" spans="1:9" ht="14.1" customHeight="1" x14ac:dyDescent="0.2">
      <c r="A236" s="95" t="s">
        <v>1515</v>
      </c>
      <c r="B236" s="95">
        <v>10</v>
      </c>
      <c r="C236" s="95" t="s">
        <v>526</v>
      </c>
      <c r="D236" s="95">
        <v>2012</v>
      </c>
      <c r="E236" s="95">
        <v>3.4392111999999999</v>
      </c>
      <c r="F236" s="95" t="s">
        <v>507</v>
      </c>
      <c r="G236" s="95">
        <v>0</v>
      </c>
      <c r="H236" s="95" t="s">
        <v>507</v>
      </c>
      <c r="I236" s="95">
        <v>0</v>
      </c>
    </row>
    <row r="237" spans="1:9" ht="14.1" customHeight="1" x14ac:dyDescent="0.2">
      <c r="A237" s="95" t="s">
        <v>1516</v>
      </c>
      <c r="B237" s="95">
        <v>10</v>
      </c>
      <c r="C237" s="95" t="s">
        <v>528</v>
      </c>
      <c r="D237" s="95">
        <v>2012</v>
      </c>
      <c r="E237" s="95">
        <v>74.855107519000001</v>
      </c>
      <c r="F237" s="95" t="s">
        <v>507</v>
      </c>
      <c r="G237" s="95">
        <v>0</v>
      </c>
      <c r="H237" s="95" t="s">
        <v>507</v>
      </c>
      <c r="I237" s="95">
        <v>0</v>
      </c>
    </row>
    <row r="238" spans="1:9" ht="14.1" customHeight="1" x14ac:dyDescent="0.2">
      <c r="A238" s="95" t="s">
        <v>1517</v>
      </c>
      <c r="B238" s="95">
        <v>10</v>
      </c>
      <c r="C238" s="95" t="s">
        <v>530</v>
      </c>
      <c r="D238" s="95">
        <v>2012</v>
      </c>
      <c r="E238" s="95">
        <v>24.904233000000001</v>
      </c>
      <c r="F238" s="95" t="s">
        <v>507</v>
      </c>
      <c r="G238" s="95">
        <v>0</v>
      </c>
      <c r="H238" s="95" t="s">
        <v>507</v>
      </c>
      <c r="I238" s="95">
        <v>0</v>
      </c>
    </row>
    <row r="239" spans="1:9" ht="14.1" customHeight="1" x14ac:dyDescent="0.2">
      <c r="A239" s="95" t="s">
        <v>1518</v>
      </c>
      <c r="B239" s="95">
        <v>10</v>
      </c>
      <c r="C239" s="95" t="s">
        <v>532</v>
      </c>
      <c r="D239" s="95">
        <v>2012</v>
      </c>
      <c r="E239" s="95">
        <v>1.9390000000000001</v>
      </c>
      <c r="F239" s="95" t="s">
        <v>507</v>
      </c>
      <c r="G239" s="95">
        <v>0</v>
      </c>
      <c r="H239" s="95" t="s">
        <v>507</v>
      </c>
      <c r="I239" s="95">
        <v>0</v>
      </c>
    </row>
    <row r="240" spans="1:9" ht="14.1" customHeight="1" x14ac:dyDescent="0.2">
      <c r="A240" s="95" t="s">
        <v>1519</v>
      </c>
      <c r="B240" s="95">
        <v>10</v>
      </c>
      <c r="C240" s="95" t="s">
        <v>534</v>
      </c>
      <c r="D240" s="95">
        <v>2012</v>
      </c>
      <c r="E240" s="95">
        <v>2.7906300000000002</v>
      </c>
      <c r="F240" s="95" t="s">
        <v>507</v>
      </c>
      <c r="G240" s="95">
        <v>0</v>
      </c>
      <c r="H240" s="95" t="s">
        <v>507</v>
      </c>
      <c r="I240" s="95">
        <v>0</v>
      </c>
    </row>
    <row r="241" spans="1:9" ht="14.1" customHeight="1" x14ac:dyDescent="0.2">
      <c r="A241" s="95" t="s">
        <v>1520</v>
      </c>
      <c r="B241" s="95">
        <v>10</v>
      </c>
      <c r="C241" s="95" t="s">
        <v>536</v>
      </c>
      <c r="D241" s="95">
        <v>2012</v>
      </c>
      <c r="E241" s="95">
        <v>5.6</v>
      </c>
      <c r="F241" s="95" t="s">
        <v>507</v>
      </c>
      <c r="G241" s="95">
        <v>0</v>
      </c>
      <c r="H241" s="95" t="s">
        <v>507</v>
      </c>
      <c r="I241" s="95">
        <v>0</v>
      </c>
    </row>
    <row r="242" spans="1:9" ht="14.1" customHeight="1" x14ac:dyDescent="0.2">
      <c r="A242" s="95" t="s">
        <v>1521</v>
      </c>
      <c r="B242" s="95">
        <v>10</v>
      </c>
      <c r="C242" s="95" t="s">
        <v>538</v>
      </c>
      <c r="D242" s="95">
        <v>2012</v>
      </c>
      <c r="E242" s="95">
        <v>40.220317899999998</v>
      </c>
      <c r="F242" s="95" t="s">
        <v>507</v>
      </c>
      <c r="G242" s="95">
        <v>0</v>
      </c>
      <c r="H242" s="95" t="s">
        <v>507</v>
      </c>
      <c r="I242" s="95">
        <v>0</v>
      </c>
    </row>
    <row r="243" spans="1:9" ht="14.1" customHeight="1" x14ac:dyDescent="0.2">
      <c r="A243" s="95" t="s">
        <v>1522</v>
      </c>
      <c r="B243" s="95">
        <v>10</v>
      </c>
      <c r="C243" s="95" t="s">
        <v>540</v>
      </c>
      <c r="D243" s="95">
        <v>2012</v>
      </c>
      <c r="E243" s="95">
        <v>11.1228345</v>
      </c>
      <c r="F243" s="95" t="s">
        <v>507</v>
      </c>
      <c r="G243" s="95">
        <v>0</v>
      </c>
      <c r="H243" s="95" t="s">
        <v>507</v>
      </c>
      <c r="I243" s="95">
        <v>0</v>
      </c>
    </row>
    <row r="244" spans="1:9" ht="14.1" customHeight="1" x14ac:dyDescent="0.2">
      <c r="A244" s="95" t="s">
        <v>1523</v>
      </c>
      <c r="B244" s="95">
        <v>10</v>
      </c>
      <c r="C244" s="95" t="s">
        <v>542</v>
      </c>
      <c r="D244" s="95">
        <v>2012</v>
      </c>
      <c r="E244" s="95">
        <v>1.36799</v>
      </c>
      <c r="F244" s="95" t="s">
        <v>507</v>
      </c>
      <c r="G244" s="95">
        <v>0</v>
      </c>
      <c r="H244" s="95" t="s">
        <v>507</v>
      </c>
      <c r="I244" s="95">
        <v>0</v>
      </c>
    </row>
    <row r="245" spans="1:9" ht="14.1" customHeight="1" x14ac:dyDescent="0.2">
      <c r="A245" s="95" t="s">
        <v>1524</v>
      </c>
      <c r="B245" s="95">
        <v>10</v>
      </c>
      <c r="C245" s="95" t="s">
        <v>544</v>
      </c>
      <c r="D245" s="95">
        <v>2012</v>
      </c>
      <c r="E245" s="95">
        <v>10.04832</v>
      </c>
      <c r="F245" s="95" t="s">
        <v>507</v>
      </c>
      <c r="G245" s="95">
        <v>0</v>
      </c>
      <c r="H245" s="95" t="s">
        <v>507</v>
      </c>
      <c r="I245" s="95">
        <v>0</v>
      </c>
    </row>
    <row r="246" spans="1:9" ht="14.1" customHeight="1" x14ac:dyDescent="0.2">
      <c r="A246" s="95" t="s">
        <v>1525</v>
      </c>
      <c r="B246" s="95">
        <v>10</v>
      </c>
      <c r="C246" s="95" t="s">
        <v>546</v>
      </c>
      <c r="D246" s="95">
        <v>2012</v>
      </c>
      <c r="E246" s="95">
        <v>12.217000623701001</v>
      </c>
      <c r="F246" s="95" t="s">
        <v>507</v>
      </c>
      <c r="G246" s="95">
        <v>0</v>
      </c>
      <c r="H246" s="95" t="s">
        <v>507</v>
      </c>
      <c r="I246" s="95">
        <v>0</v>
      </c>
    </row>
    <row r="247" spans="1:9" ht="14.1" customHeight="1" x14ac:dyDescent="0.2">
      <c r="A247" s="95" t="s">
        <v>1526</v>
      </c>
      <c r="B247" s="95">
        <v>10</v>
      </c>
      <c r="C247" s="95" t="s">
        <v>548</v>
      </c>
      <c r="D247" s="95">
        <v>2012</v>
      </c>
      <c r="E247" s="95">
        <v>56.392989100000001</v>
      </c>
      <c r="F247" s="95" t="s">
        <v>507</v>
      </c>
      <c r="G247" s="95">
        <v>0</v>
      </c>
      <c r="H247" s="95" t="s">
        <v>507</v>
      </c>
      <c r="I247" s="95">
        <v>0</v>
      </c>
    </row>
    <row r="248" spans="1:9" ht="14.1" customHeight="1" x14ac:dyDescent="0.2">
      <c r="A248" s="95" t="s">
        <v>1527</v>
      </c>
      <c r="B248" s="95">
        <v>10</v>
      </c>
      <c r="C248" s="95" t="s">
        <v>483</v>
      </c>
      <c r="D248" s="95">
        <v>2012</v>
      </c>
      <c r="E248" s="95">
        <v>0.82399999999999995</v>
      </c>
      <c r="F248" s="95" t="s">
        <v>507</v>
      </c>
      <c r="G248" s="95">
        <v>0</v>
      </c>
      <c r="H248" s="95" t="s">
        <v>507</v>
      </c>
      <c r="I248" s="95">
        <v>0</v>
      </c>
    </row>
    <row r="249" spans="1:9" ht="14.1" customHeight="1" x14ac:dyDescent="0.2">
      <c r="A249" s="95" t="s">
        <v>1528</v>
      </c>
      <c r="B249" s="95">
        <v>10</v>
      </c>
      <c r="C249" s="95" t="s">
        <v>488</v>
      </c>
      <c r="D249" s="95">
        <v>2012</v>
      </c>
      <c r="E249" s="95">
        <v>56.092407639420003</v>
      </c>
      <c r="F249" s="95" t="s">
        <v>507</v>
      </c>
      <c r="G249" s="95">
        <v>0</v>
      </c>
      <c r="H249" s="95" t="s">
        <v>507</v>
      </c>
      <c r="I249" s="95">
        <v>0</v>
      </c>
    </row>
    <row r="250" spans="1:9" ht="14.1" customHeight="1" x14ac:dyDescent="0.2">
      <c r="A250" s="95" t="s">
        <v>1529</v>
      </c>
      <c r="B250" s="95">
        <v>10</v>
      </c>
      <c r="C250" s="95" t="s">
        <v>487</v>
      </c>
      <c r="D250" s="95">
        <v>2012</v>
      </c>
      <c r="E250" s="95">
        <v>17.590800000000002</v>
      </c>
      <c r="F250" s="95" t="s">
        <v>571</v>
      </c>
      <c r="G250" s="95">
        <v>0</v>
      </c>
      <c r="H250" s="95" t="s">
        <v>571</v>
      </c>
      <c r="I250" s="95">
        <v>0</v>
      </c>
    </row>
    <row r="251" spans="1:9" ht="14.1" customHeight="1" x14ac:dyDescent="0.2">
      <c r="A251" s="95" t="s">
        <v>1530</v>
      </c>
      <c r="B251" s="95">
        <v>10</v>
      </c>
      <c r="C251" s="95" t="s">
        <v>486</v>
      </c>
      <c r="D251" s="95">
        <v>2012</v>
      </c>
      <c r="E251" s="95">
        <v>10.26962660621</v>
      </c>
      <c r="F251" s="95" t="s">
        <v>507</v>
      </c>
      <c r="G251" s="95">
        <v>0</v>
      </c>
      <c r="H251" s="95" t="s">
        <v>507</v>
      </c>
      <c r="I251" s="95">
        <v>0</v>
      </c>
    </row>
    <row r="252" spans="1:9" ht="14.1" customHeight="1" x14ac:dyDescent="0.2">
      <c r="A252" s="95" t="s">
        <v>1531</v>
      </c>
      <c r="B252" s="95">
        <v>10</v>
      </c>
      <c r="C252" s="95" t="s">
        <v>482</v>
      </c>
      <c r="D252" s="95">
        <v>2012</v>
      </c>
      <c r="E252" s="95">
        <v>16.174189999999999</v>
      </c>
      <c r="F252" s="95" t="s">
        <v>507</v>
      </c>
      <c r="G252" s="95">
        <v>0</v>
      </c>
      <c r="H252" s="95" t="s">
        <v>507</v>
      </c>
      <c r="I252" s="95">
        <v>0</v>
      </c>
    </row>
    <row r="253" spans="1:9" ht="14.1" customHeight="1" x14ac:dyDescent="0.2">
      <c r="A253" s="95" t="s">
        <v>1532</v>
      </c>
      <c r="B253" s="95">
        <v>10</v>
      </c>
      <c r="C253" s="95" t="s">
        <v>490</v>
      </c>
      <c r="D253" s="95">
        <v>2012</v>
      </c>
      <c r="E253" s="95">
        <v>10.882300000000001</v>
      </c>
      <c r="F253" s="95" t="s">
        <v>507</v>
      </c>
      <c r="G253" s="95">
        <v>0</v>
      </c>
      <c r="H253" s="95" t="s">
        <v>507</v>
      </c>
      <c r="I253" s="95">
        <v>0</v>
      </c>
    </row>
    <row r="254" spans="1:9" ht="14.1" customHeight="1" x14ac:dyDescent="0.2">
      <c r="A254" s="95" t="s">
        <v>1533</v>
      </c>
      <c r="B254" s="95">
        <v>10</v>
      </c>
      <c r="C254" s="95" t="s">
        <v>481</v>
      </c>
      <c r="D254" s="95">
        <v>2012</v>
      </c>
      <c r="E254" s="95">
        <v>370.32722419999999</v>
      </c>
      <c r="F254" s="95" t="s">
        <v>507</v>
      </c>
      <c r="G254" s="95">
        <v>0</v>
      </c>
      <c r="H254" s="95" t="s">
        <v>507</v>
      </c>
      <c r="I254" s="95">
        <v>0</v>
      </c>
    </row>
    <row r="255" spans="1:9" ht="14.1" customHeight="1" x14ac:dyDescent="0.2">
      <c r="A255" s="95" t="s">
        <v>1534</v>
      </c>
      <c r="B255" s="95">
        <v>10</v>
      </c>
      <c r="C255" s="95" t="s">
        <v>484</v>
      </c>
      <c r="D255" s="95">
        <v>2012</v>
      </c>
      <c r="E255" s="95">
        <v>6.5632222999999996</v>
      </c>
      <c r="F255" s="95" t="s">
        <v>507</v>
      </c>
      <c r="G255" s="95">
        <v>0</v>
      </c>
      <c r="H255" s="95" t="s">
        <v>507</v>
      </c>
      <c r="I255" s="95">
        <v>0</v>
      </c>
    </row>
    <row r="256" spans="1:9" ht="14.1" customHeight="1" x14ac:dyDescent="0.2">
      <c r="A256" s="95" t="s">
        <v>1535</v>
      </c>
      <c r="B256" s="95">
        <v>10</v>
      </c>
      <c r="C256" s="95" t="s">
        <v>485</v>
      </c>
      <c r="D256" s="95">
        <v>2012</v>
      </c>
      <c r="E256" s="95">
        <v>24.321147100000001</v>
      </c>
      <c r="F256" s="95" t="s">
        <v>507</v>
      </c>
      <c r="G256" s="95">
        <v>0</v>
      </c>
      <c r="H256" s="95" t="s">
        <v>507</v>
      </c>
      <c r="I256" s="95">
        <v>0</v>
      </c>
    </row>
    <row r="257" spans="1:9" ht="14.1" customHeight="1" x14ac:dyDescent="0.2">
      <c r="A257" s="95" t="s">
        <v>1536</v>
      </c>
      <c r="B257" s="95">
        <v>10</v>
      </c>
      <c r="C257" s="95" t="s">
        <v>489</v>
      </c>
      <c r="D257" s="95">
        <v>2012</v>
      </c>
      <c r="E257" s="95">
        <v>17.811321400000001</v>
      </c>
      <c r="F257" s="95" t="s">
        <v>507</v>
      </c>
      <c r="G257" s="95">
        <v>0</v>
      </c>
      <c r="H257" s="95" t="s">
        <v>507</v>
      </c>
      <c r="I257" s="95">
        <v>0</v>
      </c>
    </row>
    <row r="258" spans="1:9" ht="14.1" customHeight="1" x14ac:dyDescent="0.2">
      <c r="A258" s="95" t="s">
        <v>1537</v>
      </c>
      <c r="B258" s="95">
        <v>11</v>
      </c>
      <c r="C258" s="95" t="s">
        <v>518</v>
      </c>
      <c r="D258" s="95">
        <v>2012</v>
      </c>
      <c r="E258" s="95">
        <v>33687227.989</v>
      </c>
      <c r="F258" s="95" t="s">
        <v>3070</v>
      </c>
      <c r="G258" s="95">
        <v>0</v>
      </c>
      <c r="H258" s="95" t="s">
        <v>3070</v>
      </c>
      <c r="I258" s="95">
        <v>0</v>
      </c>
    </row>
    <row r="259" spans="1:9" ht="14.1" customHeight="1" x14ac:dyDescent="0.2">
      <c r="A259" s="95" t="s">
        <v>1538</v>
      </c>
      <c r="B259" s="95">
        <v>11</v>
      </c>
      <c r="C259" s="95" t="s">
        <v>520</v>
      </c>
      <c r="D259" s="95">
        <v>2012</v>
      </c>
      <c r="E259" s="95">
        <v>1146542.4569999999</v>
      </c>
      <c r="F259" s="95" t="s">
        <v>574</v>
      </c>
      <c r="G259" s="95">
        <v>0</v>
      </c>
      <c r="H259" s="95" t="s">
        <v>574</v>
      </c>
      <c r="I259" s="95">
        <v>0</v>
      </c>
    </row>
    <row r="260" spans="1:9" ht="14.1" customHeight="1" x14ac:dyDescent="0.2">
      <c r="A260" s="95" t="s">
        <v>1539</v>
      </c>
      <c r="B260" s="95">
        <v>11</v>
      </c>
      <c r="C260" s="95" t="s">
        <v>522</v>
      </c>
      <c r="D260" s="95">
        <v>2012</v>
      </c>
      <c r="E260" s="95">
        <v>4569815.2920000004</v>
      </c>
      <c r="F260" s="95" t="s">
        <v>3070</v>
      </c>
      <c r="G260" s="95">
        <v>0</v>
      </c>
      <c r="H260" s="95" t="s">
        <v>3070</v>
      </c>
      <c r="I260" s="95">
        <v>0</v>
      </c>
    </row>
    <row r="261" spans="1:9" ht="14.1" customHeight="1" x14ac:dyDescent="0.2">
      <c r="A261" s="95" t="s">
        <v>1540</v>
      </c>
      <c r="B261" s="95">
        <v>11</v>
      </c>
      <c r="C261" s="95" t="s">
        <v>524</v>
      </c>
      <c r="D261" s="95">
        <v>2012</v>
      </c>
      <c r="E261" s="95">
        <v>140958417.26899999</v>
      </c>
      <c r="F261" s="95" t="s">
        <v>3070</v>
      </c>
      <c r="G261" s="95">
        <v>0</v>
      </c>
      <c r="H261" s="95" t="s">
        <v>3070</v>
      </c>
      <c r="I261" s="95">
        <v>0</v>
      </c>
    </row>
    <row r="262" spans="1:9" ht="14.1" customHeight="1" x14ac:dyDescent="0.2">
      <c r="A262" s="95" t="s">
        <v>1541</v>
      </c>
      <c r="B262" s="95">
        <v>11</v>
      </c>
      <c r="C262" s="95" t="s">
        <v>526</v>
      </c>
      <c r="D262" s="95">
        <v>2012</v>
      </c>
      <c r="E262" s="95">
        <v>1615219.2509999999</v>
      </c>
      <c r="F262" s="95" t="s">
        <v>3070</v>
      </c>
      <c r="G262" s="95">
        <v>0</v>
      </c>
      <c r="H262" s="95" t="s">
        <v>3070</v>
      </c>
      <c r="I262" s="95">
        <v>0</v>
      </c>
    </row>
    <row r="263" spans="1:9" ht="14.1" customHeight="1" x14ac:dyDescent="0.2">
      <c r="A263" s="95" t="s">
        <v>1542</v>
      </c>
      <c r="B263" s="95">
        <v>11</v>
      </c>
      <c r="C263" s="95" t="s">
        <v>528</v>
      </c>
      <c r="D263" s="95">
        <v>2012</v>
      </c>
      <c r="E263" s="95">
        <v>52120843.663999997</v>
      </c>
      <c r="F263" s="95" t="s">
        <v>3070</v>
      </c>
      <c r="G263" s="95">
        <v>0</v>
      </c>
      <c r="H263" s="95" t="s">
        <v>3070</v>
      </c>
      <c r="I263" s="95">
        <v>0</v>
      </c>
    </row>
    <row r="264" spans="1:9" ht="14.1" customHeight="1" x14ac:dyDescent="0.2">
      <c r="A264" s="95" t="s">
        <v>1543</v>
      </c>
      <c r="B264" s="95">
        <v>11</v>
      </c>
      <c r="C264" s="95" t="s">
        <v>530</v>
      </c>
      <c r="D264" s="95">
        <v>2012</v>
      </c>
      <c r="E264" s="95">
        <v>14253231.348999999</v>
      </c>
      <c r="F264" s="95" t="s">
        <v>3070</v>
      </c>
      <c r="G264" s="95">
        <v>0</v>
      </c>
      <c r="H264" s="95" t="s">
        <v>3070</v>
      </c>
      <c r="I264" s="95">
        <v>0</v>
      </c>
    </row>
    <row r="265" spans="1:9" ht="14.1" customHeight="1" x14ac:dyDescent="0.2">
      <c r="A265" s="95" t="s">
        <v>1544</v>
      </c>
      <c r="B265" s="95">
        <v>11</v>
      </c>
      <c r="C265" s="95" t="s">
        <v>532</v>
      </c>
      <c r="D265" s="95">
        <v>2012</v>
      </c>
      <c r="E265" s="95">
        <v>916122.44773120002</v>
      </c>
      <c r="F265" s="95" t="s">
        <v>3070</v>
      </c>
      <c r="G265" s="95">
        <v>0</v>
      </c>
      <c r="H265" s="95" t="s">
        <v>3070</v>
      </c>
      <c r="I265" s="95">
        <v>0</v>
      </c>
    </row>
    <row r="266" spans="1:9" ht="14.1" customHeight="1" x14ac:dyDescent="0.2">
      <c r="A266" s="95" t="s">
        <v>1545</v>
      </c>
      <c r="B266" s="95">
        <v>11</v>
      </c>
      <c r="C266" s="95" t="s">
        <v>536</v>
      </c>
      <c r="D266" s="95">
        <v>2012</v>
      </c>
      <c r="E266" s="95">
        <v>6850561.3870000001</v>
      </c>
      <c r="F266" s="95" t="s">
        <v>3070</v>
      </c>
      <c r="G266" s="95">
        <v>0</v>
      </c>
      <c r="H266" s="95" t="s">
        <v>3070</v>
      </c>
      <c r="I266" s="95">
        <v>0</v>
      </c>
    </row>
    <row r="267" spans="1:9" ht="14.1" customHeight="1" x14ac:dyDescent="0.2">
      <c r="A267" s="95" t="s">
        <v>1546</v>
      </c>
      <c r="B267" s="95">
        <v>11</v>
      </c>
      <c r="C267" s="95" t="s">
        <v>538</v>
      </c>
      <c r="D267" s="95">
        <v>2012</v>
      </c>
      <c r="E267" s="95">
        <v>26737647.521000002</v>
      </c>
      <c r="F267" s="95" t="s">
        <v>3070</v>
      </c>
      <c r="G267" s="95">
        <v>0</v>
      </c>
      <c r="H267" s="95" t="s">
        <v>3070</v>
      </c>
      <c r="I267" s="95">
        <v>0</v>
      </c>
    </row>
    <row r="268" spans="1:9" ht="14.1" customHeight="1" x14ac:dyDescent="0.2">
      <c r="A268" s="95" t="s">
        <v>1547</v>
      </c>
      <c r="B268" s="95">
        <v>11</v>
      </c>
      <c r="C268" s="95" t="s">
        <v>540</v>
      </c>
      <c r="D268" s="95">
        <v>2012</v>
      </c>
      <c r="E268" s="95">
        <v>6752616.1527020195</v>
      </c>
      <c r="F268" s="95" t="s">
        <v>798</v>
      </c>
      <c r="G268" s="95">
        <v>0</v>
      </c>
      <c r="H268" s="95" t="s">
        <v>798</v>
      </c>
      <c r="I268" s="95">
        <v>0</v>
      </c>
    </row>
    <row r="269" spans="1:9" ht="14.1" customHeight="1" x14ac:dyDescent="0.2">
      <c r="A269" s="95" t="s">
        <v>1548</v>
      </c>
      <c r="B269" s="95">
        <v>11</v>
      </c>
      <c r="C269" s="95" t="s">
        <v>542</v>
      </c>
      <c r="D269" s="95">
        <v>2012</v>
      </c>
      <c r="E269" s="95">
        <v>2842770.2149999999</v>
      </c>
      <c r="F269" s="95" t="s">
        <v>562</v>
      </c>
      <c r="G269" s="95" t="s">
        <v>565</v>
      </c>
      <c r="H269" s="95" t="s">
        <v>562</v>
      </c>
      <c r="I269" s="95" t="s">
        <v>802</v>
      </c>
    </row>
    <row r="270" spans="1:9" ht="14.1" customHeight="1" x14ac:dyDescent="0.2">
      <c r="A270" s="95" t="s">
        <v>1549</v>
      </c>
      <c r="B270" s="95">
        <v>11</v>
      </c>
      <c r="C270" s="95" t="s">
        <v>544</v>
      </c>
      <c r="D270" s="95">
        <v>2012</v>
      </c>
      <c r="E270" s="95">
        <v>7706328.2539999997</v>
      </c>
      <c r="F270" s="95" t="s">
        <v>3070</v>
      </c>
      <c r="G270" s="95" t="s">
        <v>572</v>
      </c>
      <c r="H270" s="95" t="s">
        <v>3070</v>
      </c>
      <c r="I270" s="95" t="s">
        <v>814</v>
      </c>
    </row>
    <row r="271" spans="1:9" ht="14.1" customHeight="1" x14ac:dyDescent="0.2">
      <c r="A271" s="95" t="s">
        <v>1550</v>
      </c>
      <c r="B271" s="95">
        <v>11</v>
      </c>
      <c r="C271" s="95" t="s">
        <v>546</v>
      </c>
      <c r="D271" s="95">
        <v>2012</v>
      </c>
      <c r="E271" s="95">
        <v>5859956.7151799798</v>
      </c>
      <c r="F271" s="95" t="s">
        <v>589</v>
      </c>
      <c r="G271" s="95">
        <v>0</v>
      </c>
      <c r="H271" s="95" t="s">
        <v>589</v>
      </c>
      <c r="I271" s="95">
        <v>0</v>
      </c>
    </row>
    <row r="272" spans="1:9" ht="14.1" customHeight="1" x14ac:dyDescent="0.2">
      <c r="A272" s="95" t="s">
        <v>1551</v>
      </c>
      <c r="B272" s="95">
        <v>11</v>
      </c>
      <c r="C272" s="95" t="s">
        <v>483</v>
      </c>
      <c r="D272" s="95">
        <v>2012</v>
      </c>
      <c r="E272" s="95">
        <v>413482.45328604401</v>
      </c>
      <c r="F272" s="95" t="s">
        <v>815</v>
      </c>
      <c r="G272" s="95" t="s">
        <v>565</v>
      </c>
      <c r="H272" s="95" t="s">
        <v>815</v>
      </c>
      <c r="I272" s="95" t="s">
        <v>802</v>
      </c>
    </row>
    <row r="273" spans="1:9" ht="14.1" customHeight="1" x14ac:dyDescent="0.2">
      <c r="A273" s="95" t="s">
        <v>1552</v>
      </c>
      <c r="B273" s="95">
        <v>11</v>
      </c>
      <c r="C273" s="95" t="s">
        <v>488</v>
      </c>
      <c r="D273" s="95">
        <v>2012</v>
      </c>
      <c r="E273" s="95">
        <v>30292238.4263</v>
      </c>
      <c r="F273" s="95" t="s">
        <v>815</v>
      </c>
      <c r="G273" s="95">
        <v>0</v>
      </c>
      <c r="H273" s="95" t="s">
        <v>815</v>
      </c>
      <c r="I273" s="95">
        <v>0</v>
      </c>
    </row>
    <row r="274" spans="1:9" ht="14.1" customHeight="1" x14ac:dyDescent="0.2">
      <c r="A274" s="95" t="s">
        <v>1553</v>
      </c>
      <c r="B274" s="95">
        <v>11</v>
      </c>
      <c r="C274" s="95" t="s">
        <v>487</v>
      </c>
      <c r="D274" s="95">
        <v>2012</v>
      </c>
      <c r="E274" s="95">
        <v>13140756.194470899</v>
      </c>
      <c r="F274" s="95" t="s">
        <v>815</v>
      </c>
      <c r="G274" s="95" t="s">
        <v>565</v>
      </c>
      <c r="H274" s="95" t="s">
        <v>815</v>
      </c>
      <c r="I274" s="95" t="s">
        <v>802</v>
      </c>
    </row>
    <row r="275" spans="1:9" ht="14.1" customHeight="1" x14ac:dyDescent="0.2">
      <c r="A275" s="95" t="s">
        <v>1554</v>
      </c>
      <c r="B275" s="95">
        <v>11</v>
      </c>
      <c r="C275" s="95" t="s">
        <v>486</v>
      </c>
      <c r="D275" s="95">
        <v>2012</v>
      </c>
      <c r="E275" s="95">
        <v>7574949.6176000005</v>
      </c>
      <c r="F275" s="95" t="s">
        <v>815</v>
      </c>
      <c r="G275" s="95">
        <v>0</v>
      </c>
      <c r="H275" s="95" t="s">
        <v>815</v>
      </c>
      <c r="I275" s="95">
        <v>0</v>
      </c>
    </row>
    <row r="276" spans="1:9" ht="14.1" customHeight="1" x14ac:dyDescent="0.2">
      <c r="A276" s="95" t="s">
        <v>1555</v>
      </c>
      <c r="B276" s="95">
        <v>11</v>
      </c>
      <c r="C276" s="95" t="s">
        <v>482</v>
      </c>
      <c r="D276" s="95">
        <v>2012</v>
      </c>
      <c r="E276" s="95">
        <v>12275771.696</v>
      </c>
      <c r="F276" s="95" t="s">
        <v>815</v>
      </c>
      <c r="G276" s="95">
        <v>0</v>
      </c>
      <c r="H276" s="95" t="s">
        <v>815</v>
      </c>
      <c r="I276" s="95">
        <v>0</v>
      </c>
    </row>
    <row r="277" spans="1:9" ht="14.1" customHeight="1" x14ac:dyDescent="0.2">
      <c r="A277" s="95" t="s">
        <v>1556</v>
      </c>
      <c r="B277" s="95">
        <v>11</v>
      </c>
      <c r="C277" s="95" t="s">
        <v>490</v>
      </c>
      <c r="D277" s="95">
        <v>2012</v>
      </c>
      <c r="E277" s="95">
        <v>5245343.7580000004</v>
      </c>
      <c r="F277" s="95" t="s">
        <v>815</v>
      </c>
      <c r="G277" s="95" t="s">
        <v>573</v>
      </c>
      <c r="H277" s="95" t="s">
        <v>815</v>
      </c>
      <c r="I277" s="95" t="s">
        <v>816</v>
      </c>
    </row>
    <row r="278" spans="1:9" ht="14.1" customHeight="1" x14ac:dyDescent="0.2">
      <c r="A278" s="95" t="s">
        <v>1557</v>
      </c>
      <c r="B278" s="95">
        <v>11</v>
      </c>
      <c r="C278" s="95" t="s">
        <v>481</v>
      </c>
      <c r="D278" s="95">
        <v>2012</v>
      </c>
      <c r="E278" s="95">
        <v>2265438676.3790002</v>
      </c>
      <c r="F278" s="95" t="s">
        <v>815</v>
      </c>
      <c r="G278" s="95">
        <v>0</v>
      </c>
      <c r="H278" s="95" t="s">
        <v>815</v>
      </c>
      <c r="I278" s="95">
        <v>0</v>
      </c>
    </row>
    <row r="279" spans="1:9" ht="14.1" customHeight="1" x14ac:dyDescent="0.2">
      <c r="A279" s="95" t="s">
        <v>1558</v>
      </c>
      <c r="B279" s="95">
        <v>11</v>
      </c>
      <c r="C279" s="95" t="s">
        <v>484</v>
      </c>
      <c r="D279" s="95">
        <v>2012</v>
      </c>
      <c r="E279" s="95">
        <v>4246163.4800000004</v>
      </c>
      <c r="F279" s="95" t="s">
        <v>815</v>
      </c>
      <c r="G279" s="95" t="s">
        <v>565</v>
      </c>
      <c r="H279" s="95" t="s">
        <v>815</v>
      </c>
      <c r="I279" s="95" t="s">
        <v>802</v>
      </c>
    </row>
    <row r="280" spans="1:9" ht="14.1" customHeight="1" x14ac:dyDescent="0.2">
      <c r="A280" s="95" t="s">
        <v>1559</v>
      </c>
      <c r="B280" s="95">
        <v>11</v>
      </c>
      <c r="C280" s="95" t="s">
        <v>485</v>
      </c>
      <c r="D280" s="95">
        <v>2012</v>
      </c>
      <c r="E280" s="95">
        <v>8243321.2489999998</v>
      </c>
      <c r="F280" s="95" t="s">
        <v>815</v>
      </c>
      <c r="G280" s="95">
        <v>0</v>
      </c>
      <c r="H280" s="95" t="s">
        <v>815</v>
      </c>
      <c r="I280" s="95">
        <v>0</v>
      </c>
    </row>
    <row r="281" spans="1:9" ht="14.1" customHeight="1" x14ac:dyDescent="0.2">
      <c r="A281" s="95" t="s">
        <v>1560</v>
      </c>
      <c r="B281" s="95">
        <v>11</v>
      </c>
      <c r="C281" s="95" t="s">
        <v>489</v>
      </c>
      <c r="D281" s="95">
        <v>2012</v>
      </c>
      <c r="E281" s="95">
        <v>16893447.26289</v>
      </c>
      <c r="F281" s="95" t="s">
        <v>815</v>
      </c>
      <c r="G281" s="95" t="s">
        <v>565</v>
      </c>
      <c r="H281" s="95" t="s">
        <v>815</v>
      </c>
      <c r="I281" s="95" t="s">
        <v>802</v>
      </c>
    </row>
    <row r="282" spans="1:9" ht="14.1" customHeight="1" x14ac:dyDescent="0.2">
      <c r="A282" s="95" t="s">
        <v>1561</v>
      </c>
      <c r="B282" s="95">
        <v>12</v>
      </c>
      <c r="C282" s="95" t="s">
        <v>518</v>
      </c>
      <c r="D282" s="95">
        <v>2012</v>
      </c>
      <c r="E282" s="95">
        <v>628692.56000000006</v>
      </c>
      <c r="F282" s="95" t="s">
        <v>584</v>
      </c>
      <c r="G282" s="95">
        <v>0</v>
      </c>
      <c r="H282" s="95" t="s">
        <v>584</v>
      </c>
      <c r="I282" s="95">
        <v>0</v>
      </c>
    </row>
    <row r="283" spans="1:9" ht="14.1" customHeight="1" x14ac:dyDescent="0.2">
      <c r="A283" s="95" t="s">
        <v>1562</v>
      </c>
      <c r="B283" s="95">
        <v>12</v>
      </c>
      <c r="C283" s="95" t="s">
        <v>520</v>
      </c>
      <c r="D283" s="95">
        <v>2012</v>
      </c>
      <c r="E283" s="95">
        <v>1570</v>
      </c>
      <c r="F283" s="95" t="s">
        <v>574</v>
      </c>
      <c r="G283" s="95" t="s">
        <v>575</v>
      </c>
      <c r="H283" s="95" t="s">
        <v>574</v>
      </c>
      <c r="I283" s="95" t="s">
        <v>817</v>
      </c>
    </row>
    <row r="284" spans="1:9" ht="14.1" customHeight="1" x14ac:dyDescent="0.2">
      <c r="A284" s="95" t="s">
        <v>1563</v>
      </c>
      <c r="B284" s="95">
        <v>12</v>
      </c>
      <c r="C284" s="95" t="s">
        <v>522</v>
      </c>
      <c r="D284" s="95">
        <v>2012</v>
      </c>
      <c r="E284" s="95">
        <v>81022</v>
      </c>
      <c r="F284" s="95" t="s">
        <v>818</v>
      </c>
      <c r="G284" s="95" t="s">
        <v>576</v>
      </c>
      <c r="H284" s="95" t="s">
        <v>818</v>
      </c>
      <c r="I284" s="95" t="s">
        <v>819</v>
      </c>
    </row>
    <row r="285" spans="1:9" ht="14.1" customHeight="1" x14ac:dyDescent="0.2">
      <c r="A285" s="95" t="s">
        <v>1564</v>
      </c>
      <c r="B285" s="95">
        <v>12</v>
      </c>
      <c r="C285" s="95" t="s">
        <v>524</v>
      </c>
      <c r="D285" s="95">
        <v>2012</v>
      </c>
      <c r="E285" s="95">
        <v>1691164</v>
      </c>
      <c r="F285" s="95" t="s">
        <v>820</v>
      </c>
      <c r="G285" s="95" t="s">
        <v>821</v>
      </c>
      <c r="H285" s="95" t="s">
        <v>820</v>
      </c>
      <c r="I285" s="95" t="s">
        <v>822</v>
      </c>
    </row>
    <row r="286" spans="1:9" ht="14.1" customHeight="1" x14ac:dyDescent="0.2">
      <c r="A286" s="95" t="s">
        <v>1565</v>
      </c>
      <c r="B286" s="95">
        <v>12</v>
      </c>
      <c r="C286" s="95" t="s">
        <v>526</v>
      </c>
      <c r="D286" s="95">
        <v>2012</v>
      </c>
      <c r="E286" s="95">
        <v>2717</v>
      </c>
      <c r="F286" s="95" t="s">
        <v>599</v>
      </c>
      <c r="G286" s="95" t="s">
        <v>575</v>
      </c>
      <c r="H286" s="95" t="s">
        <v>599</v>
      </c>
      <c r="I286" s="95" t="s">
        <v>817</v>
      </c>
    </row>
    <row r="287" spans="1:9" ht="14.1" customHeight="1" x14ac:dyDescent="0.2">
      <c r="A287" s="95" t="s">
        <v>1566</v>
      </c>
      <c r="B287" s="95">
        <v>12</v>
      </c>
      <c r="C287" s="95" t="s">
        <v>528</v>
      </c>
      <c r="D287" s="95">
        <v>2012</v>
      </c>
      <c r="E287" s="95">
        <v>77442</v>
      </c>
      <c r="F287" s="95" t="s">
        <v>577</v>
      </c>
      <c r="G287" s="95" t="s">
        <v>823</v>
      </c>
      <c r="H287" s="95" t="s">
        <v>577</v>
      </c>
      <c r="I287" s="95" t="s">
        <v>824</v>
      </c>
    </row>
    <row r="288" spans="1:9" ht="14.1" customHeight="1" x14ac:dyDescent="0.2">
      <c r="A288" s="95" t="s">
        <v>1567</v>
      </c>
      <c r="B288" s="95">
        <v>12</v>
      </c>
      <c r="C288" s="95" t="s">
        <v>530</v>
      </c>
      <c r="D288" s="95">
        <v>2012</v>
      </c>
      <c r="E288" s="95">
        <v>43762</v>
      </c>
      <c r="F288" s="95" t="s">
        <v>825</v>
      </c>
      <c r="G288" s="95" t="s">
        <v>573</v>
      </c>
      <c r="H288" s="95" t="s">
        <v>825</v>
      </c>
      <c r="I288" s="95" t="s">
        <v>816</v>
      </c>
    </row>
    <row r="289" spans="1:9" ht="14.1" customHeight="1" x14ac:dyDescent="0.2">
      <c r="A289" s="95" t="s">
        <v>1568</v>
      </c>
      <c r="B289" s="95">
        <v>12</v>
      </c>
      <c r="C289" s="95" t="s">
        <v>532</v>
      </c>
      <c r="D289" s="95">
        <v>2012</v>
      </c>
      <c r="E289" s="95">
        <v>5206</v>
      </c>
      <c r="F289" s="95" t="s">
        <v>509</v>
      </c>
      <c r="G289" s="95" t="s">
        <v>578</v>
      </c>
      <c r="H289" s="95" t="s">
        <v>509</v>
      </c>
      <c r="I289" s="95" t="s">
        <v>826</v>
      </c>
    </row>
    <row r="290" spans="1:9" ht="14.1" customHeight="1" x14ac:dyDescent="0.2">
      <c r="A290" s="95" t="s">
        <v>1569</v>
      </c>
      <c r="B290" s="95">
        <v>12</v>
      </c>
      <c r="C290" s="95" t="s">
        <v>534</v>
      </c>
      <c r="D290" s="95">
        <v>2012</v>
      </c>
      <c r="E290" s="95">
        <v>4266</v>
      </c>
      <c r="F290" s="95" t="s">
        <v>559</v>
      </c>
      <c r="G290" s="95" t="s">
        <v>575</v>
      </c>
      <c r="H290" s="95" t="s">
        <v>559</v>
      </c>
      <c r="I290" s="95" t="s">
        <v>817</v>
      </c>
    </row>
    <row r="291" spans="1:9" ht="14.1" customHeight="1" x14ac:dyDescent="0.2">
      <c r="A291" s="95" t="s">
        <v>1570</v>
      </c>
      <c r="B291" s="95">
        <v>12</v>
      </c>
      <c r="C291" s="95" t="s">
        <v>536</v>
      </c>
      <c r="D291" s="95">
        <v>2012</v>
      </c>
      <c r="E291" s="95">
        <v>22066.474999999999</v>
      </c>
      <c r="F291" s="95" t="s">
        <v>579</v>
      </c>
      <c r="G291" s="95" t="s">
        <v>827</v>
      </c>
      <c r="H291" s="95" t="s">
        <v>579</v>
      </c>
      <c r="I291" s="95" t="s">
        <v>828</v>
      </c>
    </row>
    <row r="292" spans="1:9" ht="14.1" customHeight="1" x14ac:dyDescent="0.2">
      <c r="A292" s="95" t="s">
        <v>1571</v>
      </c>
      <c r="B292" s="95">
        <v>12</v>
      </c>
      <c r="C292" s="95" t="s">
        <v>538</v>
      </c>
      <c r="D292" s="95">
        <v>2012</v>
      </c>
      <c r="E292" s="95">
        <v>149659.97</v>
      </c>
      <c r="F292" s="95" t="s">
        <v>580</v>
      </c>
      <c r="G292" s="95" t="s">
        <v>829</v>
      </c>
      <c r="H292" s="95" t="s">
        <v>580</v>
      </c>
      <c r="I292" s="95" t="s">
        <v>830</v>
      </c>
    </row>
    <row r="293" spans="1:9" ht="14.1" customHeight="1" x14ac:dyDescent="0.2">
      <c r="A293" s="95" t="s">
        <v>1572</v>
      </c>
      <c r="B293" s="95">
        <v>12</v>
      </c>
      <c r="C293" s="95" t="s">
        <v>540</v>
      </c>
      <c r="D293" s="95">
        <v>2012</v>
      </c>
      <c r="E293" s="95">
        <v>32059</v>
      </c>
      <c r="F293" s="95" t="s">
        <v>662</v>
      </c>
      <c r="G293" s="95" t="s">
        <v>831</v>
      </c>
      <c r="H293" s="95" t="s">
        <v>662</v>
      </c>
      <c r="I293" s="95" t="s">
        <v>832</v>
      </c>
    </row>
    <row r="294" spans="1:9" ht="14.1" customHeight="1" x14ac:dyDescent="0.2">
      <c r="A294" s="95" t="s">
        <v>1573</v>
      </c>
      <c r="B294" s="95">
        <v>12</v>
      </c>
      <c r="C294" s="95" t="s">
        <v>542</v>
      </c>
      <c r="D294" s="95">
        <v>2012</v>
      </c>
      <c r="E294" s="95">
        <v>4635</v>
      </c>
      <c r="F294" s="95" t="s">
        <v>833</v>
      </c>
      <c r="G294" s="95" t="s">
        <v>575</v>
      </c>
      <c r="H294" s="95" t="s">
        <v>833</v>
      </c>
      <c r="I294" s="95" t="s">
        <v>817</v>
      </c>
    </row>
    <row r="295" spans="1:9" ht="14.1" customHeight="1" x14ac:dyDescent="0.2">
      <c r="A295" s="95" t="s">
        <v>1574</v>
      </c>
      <c r="B295" s="95">
        <v>12</v>
      </c>
      <c r="C295" s="95" t="s">
        <v>544</v>
      </c>
      <c r="D295" s="95">
        <v>2012</v>
      </c>
      <c r="E295" s="95">
        <v>9638</v>
      </c>
      <c r="F295" s="95" t="s">
        <v>825</v>
      </c>
      <c r="G295" s="95">
        <v>0</v>
      </c>
      <c r="H295" s="95" t="s">
        <v>825</v>
      </c>
      <c r="I295" s="95">
        <v>0</v>
      </c>
    </row>
    <row r="296" spans="1:9" ht="14.1" customHeight="1" x14ac:dyDescent="0.2">
      <c r="A296" s="95" t="s">
        <v>1575</v>
      </c>
      <c r="B296" s="95">
        <v>12</v>
      </c>
      <c r="C296" s="95" t="s">
        <v>546</v>
      </c>
      <c r="D296" s="95">
        <v>2012</v>
      </c>
      <c r="E296" s="95">
        <v>8783.3799999999992</v>
      </c>
      <c r="F296" s="95" t="s">
        <v>834</v>
      </c>
      <c r="G296" s="95" t="s">
        <v>581</v>
      </c>
      <c r="H296" s="95" t="s">
        <v>834</v>
      </c>
      <c r="I296" s="95" t="s">
        <v>835</v>
      </c>
    </row>
    <row r="297" spans="1:9" ht="14.1" customHeight="1" x14ac:dyDescent="0.2">
      <c r="A297" s="95" t="s">
        <v>1576</v>
      </c>
      <c r="B297" s="95">
        <v>12</v>
      </c>
      <c r="C297" s="95" t="s">
        <v>548</v>
      </c>
      <c r="D297" s="95">
        <v>2012</v>
      </c>
      <c r="E297" s="95">
        <v>96155</v>
      </c>
      <c r="F297" s="95" t="s">
        <v>582</v>
      </c>
      <c r="G297" s="95">
        <v>0</v>
      </c>
      <c r="H297" s="95" t="s">
        <v>582</v>
      </c>
      <c r="I297" s="95">
        <v>0</v>
      </c>
    </row>
    <row r="298" spans="1:9" ht="14.1" customHeight="1" x14ac:dyDescent="0.2">
      <c r="A298" s="95" t="s">
        <v>1577</v>
      </c>
      <c r="B298" s="95">
        <v>12</v>
      </c>
      <c r="C298" s="95" t="s">
        <v>483</v>
      </c>
      <c r="D298" s="95">
        <v>2012</v>
      </c>
      <c r="E298" s="95">
        <v>3281</v>
      </c>
      <c r="F298" s="95" t="s">
        <v>1273</v>
      </c>
      <c r="G298" s="95" t="s">
        <v>573</v>
      </c>
      <c r="H298" s="95" t="s">
        <v>1273</v>
      </c>
      <c r="I298" s="95" t="s">
        <v>816</v>
      </c>
    </row>
    <row r="299" spans="1:9" ht="14.1" customHeight="1" x14ac:dyDescent="0.2">
      <c r="A299" s="95" t="s">
        <v>1578</v>
      </c>
      <c r="B299" s="95">
        <v>12</v>
      </c>
      <c r="C299" s="95" t="s">
        <v>488</v>
      </c>
      <c r="D299" s="95">
        <v>2012</v>
      </c>
      <c r="E299" s="95">
        <v>214946</v>
      </c>
      <c r="F299" s="95" t="s">
        <v>836</v>
      </c>
      <c r="G299" s="95">
        <v>0</v>
      </c>
      <c r="H299" s="95" t="s">
        <v>836</v>
      </c>
      <c r="I299" s="95">
        <v>0</v>
      </c>
    </row>
    <row r="300" spans="1:9" ht="14.1" customHeight="1" x14ac:dyDescent="0.2">
      <c r="A300" s="95" t="s">
        <v>1579</v>
      </c>
      <c r="B300" s="95">
        <v>12</v>
      </c>
      <c r="C300" s="95" t="s">
        <v>487</v>
      </c>
      <c r="D300" s="95">
        <v>2012</v>
      </c>
      <c r="E300" s="95">
        <v>44949.794000000002</v>
      </c>
      <c r="F300" s="95" t="s">
        <v>1274</v>
      </c>
      <c r="G300" s="95">
        <v>0</v>
      </c>
      <c r="H300" s="95" t="s">
        <v>1274</v>
      </c>
      <c r="I300" s="95">
        <v>0</v>
      </c>
    </row>
    <row r="301" spans="1:9" ht="14.1" customHeight="1" x14ac:dyDescent="0.2">
      <c r="A301" s="95" t="s">
        <v>1580</v>
      </c>
      <c r="B301" s="95">
        <v>12</v>
      </c>
      <c r="C301" s="95" t="s">
        <v>486</v>
      </c>
      <c r="D301" s="95">
        <v>2012</v>
      </c>
      <c r="E301" s="95">
        <v>9297.4</v>
      </c>
      <c r="F301" s="95" t="s">
        <v>1273</v>
      </c>
      <c r="G301" s="95">
        <v>0</v>
      </c>
      <c r="H301" s="95" t="s">
        <v>1273</v>
      </c>
      <c r="I301" s="95">
        <v>0</v>
      </c>
    </row>
    <row r="302" spans="1:9" ht="14.1" customHeight="1" x14ac:dyDescent="0.2">
      <c r="A302" s="95" t="s">
        <v>1581</v>
      </c>
      <c r="B302" s="95">
        <v>12</v>
      </c>
      <c r="C302" s="95" t="s">
        <v>482</v>
      </c>
      <c r="D302" s="95">
        <v>2012</v>
      </c>
      <c r="E302" s="95">
        <v>18830</v>
      </c>
      <c r="F302" s="95" t="s">
        <v>1273</v>
      </c>
      <c r="G302" s="95" t="s">
        <v>573</v>
      </c>
      <c r="H302" s="95" t="s">
        <v>1273</v>
      </c>
      <c r="I302" s="95" t="s">
        <v>816</v>
      </c>
    </row>
    <row r="303" spans="1:9" ht="14.1" customHeight="1" x14ac:dyDescent="0.2">
      <c r="A303" s="95" t="s">
        <v>1582</v>
      </c>
      <c r="B303" s="95">
        <v>12</v>
      </c>
      <c r="C303" s="95" t="s">
        <v>490</v>
      </c>
      <c r="D303" s="95">
        <v>2012</v>
      </c>
      <c r="E303" s="95">
        <v>14296</v>
      </c>
      <c r="F303" s="95" t="s">
        <v>1273</v>
      </c>
      <c r="G303" s="95" t="s">
        <v>572</v>
      </c>
      <c r="H303" s="95" t="s">
        <v>1273</v>
      </c>
      <c r="I303" s="95" t="s">
        <v>814</v>
      </c>
    </row>
    <row r="304" spans="1:9" ht="14.1" customHeight="1" x14ac:dyDescent="0.2">
      <c r="A304" s="95" t="s">
        <v>1583</v>
      </c>
      <c r="B304" s="95">
        <v>12</v>
      </c>
      <c r="C304" s="95" t="s">
        <v>481</v>
      </c>
      <c r="D304" s="95">
        <v>2012</v>
      </c>
      <c r="E304" s="95">
        <v>374262</v>
      </c>
      <c r="F304" s="95" t="s">
        <v>1273</v>
      </c>
      <c r="G304" s="95" t="s">
        <v>573</v>
      </c>
      <c r="H304" s="95" t="s">
        <v>1273</v>
      </c>
      <c r="I304" s="95" t="s">
        <v>816</v>
      </c>
    </row>
    <row r="305" spans="1:9" ht="14.1" customHeight="1" x14ac:dyDescent="0.2">
      <c r="A305" s="95" t="s">
        <v>1584</v>
      </c>
      <c r="B305" s="95">
        <v>12</v>
      </c>
      <c r="C305" s="95" t="s">
        <v>484</v>
      </c>
      <c r="D305" s="95">
        <v>2012</v>
      </c>
      <c r="E305" s="95">
        <v>23897.119999999999</v>
      </c>
      <c r="F305" s="95" t="s">
        <v>837</v>
      </c>
      <c r="G305" s="95">
        <v>0</v>
      </c>
      <c r="H305" s="95" t="s">
        <v>837</v>
      </c>
      <c r="I305" s="95">
        <v>0</v>
      </c>
    </row>
    <row r="306" spans="1:9" ht="14.1" customHeight="1" x14ac:dyDescent="0.2">
      <c r="A306" s="95" t="s">
        <v>1585</v>
      </c>
      <c r="B306" s="95">
        <v>12</v>
      </c>
      <c r="C306" s="95" t="s">
        <v>485</v>
      </c>
      <c r="D306" s="95">
        <v>2012</v>
      </c>
      <c r="E306" s="95">
        <v>15555.87</v>
      </c>
      <c r="F306" s="95" t="s">
        <v>583</v>
      </c>
      <c r="G306" s="95">
        <v>0</v>
      </c>
      <c r="H306" s="95" t="s">
        <v>583</v>
      </c>
      <c r="I306" s="95">
        <v>0</v>
      </c>
    </row>
    <row r="307" spans="1:9" ht="14.1" customHeight="1" x14ac:dyDescent="0.2">
      <c r="A307" s="95" t="s">
        <v>1586</v>
      </c>
      <c r="B307" s="95">
        <v>12</v>
      </c>
      <c r="C307" s="95" t="s">
        <v>489</v>
      </c>
      <c r="D307" s="95">
        <v>2012</v>
      </c>
      <c r="E307" s="95">
        <v>19320</v>
      </c>
      <c r="F307" s="95" t="s">
        <v>815</v>
      </c>
      <c r="G307" s="95" t="s">
        <v>573</v>
      </c>
      <c r="H307" s="95" t="s">
        <v>815</v>
      </c>
      <c r="I307" s="95" t="s">
        <v>816</v>
      </c>
    </row>
    <row r="308" spans="1:9" ht="14.1" customHeight="1" x14ac:dyDescent="0.2">
      <c r="A308" s="95" t="s">
        <v>1587</v>
      </c>
      <c r="B308" s="95">
        <v>13</v>
      </c>
      <c r="C308" s="95" t="s">
        <v>518</v>
      </c>
      <c r="D308" s="95">
        <v>2012</v>
      </c>
      <c r="E308" s="95">
        <v>1070.8499999999999</v>
      </c>
      <c r="F308" s="95" t="s">
        <v>584</v>
      </c>
      <c r="G308" s="95" t="s">
        <v>838</v>
      </c>
      <c r="H308" s="95" t="s">
        <v>584</v>
      </c>
      <c r="I308" s="95" t="s">
        <v>839</v>
      </c>
    </row>
    <row r="309" spans="1:9" ht="14.1" customHeight="1" x14ac:dyDescent="0.2">
      <c r="A309" s="95" t="s">
        <v>1588</v>
      </c>
      <c r="B309" s="95">
        <v>13</v>
      </c>
      <c r="C309" s="95" t="s">
        <v>522</v>
      </c>
      <c r="D309" s="95">
        <v>2012</v>
      </c>
      <c r="E309" s="95">
        <v>13</v>
      </c>
      <c r="F309" s="95" t="s">
        <v>585</v>
      </c>
      <c r="G309" s="95">
        <v>0</v>
      </c>
      <c r="H309" s="95" t="s">
        <v>585</v>
      </c>
      <c r="I309" s="95">
        <v>0</v>
      </c>
    </row>
    <row r="310" spans="1:9" ht="14.1" customHeight="1" x14ac:dyDescent="0.2">
      <c r="A310" s="95" t="s">
        <v>1589</v>
      </c>
      <c r="B310" s="95">
        <v>13</v>
      </c>
      <c r="C310" s="95" t="s">
        <v>524</v>
      </c>
      <c r="D310" s="95">
        <v>2012</v>
      </c>
      <c r="E310" s="95">
        <v>9060</v>
      </c>
      <c r="F310" s="95" t="s">
        <v>840</v>
      </c>
      <c r="G310" s="95">
        <v>0</v>
      </c>
      <c r="H310" s="95" t="s">
        <v>840</v>
      </c>
      <c r="I310" s="95">
        <v>0</v>
      </c>
    </row>
    <row r="311" spans="1:9" ht="14.1" customHeight="1" x14ac:dyDescent="0.2">
      <c r="A311" s="95" t="s">
        <v>1590</v>
      </c>
      <c r="B311" s="95">
        <v>13</v>
      </c>
      <c r="C311" s="95" t="s">
        <v>532</v>
      </c>
      <c r="D311" s="95">
        <v>2012</v>
      </c>
      <c r="E311" s="95">
        <v>2603</v>
      </c>
      <c r="F311" s="95" t="s">
        <v>509</v>
      </c>
      <c r="G311" s="95" t="s">
        <v>586</v>
      </c>
      <c r="H311" s="95" t="s">
        <v>509</v>
      </c>
      <c r="I311" s="95" t="s">
        <v>841</v>
      </c>
    </row>
    <row r="312" spans="1:9" ht="14.1" customHeight="1" x14ac:dyDescent="0.2">
      <c r="A312" s="95" t="s">
        <v>1591</v>
      </c>
      <c r="B312" s="95">
        <v>13</v>
      </c>
      <c r="C312" s="95" t="s">
        <v>536</v>
      </c>
      <c r="D312" s="95">
        <v>2012</v>
      </c>
      <c r="E312" s="95">
        <v>54.075000000000003</v>
      </c>
      <c r="F312" s="95" t="s">
        <v>579</v>
      </c>
      <c r="G312" s="95">
        <v>0</v>
      </c>
      <c r="H312" s="95" t="s">
        <v>579</v>
      </c>
      <c r="I312" s="95">
        <v>0</v>
      </c>
    </row>
    <row r="313" spans="1:9" ht="14.1" customHeight="1" x14ac:dyDescent="0.2">
      <c r="A313" s="95" t="s">
        <v>1592</v>
      </c>
      <c r="B313" s="95">
        <v>13</v>
      </c>
      <c r="C313" s="95" t="s">
        <v>540</v>
      </c>
      <c r="D313" s="95">
        <v>2012</v>
      </c>
      <c r="E313" s="95">
        <v>82</v>
      </c>
      <c r="F313" s="95" t="s">
        <v>587</v>
      </c>
      <c r="G313" s="95" t="s">
        <v>588</v>
      </c>
      <c r="H313" s="95" t="s">
        <v>587</v>
      </c>
      <c r="I313" s="95" t="s">
        <v>842</v>
      </c>
    </row>
    <row r="314" spans="1:9" ht="14.1" customHeight="1" x14ac:dyDescent="0.2">
      <c r="A314" s="95" t="s">
        <v>1593</v>
      </c>
      <c r="B314" s="95">
        <v>13</v>
      </c>
      <c r="C314" s="95" t="s">
        <v>546</v>
      </c>
      <c r="D314" s="95">
        <v>2012</v>
      </c>
      <c r="E314" s="95">
        <v>275</v>
      </c>
      <c r="F314" s="95" t="s">
        <v>1275</v>
      </c>
      <c r="G314" s="95" t="s">
        <v>1276</v>
      </c>
      <c r="H314" s="95" t="s">
        <v>1275</v>
      </c>
      <c r="I314" s="95" t="s">
        <v>1004</v>
      </c>
    </row>
    <row r="315" spans="1:9" ht="14.1" customHeight="1" x14ac:dyDescent="0.2">
      <c r="A315" s="95" t="s">
        <v>1594</v>
      </c>
      <c r="B315" s="95">
        <v>13</v>
      </c>
      <c r="C315" s="95" t="s">
        <v>488</v>
      </c>
      <c r="D315" s="95">
        <v>2012</v>
      </c>
      <c r="E315" s="95">
        <v>844.7</v>
      </c>
      <c r="F315" s="95" t="s">
        <v>1273</v>
      </c>
      <c r="G315" s="95" t="s">
        <v>573</v>
      </c>
      <c r="H315" s="95" t="s">
        <v>1273</v>
      </c>
      <c r="I315" s="95" t="s">
        <v>816</v>
      </c>
    </row>
    <row r="316" spans="1:9" ht="14.1" customHeight="1" x14ac:dyDescent="0.2">
      <c r="A316" s="95" t="s">
        <v>1595</v>
      </c>
      <c r="B316" s="95">
        <v>13</v>
      </c>
      <c r="C316" s="95" t="s">
        <v>487</v>
      </c>
      <c r="D316" s="95">
        <v>2012</v>
      </c>
      <c r="E316" s="95">
        <v>78</v>
      </c>
      <c r="F316" s="95" t="s">
        <v>815</v>
      </c>
      <c r="G316" s="95">
        <v>0</v>
      </c>
      <c r="H316" s="95" t="s">
        <v>815</v>
      </c>
      <c r="I316" s="95">
        <v>0</v>
      </c>
    </row>
    <row r="317" spans="1:9" ht="14.1" customHeight="1" x14ac:dyDescent="0.2">
      <c r="A317" s="95" t="s">
        <v>1596</v>
      </c>
      <c r="B317" s="95">
        <v>13</v>
      </c>
      <c r="C317" s="95" t="s">
        <v>481</v>
      </c>
      <c r="D317" s="95">
        <v>2012</v>
      </c>
      <c r="E317" s="95">
        <v>4069</v>
      </c>
      <c r="F317" s="95" t="s">
        <v>1273</v>
      </c>
      <c r="G317" s="95" t="s">
        <v>573</v>
      </c>
      <c r="H317" s="95" t="s">
        <v>1273</v>
      </c>
      <c r="I317" s="95" t="s">
        <v>816</v>
      </c>
    </row>
    <row r="318" spans="1:9" ht="14.1" customHeight="1" x14ac:dyDescent="0.2">
      <c r="A318" s="95" t="s">
        <v>1597</v>
      </c>
      <c r="B318" s="95">
        <v>13</v>
      </c>
      <c r="C318" s="95" t="s">
        <v>485</v>
      </c>
      <c r="D318" s="95">
        <v>2012</v>
      </c>
      <c r="E318" s="95">
        <v>93.93</v>
      </c>
      <c r="F318" s="95" t="s">
        <v>1273</v>
      </c>
      <c r="G318" s="95" t="s">
        <v>573</v>
      </c>
      <c r="H318" s="95" t="s">
        <v>1273</v>
      </c>
      <c r="I318" s="95" t="s">
        <v>816</v>
      </c>
    </row>
    <row r="319" spans="1:9" ht="14.1" customHeight="1" x14ac:dyDescent="0.2">
      <c r="A319" s="95" t="s">
        <v>1598</v>
      </c>
      <c r="B319" s="95">
        <v>13</v>
      </c>
      <c r="C319" s="95" t="s">
        <v>489</v>
      </c>
      <c r="D319" s="95">
        <v>2012</v>
      </c>
      <c r="E319" s="95">
        <v>355</v>
      </c>
      <c r="F319" s="95" t="s">
        <v>815</v>
      </c>
      <c r="G319" s="95" t="s">
        <v>573</v>
      </c>
      <c r="H319" s="95" t="s">
        <v>815</v>
      </c>
      <c r="I319" s="95" t="s">
        <v>816</v>
      </c>
    </row>
    <row r="320" spans="1:9" ht="14.1" customHeight="1" x14ac:dyDescent="0.2">
      <c r="A320" s="95" t="s">
        <v>1599</v>
      </c>
      <c r="B320" s="95">
        <v>14</v>
      </c>
      <c r="C320" s="95" t="s">
        <v>518</v>
      </c>
      <c r="D320" s="95">
        <v>2012</v>
      </c>
      <c r="E320" s="95">
        <v>38548.71</v>
      </c>
      <c r="F320" s="95" t="s">
        <v>584</v>
      </c>
      <c r="G320" s="95" t="s">
        <v>838</v>
      </c>
      <c r="H320" s="95" t="s">
        <v>584</v>
      </c>
      <c r="I320" s="95" t="s">
        <v>839</v>
      </c>
    </row>
    <row r="321" spans="1:9" ht="14.1" customHeight="1" x14ac:dyDescent="0.2">
      <c r="A321" s="95" t="s">
        <v>1600</v>
      </c>
      <c r="B321" s="95">
        <v>14</v>
      </c>
      <c r="C321" s="95" t="s">
        <v>520</v>
      </c>
      <c r="D321" s="95">
        <v>2012</v>
      </c>
      <c r="E321" s="95">
        <v>374</v>
      </c>
      <c r="F321" s="95" t="s">
        <v>574</v>
      </c>
      <c r="G321" s="95" t="s">
        <v>575</v>
      </c>
      <c r="H321" s="95" t="s">
        <v>574</v>
      </c>
      <c r="I321" s="95" t="s">
        <v>817</v>
      </c>
    </row>
    <row r="322" spans="1:9" ht="14.1" customHeight="1" x14ac:dyDescent="0.2">
      <c r="A322" s="95" t="s">
        <v>1601</v>
      </c>
      <c r="B322" s="95">
        <v>14</v>
      </c>
      <c r="C322" s="95" t="s">
        <v>522</v>
      </c>
      <c r="D322" s="95">
        <v>2012</v>
      </c>
      <c r="E322" s="95">
        <v>16054</v>
      </c>
      <c r="F322" s="95" t="s">
        <v>590</v>
      </c>
      <c r="G322" s="95" t="s">
        <v>843</v>
      </c>
      <c r="H322" s="95" t="s">
        <v>590</v>
      </c>
      <c r="I322" s="95" t="s">
        <v>844</v>
      </c>
    </row>
    <row r="323" spans="1:9" ht="14.1" customHeight="1" x14ac:dyDescent="0.2">
      <c r="A323" s="95" t="s">
        <v>1602</v>
      </c>
      <c r="B323" s="95">
        <v>14</v>
      </c>
      <c r="C323" s="95" t="s">
        <v>524</v>
      </c>
      <c r="D323" s="95">
        <v>2012</v>
      </c>
      <c r="E323" s="95">
        <v>119807.1</v>
      </c>
      <c r="F323" s="95" t="s">
        <v>840</v>
      </c>
      <c r="G323" s="95" t="s">
        <v>845</v>
      </c>
      <c r="H323" s="95" t="s">
        <v>840</v>
      </c>
      <c r="I323" s="95" t="s">
        <v>846</v>
      </c>
    </row>
    <row r="324" spans="1:9" ht="14.1" customHeight="1" x14ac:dyDescent="0.2">
      <c r="A324" s="95" t="s">
        <v>1603</v>
      </c>
      <c r="B324" s="95">
        <v>14</v>
      </c>
      <c r="C324" s="95" t="s">
        <v>528</v>
      </c>
      <c r="D324" s="95">
        <v>2012</v>
      </c>
      <c r="E324" s="95">
        <v>26884.61</v>
      </c>
      <c r="F324" s="95" t="s">
        <v>577</v>
      </c>
      <c r="G324" s="95" t="s">
        <v>847</v>
      </c>
      <c r="H324" s="95" t="s">
        <v>577</v>
      </c>
      <c r="I324" s="95" t="s">
        <v>848</v>
      </c>
    </row>
    <row r="325" spans="1:9" ht="14.1" customHeight="1" x14ac:dyDescent="0.2">
      <c r="A325" s="95" t="s">
        <v>1604</v>
      </c>
      <c r="B325" s="95">
        <v>14</v>
      </c>
      <c r="C325" s="95" t="s">
        <v>530</v>
      </c>
      <c r="D325" s="95">
        <v>2012</v>
      </c>
      <c r="E325" s="95">
        <v>8873</v>
      </c>
      <c r="F325" s="95" t="s">
        <v>825</v>
      </c>
      <c r="G325" s="95" t="s">
        <v>591</v>
      </c>
      <c r="H325" s="95" t="s">
        <v>825</v>
      </c>
      <c r="I325" s="95" t="s">
        <v>849</v>
      </c>
    </row>
    <row r="326" spans="1:9" ht="14.1" customHeight="1" x14ac:dyDescent="0.2">
      <c r="A326" s="95" t="s">
        <v>1605</v>
      </c>
      <c r="B326" s="95">
        <v>14</v>
      </c>
      <c r="C326" s="95" t="s">
        <v>532</v>
      </c>
      <c r="D326" s="95">
        <v>2012</v>
      </c>
      <c r="E326" s="95">
        <v>428</v>
      </c>
      <c r="F326" s="95" t="s">
        <v>509</v>
      </c>
      <c r="G326" s="95" t="s">
        <v>586</v>
      </c>
      <c r="H326" s="95" t="s">
        <v>509</v>
      </c>
      <c r="I326" s="95" t="s">
        <v>841</v>
      </c>
    </row>
    <row r="327" spans="1:9" ht="14.1" customHeight="1" x14ac:dyDescent="0.2">
      <c r="A327" s="95" t="s">
        <v>1606</v>
      </c>
      <c r="B327" s="95">
        <v>14</v>
      </c>
      <c r="C327" s="95" t="s">
        <v>536</v>
      </c>
      <c r="D327" s="95">
        <v>2012</v>
      </c>
      <c r="E327" s="95">
        <v>4857.1000000000004</v>
      </c>
      <c r="F327" s="95" t="s">
        <v>579</v>
      </c>
      <c r="G327" s="95" t="s">
        <v>592</v>
      </c>
      <c r="H327" s="95" t="s">
        <v>579</v>
      </c>
      <c r="I327" s="95" t="s">
        <v>850</v>
      </c>
    </row>
    <row r="328" spans="1:9" ht="14.1" customHeight="1" x14ac:dyDescent="0.2">
      <c r="A328" s="95" t="s">
        <v>1607</v>
      </c>
      <c r="B328" s="95">
        <v>14</v>
      </c>
      <c r="C328" s="95" t="s">
        <v>538</v>
      </c>
      <c r="D328" s="95">
        <v>2012</v>
      </c>
      <c r="E328" s="95">
        <v>26494.69</v>
      </c>
      <c r="F328" s="95" t="s">
        <v>580</v>
      </c>
      <c r="G328" s="95" t="s">
        <v>851</v>
      </c>
      <c r="H328" s="95" t="s">
        <v>580</v>
      </c>
      <c r="I328" s="95" t="s">
        <v>852</v>
      </c>
    </row>
    <row r="329" spans="1:9" ht="14.1" customHeight="1" x14ac:dyDescent="0.2">
      <c r="A329" s="95" t="s">
        <v>1608</v>
      </c>
      <c r="B329" s="95">
        <v>14</v>
      </c>
      <c r="C329" s="95" t="s">
        <v>540</v>
      </c>
      <c r="D329" s="95">
        <v>2012</v>
      </c>
      <c r="E329" s="95">
        <v>9910</v>
      </c>
      <c r="F329" s="95" t="s">
        <v>587</v>
      </c>
      <c r="G329" s="95" t="s">
        <v>593</v>
      </c>
      <c r="H329" s="95" t="s">
        <v>587</v>
      </c>
      <c r="I329" s="95" t="s">
        <v>853</v>
      </c>
    </row>
    <row r="330" spans="1:9" ht="14.1" customHeight="1" x14ac:dyDescent="0.2">
      <c r="A330" s="95" t="s">
        <v>1609</v>
      </c>
      <c r="B330" s="95">
        <v>14</v>
      </c>
      <c r="C330" s="95" t="s">
        <v>544</v>
      </c>
      <c r="D330" s="95">
        <v>2012</v>
      </c>
      <c r="E330" s="95">
        <v>2023.98</v>
      </c>
      <c r="F330" s="95" t="s">
        <v>825</v>
      </c>
      <c r="G330" s="95">
        <v>0</v>
      </c>
      <c r="H330" s="95" t="s">
        <v>825</v>
      </c>
      <c r="I330" s="95">
        <v>0</v>
      </c>
    </row>
    <row r="331" spans="1:9" ht="14.1" customHeight="1" x14ac:dyDescent="0.2">
      <c r="A331" s="95" t="s">
        <v>1610</v>
      </c>
      <c r="B331" s="95">
        <v>14</v>
      </c>
      <c r="C331" s="95" t="s">
        <v>546</v>
      </c>
      <c r="D331" s="95">
        <v>2012</v>
      </c>
      <c r="E331" s="95">
        <v>1653.15</v>
      </c>
      <c r="F331" s="95" t="s">
        <v>589</v>
      </c>
      <c r="G331" s="95" t="s">
        <v>565</v>
      </c>
      <c r="H331" s="95" t="s">
        <v>589</v>
      </c>
      <c r="I331" s="95" t="s">
        <v>854</v>
      </c>
    </row>
    <row r="332" spans="1:9" ht="14.1" customHeight="1" x14ac:dyDescent="0.2">
      <c r="A332" s="95" t="s">
        <v>1611</v>
      </c>
      <c r="B332" s="95">
        <v>14</v>
      </c>
      <c r="C332" s="95" t="s">
        <v>483</v>
      </c>
      <c r="D332" s="95">
        <v>2012</v>
      </c>
      <c r="E332" s="95">
        <v>573</v>
      </c>
      <c r="F332" s="95" t="s">
        <v>1273</v>
      </c>
      <c r="G332" s="95" t="s">
        <v>573</v>
      </c>
      <c r="H332" s="95" t="s">
        <v>1273</v>
      </c>
      <c r="I332" s="95" t="s">
        <v>816</v>
      </c>
    </row>
    <row r="333" spans="1:9" ht="14.1" customHeight="1" x14ac:dyDescent="0.2">
      <c r="A333" s="95" t="s">
        <v>1612</v>
      </c>
      <c r="B333" s="95">
        <v>14</v>
      </c>
      <c r="C333" s="95" t="s">
        <v>488</v>
      </c>
      <c r="D333" s="95">
        <v>2012</v>
      </c>
      <c r="E333" s="95">
        <v>17423</v>
      </c>
      <c r="F333" s="95" t="s">
        <v>836</v>
      </c>
      <c r="G333" s="95">
        <v>0</v>
      </c>
      <c r="H333" s="95" t="s">
        <v>836</v>
      </c>
      <c r="I333" s="95">
        <v>0</v>
      </c>
    </row>
    <row r="334" spans="1:9" ht="14.1" customHeight="1" x14ac:dyDescent="0.2">
      <c r="A334" s="95" t="s">
        <v>1613</v>
      </c>
      <c r="B334" s="95">
        <v>14</v>
      </c>
      <c r="C334" s="95" t="s">
        <v>487</v>
      </c>
      <c r="D334" s="95">
        <v>2012</v>
      </c>
      <c r="E334" s="95">
        <v>7519.0889999999999</v>
      </c>
      <c r="F334" s="95" t="s">
        <v>1274</v>
      </c>
      <c r="G334" s="95">
        <v>0</v>
      </c>
      <c r="H334" s="95" t="s">
        <v>1274</v>
      </c>
      <c r="I334" s="95">
        <v>0</v>
      </c>
    </row>
    <row r="335" spans="1:9" ht="14.1" customHeight="1" x14ac:dyDescent="0.2">
      <c r="A335" s="95" t="s">
        <v>1614</v>
      </c>
      <c r="B335" s="95">
        <v>14</v>
      </c>
      <c r="C335" s="95" t="s">
        <v>486</v>
      </c>
      <c r="D335" s="95">
        <v>2012</v>
      </c>
      <c r="E335" s="95">
        <v>3130.35</v>
      </c>
      <c r="F335" s="95" t="s">
        <v>1273</v>
      </c>
      <c r="G335" s="95">
        <v>0</v>
      </c>
      <c r="H335" s="95" t="s">
        <v>1273</v>
      </c>
      <c r="I335" s="95">
        <v>0</v>
      </c>
    </row>
    <row r="336" spans="1:9" ht="14.1" customHeight="1" x14ac:dyDescent="0.2">
      <c r="A336" s="95" t="s">
        <v>1615</v>
      </c>
      <c r="B336" s="95">
        <v>14</v>
      </c>
      <c r="C336" s="95" t="s">
        <v>482</v>
      </c>
      <c r="D336" s="95">
        <v>2012</v>
      </c>
      <c r="E336" s="95">
        <v>11598.24</v>
      </c>
      <c r="F336" s="95" t="s">
        <v>1273</v>
      </c>
      <c r="G336" s="95" t="s">
        <v>594</v>
      </c>
      <c r="H336" s="95" t="s">
        <v>1273</v>
      </c>
      <c r="I336" s="95" t="s">
        <v>855</v>
      </c>
    </row>
    <row r="337" spans="1:9" ht="14.1" customHeight="1" x14ac:dyDescent="0.2">
      <c r="A337" s="95" t="s">
        <v>1616</v>
      </c>
      <c r="B337" s="95">
        <v>14</v>
      </c>
      <c r="C337" s="95" t="s">
        <v>490</v>
      </c>
      <c r="D337" s="95">
        <v>2012</v>
      </c>
      <c r="E337" s="95">
        <v>3220</v>
      </c>
      <c r="F337" s="95" t="s">
        <v>1273</v>
      </c>
      <c r="G337" s="95" t="s">
        <v>572</v>
      </c>
      <c r="H337" s="95" t="s">
        <v>1273</v>
      </c>
      <c r="I337" s="95" t="s">
        <v>814</v>
      </c>
    </row>
    <row r="338" spans="1:9" ht="14.1" customHeight="1" x14ac:dyDescent="0.2">
      <c r="A338" s="95" t="s">
        <v>1617</v>
      </c>
      <c r="B338" s="95">
        <v>14</v>
      </c>
      <c r="C338" s="95" t="s">
        <v>481</v>
      </c>
      <c r="D338" s="95">
        <v>2012</v>
      </c>
      <c r="E338" s="95">
        <v>49102</v>
      </c>
      <c r="F338" s="95" t="s">
        <v>1273</v>
      </c>
      <c r="G338" s="95" t="s">
        <v>573</v>
      </c>
      <c r="H338" s="95" t="s">
        <v>1273</v>
      </c>
      <c r="I338" s="95" t="s">
        <v>816</v>
      </c>
    </row>
    <row r="339" spans="1:9" ht="14.1" customHeight="1" x14ac:dyDescent="0.2">
      <c r="A339" s="95" t="s">
        <v>1618</v>
      </c>
      <c r="B339" s="95">
        <v>14</v>
      </c>
      <c r="C339" s="95" t="s">
        <v>484</v>
      </c>
      <c r="D339" s="95">
        <v>2012</v>
      </c>
      <c r="E339" s="95">
        <v>2081.58</v>
      </c>
      <c r="F339" s="95" t="s">
        <v>1273</v>
      </c>
      <c r="G339" s="95" t="s">
        <v>573</v>
      </c>
      <c r="H339" s="95" t="s">
        <v>1273</v>
      </c>
      <c r="I339" s="95" t="s">
        <v>816</v>
      </c>
    </row>
    <row r="340" spans="1:9" ht="14.1" customHeight="1" x14ac:dyDescent="0.2">
      <c r="A340" s="95" t="s">
        <v>1619</v>
      </c>
      <c r="B340" s="95">
        <v>14</v>
      </c>
      <c r="C340" s="95" t="s">
        <v>485</v>
      </c>
      <c r="D340" s="95">
        <v>2012</v>
      </c>
      <c r="E340" s="95">
        <v>1224.31</v>
      </c>
      <c r="F340" s="95" t="s">
        <v>1273</v>
      </c>
      <c r="G340" s="95" t="s">
        <v>573</v>
      </c>
      <c r="H340" s="95" t="s">
        <v>1273</v>
      </c>
      <c r="I340" s="95" t="s">
        <v>816</v>
      </c>
    </row>
    <row r="341" spans="1:9" ht="14.1" customHeight="1" x14ac:dyDescent="0.2">
      <c r="A341" s="95" t="s">
        <v>1620</v>
      </c>
      <c r="B341" s="95">
        <v>14</v>
      </c>
      <c r="C341" s="95" t="s">
        <v>489</v>
      </c>
      <c r="D341" s="95">
        <v>2012</v>
      </c>
      <c r="E341" s="95">
        <v>267</v>
      </c>
      <c r="F341" s="95" t="s">
        <v>1273</v>
      </c>
      <c r="G341" s="95" t="s">
        <v>573</v>
      </c>
      <c r="H341" s="95" t="s">
        <v>1273</v>
      </c>
      <c r="I341" s="95" t="s">
        <v>816</v>
      </c>
    </row>
    <row r="342" spans="1:9" ht="14.1" customHeight="1" x14ac:dyDescent="0.2">
      <c r="A342" s="95" t="s">
        <v>1621</v>
      </c>
      <c r="B342" s="95">
        <v>15</v>
      </c>
      <c r="C342" s="95" t="s">
        <v>518</v>
      </c>
      <c r="D342" s="95">
        <v>2012</v>
      </c>
      <c r="E342" s="95">
        <v>189073</v>
      </c>
      <c r="F342" s="95" t="s">
        <v>584</v>
      </c>
      <c r="G342" s="95" t="s">
        <v>573</v>
      </c>
      <c r="H342" s="95" t="s">
        <v>584</v>
      </c>
      <c r="I342" s="95" t="s">
        <v>816</v>
      </c>
    </row>
    <row r="343" spans="1:9" ht="14.1" customHeight="1" x14ac:dyDescent="0.2">
      <c r="A343" s="95" t="s">
        <v>1622</v>
      </c>
      <c r="B343" s="95">
        <v>15</v>
      </c>
      <c r="C343" s="95" t="s">
        <v>520</v>
      </c>
      <c r="D343" s="95">
        <v>2012</v>
      </c>
      <c r="E343" s="95">
        <v>222</v>
      </c>
      <c r="F343" s="95" t="s">
        <v>574</v>
      </c>
      <c r="G343" s="95" t="s">
        <v>575</v>
      </c>
      <c r="H343" s="95" t="s">
        <v>574</v>
      </c>
      <c r="I343" s="95" t="s">
        <v>817</v>
      </c>
    </row>
    <row r="344" spans="1:9" ht="14.1" customHeight="1" x14ac:dyDescent="0.2">
      <c r="A344" s="95" t="s">
        <v>1623</v>
      </c>
      <c r="B344" s="95">
        <v>15</v>
      </c>
      <c r="C344" s="95" t="s">
        <v>522</v>
      </c>
      <c r="D344" s="95">
        <v>2012</v>
      </c>
      <c r="E344" s="95">
        <v>24531</v>
      </c>
      <c r="F344" s="95" t="s">
        <v>590</v>
      </c>
      <c r="G344" s="95" t="s">
        <v>595</v>
      </c>
      <c r="H344" s="95" t="s">
        <v>590</v>
      </c>
      <c r="I344" s="95" t="s">
        <v>856</v>
      </c>
    </row>
    <row r="345" spans="1:9" ht="14.1" customHeight="1" x14ac:dyDescent="0.2">
      <c r="A345" s="95" t="s">
        <v>1624</v>
      </c>
      <c r="B345" s="95">
        <v>15</v>
      </c>
      <c r="C345" s="95" t="s">
        <v>524</v>
      </c>
      <c r="D345" s="95">
        <v>2012</v>
      </c>
      <c r="E345" s="95">
        <v>255040</v>
      </c>
      <c r="F345" s="95" t="s">
        <v>840</v>
      </c>
      <c r="G345" s="95" t="s">
        <v>845</v>
      </c>
      <c r="H345" s="95" t="s">
        <v>840</v>
      </c>
      <c r="I345" s="95" t="s">
        <v>857</v>
      </c>
    </row>
    <row r="346" spans="1:9" ht="14.1" customHeight="1" x14ac:dyDescent="0.2">
      <c r="A346" s="95" t="s">
        <v>1625</v>
      </c>
      <c r="B346" s="95">
        <v>15</v>
      </c>
      <c r="C346" s="95" t="s">
        <v>528</v>
      </c>
      <c r="D346" s="95">
        <v>2012</v>
      </c>
      <c r="E346" s="95">
        <v>50557.99</v>
      </c>
      <c r="F346" s="95" t="s">
        <v>577</v>
      </c>
      <c r="G346" s="95" t="s">
        <v>858</v>
      </c>
      <c r="H346" s="95" t="s">
        <v>577</v>
      </c>
      <c r="I346" s="95" t="s">
        <v>859</v>
      </c>
    </row>
    <row r="347" spans="1:9" ht="14.1" customHeight="1" x14ac:dyDescent="0.2">
      <c r="A347" s="95" t="s">
        <v>1626</v>
      </c>
      <c r="B347" s="95">
        <v>15</v>
      </c>
      <c r="C347" s="95" t="s">
        <v>530</v>
      </c>
      <c r="D347" s="95">
        <v>2012</v>
      </c>
      <c r="E347" s="95">
        <v>12350</v>
      </c>
      <c r="F347" s="95" t="s">
        <v>825</v>
      </c>
      <c r="G347" s="95" t="s">
        <v>596</v>
      </c>
      <c r="H347" s="95" t="s">
        <v>825</v>
      </c>
      <c r="I347" s="95" t="s">
        <v>860</v>
      </c>
    </row>
    <row r="348" spans="1:9" ht="14.1" customHeight="1" x14ac:dyDescent="0.2">
      <c r="A348" s="95" t="s">
        <v>1627</v>
      </c>
      <c r="B348" s="95">
        <v>15</v>
      </c>
      <c r="C348" s="95" t="s">
        <v>532</v>
      </c>
      <c r="D348" s="95">
        <v>2012</v>
      </c>
      <c r="E348" s="95">
        <v>582</v>
      </c>
      <c r="F348" s="95" t="s">
        <v>509</v>
      </c>
      <c r="G348" s="95" t="s">
        <v>586</v>
      </c>
      <c r="H348" s="95" t="s">
        <v>509</v>
      </c>
      <c r="I348" s="95" t="s">
        <v>841</v>
      </c>
    </row>
    <row r="349" spans="1:9" ht="14.1" customHeight="1" x14ac:dyDescent="0.2">
      <c r="A349" s="95" t="s">
        <v>1628</v>
      </c>
      <c r="B349" s="95">
        <v>15</v>
      </c>
      <c r="C349" s="95" t="s">
        <v>536</v>
      </c>
      <c r="D349" s="95">
        <v>2012</v>
      </c>
      <c r="E349" s="95">
        <v>14895</v>
      </c>
      <c r="F349" s="95" t="s">
        <v>579</v>
      </c>
      <c r="G349" s="95" t="s">
        <v>861</v>
      </c>
      <c r="H349" s="95" t="s">
        <v>579</v>
      </c>
      <c r="I349" s="95" t="s">
        <v>862</v>
      </c>
    </row>
    <row r="350" spans="1:9" ht="14.1" customHeight="1" x14ac:dyDescent="0.2">
      <c r="A350" s="95" t="s">
        <v>1629</v>
      </c>
      <c r="B350" s="95">
        <v>15</v>
      </c>
      <c r="C350" s="95" t="s">
        <v>538</v>
      </c>
      <c r="D350" s="95">
        <v>2012</v>
      </c>
      <c r="E350" s="95">
        <v>29029.62</v>
      </c>
      <c r="F350" s="95" t="s">
        <v>580</v>
      </c>
      <c r="G350" s="95" t="s">
        <v>863</v>
      </c>
      <c r="H350" s="95" t="s">
        <v>580</v>
      </c>
      <c r="I350" s="95" t="s">
        <v>864</v>
      </c>
    </row>
    <row r="351" spans="1:9" ht="14.1" customHeight="1" x14ac:dyDescent="0.2">
      <c r="A351" s="95" t="s">
        <v>1630</v>
      </c>
      <c r="B351" s="95">
        <v>15</v>
      </c>
      <c r="C351" s="95" t="s">
        <v>540</v>
      </c>
      <c r="D351" s="95">
        <v>2012</v>
      </c>
      <c r="E351" s="95">
        <v>6670</v>
      </c>
      <c r="F351" s="95" t="s">
        <v>587</v>
      </c>
      <c r="G351" s="95" t="s">
        <v>597</v>
      </c>
      <c r="H351" s="95" t="s">
        <v>587</v>
      </c>
      <c r="I351" s="95" t="s">
        <v>865</v>
      </c>
    </row>
    <row r="352" spans="1:9" ht="14.1" customHeight="1" x14ac:dyDescent="0.2">
      <c r="A352" s="95" t="s">
        <v>1631</v>
      </c>
      <c r="B352" s="95">
        <v>15</v>
      </c>
      <c r="C352" s="95" t="s">
        <v>544</v>
      </c>
      <c r="D352" s="95">
        <v>2012</v>
      </c>
      <c r="E352" s="95">
        <v>5590.04</v>
      </c>
      <c r="F352" s="95" t="s">
        <v>825</v>
      </c>
      <c r="G352" s="95">
        <v>0</v>
      </c>
      <c r="H352" s="95" t="s">
        <v>825</v>
      </c>
      <c r="I352" s="95">
        <v>0</v>
      </c>
    </row>
    <row r="353" spans="1:9" ht="14.1" customHeight="1" x14ac:dyDescent="0.2">
      <c r="A353" s="95" t="s">
        <v>1632</v>
      </c>
      <c r="B353" s="95">
        <v>15</v>
      </c>
      <c r="C353" s="95" t="s">
        <v>546</v>
      </c>
      <c r="D353" s="95">
        <v>2012</v>
      </c>
      <c r="E353" s="95">
        <v>3813.28</v>
      </c>
      <c r="F353" s="95" t="s">
        <v>589</v>
      </c>
      <c r="G353" s="95" t="s">
        <v>565</v>
      </c>
      <c r="H353" s="95" t="s">
        <v>589</v>
      </c>
      <c r="I353" s="95" t="s">
        <v>802</v>
      </c>
    </row>
    <row r="354" spans="1:9" ht="14.1" customHeight="1" x14ac:dyDescent="0.2">
      <c r="A354" s="95" t="s">
        <v>1633</v>
      </c>
      <c r="B354" s="95">
        <v>15</v>
      </c>
      <c r="C354" s="95" t="s">
        <v>483</v>
      </c>
      <c r="D354" s="95">
        <v>2012</v>
      </c>
      <c r="E354" s="95">
        <v>765</v>
      </c>
      <c r="F354" s="95" t="s">
        <v>1273</v>
      </c>
      <c r="G354" s="95" t="s">
        <v>573</v>
      </c>
      <c r="H354" s="95" t="s">
        <v>1273</v>
      </c>
      <c r="I354" s="95" t="s">
        <v>816</v>
      </c>
    </row>
    <row r="355" spans="1:9" ht="14.1" customHeight="1" x14ac:dyDescent="0.2">
      <c r="A355" s="95" t="s">
        <v>1634</v>
      </c>
      <c r="B355" s="95">
        <v>15</v>
      </c>
      <c r="C355" s="95" t="s">
        <v>488</v>
      </c>
      <c r="D355" s="95">
        <v>2012</v>
      </c>
      <c r="E355" s="95">
        <v>43327</v>
      </c>
      <c r="F355" s="95" t="s">
        <v>836</v>
      </c>
      <c r="G355" s="95">
        <v>0</v>
      </c>
      <c r="H355" s="95" t="s">
        <v>836</v>
      </c>
      <c r="I355" s="95">
        <v>0</v>
      </c>
    </row>
    <row r="356" spans="1:9" ht="14.1" customHeight="1" x14ac:dyDescent="0.2">
      <c r="A356" s="95" t="s">
        <v>1635</v>
      </c>
      <c r="B356" s="95">
        <v>15</v>
      </c>
      <c r="C356" s="95" t="s">
        <v>487</v>
      </c>
      <c r="D356" s="95">
        <v>2012</v>
      </c>
      <c r="E356" s="95">
        <v>34524</v>
      </c>
      <c r="F356" s="95" t="s">
        <v>1274</v>
      </c>
      <c r="G356" s="95">
        <v>0</v>
      </c>
      <c r="H356" s="95" t="s">
        <v>1274</v>
      </c>
      <c r="I356" s="95">
        <v>0</v>
      </c>
    </row>
    <row r="357" spans="1:9" ht="14.1" customHeight="1" x14ac:dyDescent="0.2">
      <c r="A357" s="95" t="s">
        <v>1636</v>
      </c>
      <c r="B357" s="95">
        <v>15</v>
      </c>
      <c r="C357" s="95" t="s">
        <v>486</v>
      </c>
      <c r="D357" s="95">
        <v>2012</v>
      </c>
      <c r="E357" s="95">
        <v>1187.55</v>
      </c>
      <c r="F357" s="95" t="s">
        <v>1273</v>
      </c>
      <c r="G357" s="95">
        <v>0</v>
      </c>
      <c r="H357" s="95" t="s">
        <v>1273</v>
      </c>
      <c r="I357" s="95">
        <v>0</v>
      </c>
    </row>
    <row r="358" spans="1:9" ht="14.1" customHeight="1" x14ac:dyDescent="0.2">
      <c r="A358" s="95" t="s">
        <v>1637</v>
      </c>
      <c r="B358" s="95">
        <v>15</v>
      </c>
      <c r="C358" s="95" t="s">
        <v>481</v>
      </c>
      <c r="D358" s="95">
        <v>2012</v>
      </c>
      <c r="E358" s="95">
        <v>80774</v>
      </c>
      <c r="F358" s="95" t="s">
        <v>1273</v>
      </c>
      <c r="G358" s="95" t="s">
        <v>573</v>
      </c>
      <c r="H358" s="95" t="s">
        <v>1273</v>
      </c>
      <c r="I358" s="95" t="s">
        <v>816</v>
      </c>
    </row>
    <row r="359" spans="1:9" ht="14.1" customHeight="1" x14ac:dyDescent="0.2">
      <c r="A359" s="95" t="s">
        <v>1638</v>
      </c>
      <c r="B359" s="95">
        <v>15</v>
      </c>
      <c r="C359" s="95" t="s">
        <v>484</v>
      </c>
      <c r="D359" s="95">
        <v>2012</v>
      </c>
      <c r="E359" s="95">
        <v>3936</v>
      </c>
      <c r="F359" s="95" t="s">
        <v>1273</v>
      </c>
      <c r="G359" s="95" t="s">
        <v>573</v>
      </c>
      <c r="H359" s="95" t="s">
        <v>1273</v>
      </c>
      <c r="I359" s="95" t="s">
        <v>816</v>
      </c>
    </row>
    <row r="360" spans="1:9" ht="14.1" customHeight="1" x14ac:dyDescent="0.2">
      <c r="A360" s="95" t="s">
        <v>1639</v>
      </c>
      <c r="B360" s="95">
        <v>15</v>
      </c>
      <c r="C360" s="95" t="s">
        <v>485</v>
      </c>
      <c r="D360" s="95">
        <v>2012</v>
      </c>
      <c r="E360" s="95">
        <v>5182.13</v>
      </c>
      <c r="F360" s="95" t="s">
        <v>1273</v>
      </c>
      <c r="G360" s="95" t="s">
        <v>573</v>
      </c>
      <c r="H360" s="95" t="s">
        <v>1273</v>
      </c>
      <c r="I360" s="95" t="s">
        <v>816</v>
      </c>
    </row>
    <row r="361" spans="1:9" ht="14.1" customHeight="1" x14ac:dyDescent="0.2">
      <c r="A361" s="95" t="s">
        <v>1640</v>
      </c>
      <c r="B361" s="95">
        <v>15</v>
      </c>
      <c r="C361" s="95" t="s">
        <v>489</v>
      </c>
      <c r="D361" s="95">
        <v>2012</v>
      </c>
      <c r="E361" s="95">
        <v>4698</v>
      </c>
      <c r="F361" s="95" t="s">
        <v>1273</v>
      </c>
      <c r="G361" s="95" t="s">
        <v>573</v>
      </c>
      <c r="H361" s="95" t="s">
        <v>1273</v>
      </c>
      <c r="I361" s="95" t="s">
        <v>816</v>
      </c>
    </row>
    <row r="362" spans="1:9" ht="14.1" customHeight="1" x14ac:dyDescent="0.2">
      <c r="A362" s="95" t="s">
        <v>1641</v>
      </c>
      <c r="B362" s="95">
        <v>16</v>
      </c>
      <c r="C362" s="95" t="s">
        <v>518</v>
      </c>
      <c r="D362" s="95">
        <v>2012</v>
      </c>
      <c r="E362" s="95">
        <v>400000</v>
      </c>
      <c r="F362" s="95" t="s">
        <v>584</v>
      </c>
      <c r="G362" s="95" t="s">
        <v>573</v>
      </c>
      <c r="H362" s="95" t="s">
        <v>584</v>
      </c>
      <c r="I362" s="95" t="s">
        <v>816</v>
      </c>
    </row>
    <row r="363" spans="1:9" ht="14.1" customHeight="1" x14ac:dyDescent="0.2">
      <c r="A363" s="95" t="s">
        <v>1642</v>
      </c>
      <c r="B363" s="95">
        <v>16</v>
      </c>
      <c r="C363" s="95" t="s">
        <v>520</v>
      </c>
      <c r="D363" s="95">
        <v>2012</v>
      </c>
      <c r="E363" s="95">
        <v>974</v>
      </c>
      <c r="F363" s="95" t="s">
        <v>574</v>
      </c>
      <c r="G363" s="95" t="s">
        <v>575</v>
      </c>
      <c r="H363" s="95" t="s">
        <v>574</v>
      </c>
      <c r="I363" s="95" t="s">
        <v>817</v>
      </c>
    </row>
    <row r="364" spans="1:9" ht="14.1" customHeight="1" x14ac:dyDescent="0.2">
      <c r="A364" s="95" t="s">
        <v>1643</v>
      </c>
      <c r="B364" s="95">
        <v>16</v>
      </c>
      <c r="C364" s="95" t="s">
        <v>522</v>
      </c>
      <c r="D364" s="95">
        <v>2012</v>
      </c>
      <c r="E364" s="95">
        <v>40822</v>
      </c>
      <c r="F364" s="95" t="s">
        <v>590</v>
      </c>
      <c r="G364" s="95" t="s">
        <v>866</v>
      </c>
      <c r="H364" s="95" t="s">
        <v>590</v>
      </c>
      <c r="I364" s="95" t="s">
        <v>867</v>
      </c>
    </row>
    <row r="365" spans="1:9" ht="14.1" customHeight="1" x14ac:dyDescent="0.2">
      <c r="A365" s="95" t="s">
        <v>1644</v>
      </c>
      <c r="B365" s="95">
        <v>16</v>
      </c>
      <c r="C365" s="95" t="s">
        <v>524</v>
      </c>
      <c r="D365" s="95">
        <v>2012</v>
      </c>
      <c r="E365" s="95">
        <v>1339126.8999999999</v>
      </c>
      <c r="F365" s="95" t="s">
        <v>840</v>
      </c>
      <c r="G365" s="95" t="s">
        <v>845</v>
      </c>
      <c r="H365" s="95" t="s">
        <v>840</v>
      </c>
      <c r="I365" s="95" t="s">
        <v>857</v>
      </c>
    </row>
    <row r="366" spans="1:9" ht="14.1" customHeight="1" x14ac:dyDescent="0.2">
      <c r="A366" s="95" t="s">
        <v>1645</v>
      </c>
      <c r="B366" s="95">
        <v>16</v>
      </c>
      <c r="C366" s="95" t="s">
        <v>530</v>
      </c>
      <c r="D366" s="95">
        <v>2012</v>
      </c>
      <c r="E366" s="95">
        <v>22539</v>
      </c>
      <c r="F366" s="95" t="s">
        <v>825</v>
      </c>
      <c r="G366" s="95" t="s">
        <v>573</v>
      </c>
      <c r="H366" s="115" t="s">
        <v>825</v>
      </c>
      <c r="I366" s="95" t="s">
        <v>816</v>
      </c>
    </row>
    <row r="367" spans="1:9" ht="14.1" customHeight="1" x14ac:dyDescent="0.2">
      <c r="A367" s="95" t="s">
        <v>1646</v>
      </c>
      <c r="B367" s="95">
        <v>16</v>
      </c>
      <c r="C367" s="95" t="s">
        <v>532</v>
      </c>
      <c r="D367" s="95">
        <v>2012</v>
      </c>
      <c r="E367" s="95">
        <v>1593</v>
      </c>
      <c r="F367" s="95" t="s">
        <v>509</v>
      </c>
      <c r="G367" s="95" t="s">
        <v>586</v>
      </c>
      <c r="H367" s="115" t="s">
        <v>509</v>
      </c>
      <c r="I367" s="95" t="s">
        <v>841</v>
      </c>
    </row>
    <row r="368" spans="1:9" ht="14.1" customHeight="1" x14ac:dyDescent="0.2">
      <c r="A368" s="95" t="s">
        <v>1647</v>
      </c>
      <c r="B368" s="95">
        <v>16</v>
      </c>
      <c r="C368" s="95" t="s">
        <v>536</v>
      </c>
      <c r="D368" s="95">
        <v>2012</v>
      </c>
      <c r="E368" s="95">
        <v>2260.3000000000002</v>
      </c>
      <c r="F368" s="95" t="s">
        <v>579</v>
      </c>
      <c r="G368" s="95" t="s">
        <v>598</v>
      </c>
      <c r="H368" s="115" t="s">
        <v>579</v>
      </c>
      <c r="I368" s="95" t="s">
        <v>868</v>
      </c>
    </row>
    <row r="369" spans="1:9" ht="14.1" customHeight="1" x14ac:dyDescent="0.2">
      <c r="A369" s="95" t="s">
        <v>1648</v>
      </c>
      <c r="B369" s="95">
        <v>16</v>
      </c>
      <c r="C369" s="95" t="s">
        <v>538</v>
      </c>
      <c r="D369" s="95">
        <v>2012</v>
      </c>
      <c r="E369" s="95">
        <v>94135.66</v>
      </c>
      <c r="F369" s="95" t="s">
        <v>580</v>
      </c>
      <c r="G369" s="95" t="s">
        <v>869</v>
      </c>
      <c r="H369" s="115" t="s">
        <v>580</v>
      </c>
      <c r="I369" s="95" t="s">
        <v>870</v>
      </c>
    </row>
    <row r="370" spans="1:9" ht="14.1" customHeight="1" x14ac:dyDescent="0.2">
      <c r="A370" s="95" t="s">
        <v>1649</v>
      </c>
      <c r="B370" s="95">
        <v>16</v>
      </c>
      <c r="C370" s="95" t="s">
        <v>540</v>
      </c>
      <c r="D370" s="95">
        <v>2012</v>
      </c>
      <c r="E370" s="95">
        <v>15479</v>
      </c>
      <c r="F370" s="95" t="s">
        <v>587</v>
      </c>
      <c r="G370" s="95" t="s">
        <v>871</v>
      </c>
      <c r="H370" s="95" t="s">
        <v>587</v>
      </c>
      <c r="I370" s="95" t="s">
        <v>872</v>
      </c>
    </row>
    <row r="371" spans="1:9" ht="14.1" customHeight="1" x14ac:dyDescent="0.2">
      <c r="A371" s="95" t="s">
        <v>1650</v>
      </c>
      <c r="B371" s="95">
        <v>16</v>
      </c>
      <c r="C371" s="95" t="s">
        <v>544</v>
      </c>
      <c r="D371" s="95">
        <v>2012</v>
      </c>
      <c r="E371" s="95">
        <v>2023.98</v>
      </c>
      <c r="F371" s="95" t="s">
        <v>825</v>
      </c>
      <c r="G371" s="95">
        <v>0</v>
      </c>
      <c r="H371" s="95" t="s">
        <v>825</v>
      </c>
      <c r="I371" s="95">
        <v>0</v>
      </c>
    </row>
    <row r="372" spans="1:9" ht="14.1" customHeight="1" x14ac:dyDescent="0.2">
      <c r="A372" s="95" t="s">
        <v>1651</v>
      </c>
      <c r="B372" s="95">
        <v>16</v>
      </c>
      <c r="C372" s="95" t="s">
        <v>546</v>
      </c>
      <c r="D372" s="95">
        <v>2012</v>
      </c>
      <c r="E372" s="95">
        <v>1005.75</v>
      </c>
      <c r="F372" s="95" t="s">
        <v>589</v>
      </c>
      <c r="G372" s="95" t="s">
        <v>565</v>
      </c>
      <c r="H372" s="95" t="s">
        <v>589</v>
      </c>
      <c r="I372" s="95" t="s">
        <v>802</v>
      </c>
    </row>
    <row r="373" spans="1:9" ht="14.1" customHeight="1" x14ac:dyDescent="0.2">
      <c r="A373" s="95" t="s">
        <v>1652</v>
      </c>
      <c r="B373" s="95">
        <v>16</v>
      </c>
      <c r="C373" s="95" t="s">
        <v>483</v>
      </c>
      <c r="D373" s="95">
        <v>2012</v>
      </c>
      <c r="E373" s="95">
        <v>1943</v>
      </c>
      <c r="F373" s="95" t="s">
        <v>1273</v>
      </c>
      <c r="G373" s="95" t="s">
        <v>573</v>
      </c>
      <c r="H373" s="95" t="s">
        <v>1273</v>
      </c>
      <c r="I373" s="95" t="s">
        <v>816</v>
      </c>
    </row>
    <row r="374" spans="1:9" ht="14.1" customHeight="1" x14ac:dyDescent="0.2">
      <c r="A374" s="95" t="s">
        <v>1653</v>
      </c>
      <c r="B374" s="95">
        <v>16</v>
      </c>
      <c r="C374" s="95" t="s">
        <v>488</v>
      </c>
      <c r="D374" s="95">
        <v>2012</v>
      </c>
      <c r="E374" s="95">
        <v>154196</v>
      </c>
      <c r="F374" s="95" t="s">
        <v>836</v>
      </c>
      <c r="G374" s="95">
        <v>0</v>
      </c>
      <c r="H374" s="95" t="s">
        <v>836</v>
      </c>
      <c r="I374" s="95">
        <v>0</v>
      </c>
    </row>
    <row r="375" spans="1:9" ht="14.1" customHeight="1" x14ac:dyDescent="0.2">
      <c r="A375" s="95" t="s">
        <v>1654</v>
      </c>
      <c r="B375" s="95">
        <v>16</v>
      </c>
      <c r="C375" s="95" t="s">
        <v>487</v>
      </c>
      <c r="D375" s="95">
        <v>2012</v>
      </c>
      <c r="E375" s="95">
        <v>2828.7049999999999</v>
      </c>
      <c r="F375" s="95" t="s">
        <v>1273</v>
      </c>
      <c r="G375" s="95">
        <v>0</v>
      </c>
      <c r="H375" s="95" t="s">
        <v>1273</v>
      </c>
      <c r="I375" s="95">
        <v>0</v>
      </c>
    </row>
    <row r="376" spans="1:9" ht="14.1" customHeight="1" x14ac:dyDescent="0.2">
      <c r="A376" s="95" t="s">
        <v>1655</v>
      </c>
      <c r="B376" s="95">
        <v>16</v>
      </c>
      <c r="C376" s="95" t="s">
        <v>486</v>
      </c>
      <c r="D376" s="95">
        <v>2012</v>
      </c>
      <c r="E376" s="95">
        <v>4979.5</v>
      </c>
      <c r="F376" s="95" t="s">
        <v>1273</v>
      </c>
      <c r="G376" s="95">
        <v>0</v>
      </c>
      <c r="H376" s="95" t="s">
        <v>1273</v>
      </c>
      <c r="I376" s="95">
        <v>0</v>
      </c>
    </row>
    <row r="377" spans="1:9" ht="14.1" customHeight="1" x14ac:dyDescent="0.2">
      <c r="A377" s="95" t="s">
        <v>1656</v>
      </c>
      <c r="B377" s="95">
        <v>16</v>
      </c>
      <c r="C377" s="95" t="s">
        <v>482</v>
      </c>
      <c r="D377" s="95">
        <v>2012</v>
      </c>
      <c r="E377" s="95">
        <v>4101.8900000000003</v>
      </c>
      <c r="F377" s="95" t="s">
        <v>1273</v>
      </c>
      <c r="G377" s="95" t="s">
        <v>594</v>
      </c>
      <c r="H377" s="95" t="s">
        <v>1273</v>
      </c>
      <c r="I377" s="95" t="s">
        <v>855</v>
      </c>
    </row>
    <row r="378" spans="1:9" ht="14.1" customHeight="1" x14ac:dyDescent="0.2">
      <c r="A378" s="95" t="s">
        <v>1657</v>
      </c>
      <c r="B378" s="95">
        <v>16</v>
      </c>
      <c r="C378" s="95" t="s">
        <v>490</v>
      </c>
      <c r="D378" s="95">
        <v>2012</v>
      </c>
      <c r="E378" s="95">
        <v>11076</v>
      </c>
      <c r="F378" s="95" t="s">
        <v>1273</v>
      </c>
      <c r="G378" s="95" t="s">
        <v>572</v>
      </c>
      <c r="H378" s="95" t="s">
        <v>1273</v>
      </c>
      <c r="I378" s="95" t="s">
        <v>814</v>
      </c>
    </row>
    <row r="379" spans="1:9" ht="14.1" customHeight="1" x14ac:dyDescent="0.2">
      <c r="A379" s="95" t="s">
        <v>1658</v>
      </c>
      <c r="B379" s="95">
        <v>16</v>
      </c>
      <c r="C379" s="95" t="s">
        <v>481</v>
      </c>
      <c r="D379" s="95">
        <v>2012</v>
      </c>
      <c r="E379" s="95">
        <v>240317</v>
      </c>
      <c r="F379" s="95" t="s">
        <v>1273</v>
      </c>
      <c r="G379" s="95" t="s">
        <v>573</v>
      </c>
      <c r="H379" s="95" t="s">
        <v>1273</v>
      </c>
      <c r="I379" s="95" t="s">
        <v>816</v>
      </c>
    </row>
    <row r="380" spans="1:9" ht="14.1" customHeight="1" x14ac:dyDescent="0.2">
      <c r="A380" s="95" t="s">
        <v>1659</v>
      </c>
      <c r="B380" s="95">
        <v>16</v>
      </c>
      <c r="C380" s="95" t="s">
        <v>484</v>
      </c>
      <c r="D380" s="95">
        <v>2012</v>
      </c>
      <c r="E380" s="95">
        <v>17629.5</v>
      </c>
      <c r="F380" s="95" t="s">
        <v>1273</v>
      </c>
      <c r="G380" s="95" t="s">
        <v>573</v>
      </c>
      <c r="H380" s="95" t="s">
        <v>1273</v>
      </c>
      <c r="I380" s="95" t="s">
        <v>816</v>
      </c>
    </row>
    <row r="381" spans="1:9" ht="14.1" customHeight="1" x14ac:dyDescent="0.2">
      <c r="A381" s="95" t="s">
        <v>1660</v>
      </c>
      <c r="B381" s="95">
        <v>16</v>
      </c>
      <c r="C381" s="95" t="s">
        <v>485</v>
      </c>
      <c r="D381" s="95">
        <v>2012</v>
      </c>
      <c r="E381" s="95">
        <v>8919.6299999999992</v>
      </c>
      <c r="F381" s="95" t="s">
        <v>1273</v>
      </c>
      <c r="G381" s="95" t="s">
        <v>573</v>
      </c>
      <c r="H381" s="95" t="s">
        <v>1273</v>
      </c>
      <c r="I381" s="95" t="s">
        <v>816</v>
      </c>
    </row>
    <row r="382" spans="1:9" ht="14.1" customHeight="1" x14ac:dyDescent="0.2">
      <c r="A382" s="95" t="s">
        <v>1661</v>
      </c>
      <c r="B382" s="95">
        <v>16</v>
      </c>
      <c r="C382" s="95" t="s">
        <v>489</v>
      </c>
      <c r="D382" s="95">
        <v>2012</v>
      </c>
      <c r="E382" s="95">
        <v>14000</v>
      </c>
      <c r="F382" s="95" t="s">
        <v>815</v>
      </c>
      <c r="G382" s="95" t="s">
        <v>573</v>
      </c>
      <c r="H382" s="95" t="s">
        <v>815</v>
      </c>
      <c r="I382" s="95" t="s">
        <v>816</v>
      </c>
    </row>
    <row r="383" spans="1:9" ht="14.1" customHeight="1" x14ac:dyDescent="0.2">
      <c r="A383" s="95" t="s">
        <v>3071</v>
      </c>
      <c r="B383" s="95">
        <v>17</v>
      </c>
      <c r="C383" s="95" t="s">
        <v>489</v>
      </c>
      <c r="D383" s="95">
        <v>2012</v>
      </c>
      <c r="E383" s="95">
        <v>5333</v>
      </c>
      <c r="F383" s="95" t="s">
        <v>825</v>
      </c>
      <c r="G383" s="95">
        <v>0</v>
      </c>
      <c r="H383" s="95" t="s">
        <v>825</v>
      </c>
      <c r="I383" s="95">
        <v>0</v>
      </c>
    </row>
    <row r="384" spans="1:9" ht="14.1" customHeight="1" x14ac:dyDescent="0.2">
      <c r="A384" s="95" t="s">
        <v>1662</v>
      </c>
      <c r="B384" s="95">
        <v>17</v>
      </c>
      <c r="C384" s="95" t="s">
        <v>518</v>
      </c>
      <c r="D384" s="95">
        <v>2012</v>
      </c>
      <c r="E384" s="95">
        <v>34.4</v>
      </c>
      <c r="F384" s="95" t="s">
        <v>825</v>
      </c>
      <c r="G384" s="95" t="s">
        <v>873</v>
      </c>
      <c r="H384" s="95" t="s">
        <v>825</v>
      </c>
      <c r="I384" s="95" t="s">
        <v>874</v>
      </c>
    </row>
    <row r="385" spans="1:9" ht="14.1" customHeight="1" x14ac:dyDescent="0.2">
      <c r="A385" s="95" t="s">
        <v>1663</v>
      </c>
      <c r="B385" s="95">
        <v>17</v>
      </c>
      <c r="C385" s="95" t="s">
        <v>520</v>
      </c>
      <c r="D385" s="95">
        <v>2012</v>
      </c>
      <c r="E385" s="95">
        <v>72</v>
      </c>
      <c r="F385" s="95" t="s">
        <v>574</v>
      </c>
      <c r="G385" s="95" t="s">
        <v>575</v>
      </c>
      <c r="H385" s="95" t="s">
        <v>574</v>
      </c>
      <c r="I385" s="95" t="s">
        <v>817</v>
      </c>
    </row>
    <row r="386" spans="1:9" ht="14.1" customHeight="1" x14ac:dyDescent="0.2">
      <c r="A386" s="95" t="s">
        <v>1664</v>
      </c>
      <c r="B386" s="95">
        <v>17</v>
      </c>
      <c r="C386" s="95" t="s">
        <v>522</v>
      </c>
      <c r="D386" s="95">
        <v>2012</v>
      </c>
      <c r="E386" s="95">
        <v>8</v>
      </c>
      <c r="F386" s="95" t="s">
        <v>818</v>
      </c>
      <c r="G386" s="95" t="s">
        <v>651</v>
      </c>
      <c r="H386" s="95" t="s">
        <v>818</v>
      </c>
      <c r="I386" s="95" t="s">
        <v>875</v>
      </c>
    </row>
    <row r="387" spans="1:9" ht="14.1" customHeight="1" x14ac:dyDescent="0.2">
      <c r="A387" s="95" t="s">
        <v>1665</v>
      </c>
      <c r="B387" s="95">
        <v>17</v>
      </c>
      <c r="C387" s="95" t="s">
        <v>524</v>
      </c>
      <c r="D387" s="95">
        <v>2012</v>
      </c>
      <c r="E387" s="95">
        <v>12</v>
      </c>
      <c r="F387" s="95" t="s">
        <v>820</v>
      </c>
      <c r="G387" s="95" t="s">
        <v>845</v>
      </c>
      <c r="H387" s="95" t="s">
        <v>820</v>
      </c>
      <c r="I387" s="95" t="s">
        <v>857</v>
      </c>
    </row>
    <row r="388" spans="1:9" ht="14.1" customHeight="1" x14ac:dyDescent="0.2">
      <c r="A388" s="95" t="s">
        <v>1666</v>
      </c>
      <c r="B388" s="95">
        <v>17</v>
      </c>
      <c r="C388" s="95" t="s">
        <v>526</v>
      </c>
      <c r="D388" s="95">
        <v>2012</v>
      </c>
      <c r="E388" s="95">
        <v>93.75</v>
      </c>
      <c r="F388" s="95" t="s">
        <v>599</v>
      </c>
      <c r="G388" s="95">
        <v>0</v>
      </c>
      <c r="H388" s="95" t="s">
        <v>599</v>
      </c>
      <c r="I388" s="95">
        <v>0</v>
      </c>
    </row>
    <row r="389" spans="1:9" ht="14.1" customHeight="1" x14ac:dyDescent="0.2">
      <c r="A389" s="95" t="s">
        <v>1667</v>
      </c>
      <c r="B389" s="95">
        <v>17</v>
      </c>
      <c r="C389" s="95" t="s">
        <v>528</v>
      </c>
      <c r="D389" s="95">
        <v>2012</v>
      </c>
      <c r="E389" s="95">
        <v>24.3</v>
      </c>
      <c r="F389" s="95" t="s">
        <v>577</v>
      </c>
      <c r="G389" s="95" t="s">
        <v>876</v>
      </c>
      <c r="H389" s="115" t="s">
        <v>577</v>
      </c>
      <c r="I389" s="95" t="s">
        <v>877</v>
      </c>
    </row>
    <row r="390" spans="1:9" ht="14.1" customHeight="1" x14ac:dyDescent="0.2">
      <c r="A390" s="95" t="s">
        <v>1668</v>
      </c>
      <c r="B390" s="95">
        <v>17</v>
      </c>
      <c r="C390" s="95" t="s">
        <v>530</v>
      </c>
      <c r="D390" s="95">
        <v>2012</v>
      </c>
      <c r="E390" s="95">
        <v>18.8</v>
      </c>
      <c r="F390" s="95" t="s">
        <v>825</v>
      </c>
      <c r="G390" s="95" t="s">
        <v>600</v>
      </c>
      <c r="H390" s="95" t="s">
        <v>825</v>
      </c>
      <c r="I390" s="95" t="s">
        <v>878</v>
      </c>
    </row>
    <row r="391" spans="1:9" ht="14.1" customHeight="1" x14ac:dyDescent="0.2">
      <c r="A391" s="95" t="s">
        <v>1669</v>
      </c>
      <c r="B391" s="95">
        <v>17</v>
      </c>
      <c r="C391" s="95" t="s">
        <v>532</v>
      </c>
      <c r="D391" s="95">
        <v>2012</v>
      </c>
      <c r="E391" s="95">
        <v>39</v>
      </c>
      <c r="F391" s="95" t="s">
        <v>509</v>
      </c>
      <c r="G391" s="95" t="s">
        <v>586</v>
      </c>
      <c r="H391" s="115" t="s">
        <v>509</v>
      </c>
      <c r="I391" s="95" t="s">
        <v>841</v>
      </c>
    </row>
    <row r="392" spans="1:9" ht="14.1" customHeight="1" x14ac:dyDescent="0.2">
      <c r="A392" s="95" t="s">
        <v>1670</v>
      </c>
      <c r="B392" s="95">
        <v>17</v>
      </c>
      <c r="C392" s="95" t="s">
        <v>536</v>
      </c>
      <c r="D392" s="95">
        <v>2012</v>
      </c>
      <c r="E392" s="95">
        <v>73.3</v>
      </c>
      <c r="F392" s="95" t="s">
        <v>579</v>
      </c>
      <c r="G392" s="95" t="s">
        <v>594</v>
      </c>
      <c r="H392" s="115" t="s">
        <v>579</v>
      </c>
      <c r="I392" s="95" t="s">
        <v>855</v>
      </c>
    </row>
    <row r="393" spans="1:9" ht="14.1" customHeight="1" x14ac:dyDescent="0.2">
      <c r="A393" s="95" t="s">
        <v>1671</v>
      </c>
      <c r="B393" s="95">
        <v>17</v>
      </c>
      <c r="C393" s="95" t="s">
        <v>538</v>
      </c>
      <c r="D393" s="95">
        <v>2012</v>
      </c>
      <c r="E393" s="95">
        <v>13.327181346270899</v>
      </c>
      <c r="F393" s="95" t="s">
        <v>580</v>
      </c>
      <c r="G393" s="95">
        <v>0</v>
      </c>
      <c r="H393" s="95" t="s">
        <v>580</v>
      </c>
      <c r="I393" s="95">
        <v>0</v>
      </c>
    </row>
    <row r="394" spans="1:9" ht="14.1" customHeight="1" x14ac:dyDescent="0.2">
      <c r="A394" s="95" t="s">
        <v>1672</v>
      </c>
      <c r="B394" s="95">
        <v>17</v>
      </c>
      <c r="C394" s="95" t="s">
        <v>540</v>
      </c>
      <c r="D394" s="95">
        <v>2012</v>
      </c>
      <c r="E394" s="95">
        <v>16</v>
      </c>
      <c r="F394" s="95" t="s">
        <v>587</v>
      </c>
      <c r="G394" s="95" t="s">
        <v>601</v>
      </c>
      <c r="H394" s="95" t="s">
        <v>587</v>
      </c>
      <c r="I394" s="95" t="s">
        <v>879</v>
      </c>
    </row>
    <row r="395" spans="1:9" ht="14.1" customHeight="1" x14ac:dyDescent="0.2">
      <c r="A395" s="95" t="s">
        <v>1673</v>
      </c>
      <c r="B395" s="95">
        <v>17</v>
      </c>
      <c r="C395" s="95" t="s">
        <v>542</v>
      </c>
      <c r="D395" s="95">
        <v>2012</v>
      </c>
      <c r="E395" s="95">
        <v>40</v>
      </c>
      <c r="F395" s="95" t="s">
        <v>833</v>
      </c>
      <c r="G395" s="95" t="s">
        <v>575</v>
      </c>
      <c r="H395" s="95" t="s">
        <v>833</v>
      </c>
      <c r="I395" s="95" t="s">
        <v>817</v>
      </c>
    </row>
    <row r="396" spans="1:9" ht="14.1" customHeight="1" x14ac:dyDescent="0.2">
      <c r="A396" s="95" t="s">
        <v>1674</v>
      </c>
      <c r="B396" s="95">
        <v>17</v>
      </c>
      <c r="C396" s="95" t="s">
        <v>546</v>
      </c>
      <c r="D396" s="95">
        <v>2012</v>
      </c>
      <c r="E396" s="95">
        <v>89.531386637243799</v>
      </c>
      <c r="F396" s="95" t="s">
        <v>589</v>
      </c>
      <c r="G396" s="95" t="s">
        <v>602</v>
      </c>
      <c r="H396" s="95" t="s">
        <v>589</v>
      </c>
      <c r="I396" s="95" t="s">
        <v>880</v>
      </c>
    </row>
    <row r="397" spans="1:9" ht="14.1" customHeight="1" x14ac:dyDescent="0.2">
      <c r="A397" s="95" t="s">
        <v>1675</v>
      </c>
      <c r="B397" s="95">
        <v>17</v>
      </c>
      <c r="C397" s="95" t="s">
        <v>483</v>
      </c>
      <c r="D397" s="95">
        <v>2012</v>
      </c>
      <c r="E397" s="95">
        <v>20</v>
      </c>
      <c r="F397" s="95" t="s">
        <v>1273</v>
      </c>
      <c r="G397" s="95" t="s">
        <v>573</v>
      </c>
      <c r="H397" s="95" t="s">
        <v>1273</v>
      </c>
      <c r="I397" s="95" t="s">
        <v>816</v>
      </c>
    </row>
    <row r="398" spans="1:9" ht="14.1" customHeight="1" x14ac:dyDescent="0.2">
      <c r="A398" s="95" t="s">
        <v>1676</v>
      </c>
      <c r="B398" s="95">
        <v>17</v>
      </c>
      <c r="C398" s="95" t="s">
        <v>488</v>
      </c>
      <c r="D398" s="95">
        <v>2012</v>
      </c>
      <c r="E398" s="95">
        <v>6.6</v>
      </c>
      <c r="F398" s="95" t="s">
        <v>1273</v>
      </c>
      <c r="G398" s="95" t="s">
        <v>573</v>
      </c>
      <c r="H398" s="95" t="s">
        <v>1273</v>
      </c>
      <c r="I398" s="95" t="s">
        <v>816</v>
      </c>
    </row>
    <row r="399" spans="1:9" ht="14.1" customHeight="1" x14ac:dyDescent="0.2">
      <c r="A399" s="95" t="s">
        <v>1677</v>
      </c>
      <c r="B399" s="95">
        <v>17</v>
      </c>
      <c r="C399" s="95" t="s">
        <v>487</v>
      </c>
      <c r="D399" s="95">
        <v>2012</v>
      </c>
      <c r="E399" s="95">
        <v>25.97</v>
      </c>
      <c r="F399" s="95" t="s">
        <v>1274</v>
      </c>
      <c r="G399" s="95">
        <v>0</v>
      </c>
      <c r="H399" s="95" t="s">
        <v>1274</v>
      </c>
      <c r="I399" s="95">
        <v>0</v>
      </c>
    </row>
    <row r="400" spans="1:9" ht="14.1" customHeight="1" x14ac:dyDescent="0.2">
      <c r="A400" s="95" t="s">
        <v>1678</v>
      </c>
      <c r="B400" s="95">
        <v>17</v>
      </c>
      <c r="C400" s="95" t="s">
        <v>486</v>
      </c>
      <c r="D400" s="95">
        <v>2012</v>
      </c>
      <c r="E400" s="95">
        <v>62.7</v>
      </c>
      <c r="F400" s="95" t="s">
        <v>1273</v>
      </c>
      <c r="G400" s="95">
        <v>0</v>
      </c>
      <c r="H400" s="95" t="s">
        <v>1273</v>
      </c>
      <c r="I400" s="95">
        <v>0</v>
      </c>
    </row>
    <row r="401" spans="1:9" ht="14.1" customHeight="1" x14ac:dyDescent="0.2">
      <c r="A401" s="95" t="s">
        <v>1679</v>
      </c>
      <c r="B401" s="95">
        <v>17</v>
      </c>
      <c r="C401" s="95" t="s">
        <v>482</v>
      </c>
      <c r="D401" s="95">
        <v>2012</v>
      </c>
      <c r="E401" s="95">
        <v>44.1</v>
      </c>
      <c r="F401" s="95" t="s">
        <v>1273</v>
      </c>
      <c r="G401" s="95" t="s">
        <v>594</v>
      </c>
      <c r="H401" s="95" t="s">
        <v>1273</v>
      </c>
      <c r="I401" s="95" t="s">
        <v>855</v>
      </c>
    </row>
    <row r="402" spans="1:9" ht="14.1" customHeight="1" x14ac:dyDescent="0.2">
      <c r="A402" s="95" t="s">
        <v>1680</v>
      </c>
      <c r="B402" s="95">
        <v>17</v>
      </c>
      <c r="C402" s="95" t="s">
        <v>490</v>
      </c>
      <c r="D402" s="95">
        <v>2012</v>
      </c>
      <c r="E402" s="95">
        <v>22.5</v>
      </c>
      <c r="F402" s="95" t="s">
        <v>1273</v>
      </c>
      <c r="G402" s="95" t="s">
        <v>572</v>
      </c>
      <c r="H402" s="95" t="s">
        <v>1273</v>
      </c>
      <c r="I402" s="95" t="s">
        <v>814</v>
      </c>
    </row>
    <row r="403" spans="1:9" ht="14.1" customHeight="1" x14ac:dyDescent="0.2">
      <c r="A403" s="95" t="s">
        <v>1681</v>
      </c>
      <c r="B403" s="95">
        <v>17</v>
      </c>
      <c r="C403" s="95" t="s">
        <v>481</v>
      </c>
      <c r="D403" s="95">
        <v>2012</v>
      </c>
      <c r="E403" s="95">
        <v>37.799999999999997</v>
      </c>
      <c r="F403" s="95" t="s">
        <v>1273</v>
      </c>
      <c r="G403" s="95" t="s">
        <v>573</v>
      </c>
      <c r="H403" s="95" t="s">
        <v>1273</v>
      </c>
      <c r="I403" s="95" t="s">
        <v>816</v>
      </c>
    </row>
    <row r="404" spans="1:9" ht="14.1" customHeight="1" x14ac:dyDescent="0.2">
      <c r="A404" s="95" t="s">
        <v>1682</v>
      </c>
      <c r="B404" s="95">
        <v>17</v>
      </c>
      <c r="C404" s="95" t="s">
        <v>484</v>
      </c>
      <c r="D404" s="95">
        <v>2012</v>
      </c>
      <c r="E404" s="95">
        <v>9.7633522365874992</v>
      </c>
      <c r="F404" s="95" t="s">
        <v>837</v>
      </c>
      <c r="G404" s="95">
        <v>0</v>
      </c>
      <c r="H404" s="95" t="s">
        <v>837</v>
      </c>
      <c r="I404" s="95">
        <v>0</v>
      </c>
    </row>
    <row r="405" spans="1:9" ht="14.1" customHeight="1" x14ac:dyDescent="0.2">
      <c r="A405" s="95" t="s">
        <v>1683</v>
      </c>
      <c r="B405" s="95">
        <v>17</v>
      </c>
      <c r="C405" s="95" t="s">
        <v>485</v>
      </c>
      <c r="D405" s="95">
        <v>2012</v>
      </c>
      <c r="E405" s="95">
        <v>41.8</v>
      </c>
      <c r="F405" s="95" t="s">
        <v>1273</v>
      </c>
      <c r="G405" s="95" t="s">
        <v>573</v>
      </c>
      <c r="H405" s="95" t="s">
        <v>1273</v>
      </c>
      <c r="I405" s="95" t="s">
        <v>816</v>
      </c>
    </row>
    <row r="406" spans="1:9" ht="14.1" customHeight="1" x14ac:dyDescent="0.2">
      <c r="A406" s="95" t="s">
        <v>1684</v>
      </c>
      <c r="B406" s="95">
        <v>18</v>
      </c>
      <c r="C406" s="95" t="s">
        <v>518</v>
      </c>
      <c r="D406" s="95">
        <v>2012</v>
      </c>
      <c r="E406" s="95">
        <v>593476</v>
      </c>
      <c r="F406" s="95" t="s">
        <v>603</v>
      </c>
      <c r="G406" s="95" t="s">
        <v>881</v>
      </c>
      <c r="H406" s="95" t="s">
        <v>603</v>
      </c>
      <c r="I406" s="95" t="s">
        <v>882</v>
      </c>
    </row>
    <row r="407" spans="1:9" ht="14.1" customHeight="1" x14ac:dyDescent="0.2">
      <c r="A407" s="95" t="s">
        <v>1685</v>
      </c>
      <c r="B407" s="95">
        <v>18</v>
      </c>
      <c r="C407" s="95" t="s">
        <v>520</v>
      </c>
      <c r="D407" s="95">
        <v>2012</v>
      </c>
      <c r="E407" s="95">
        <v>5053</v>
      </c>
      <c r="F407" s="95" t="s">
        <v>574</v>
      </c>
      <c r="G407" s="95" t="s">
        <v>604</v>
      </c>
      <c r="H407" s="95" t="s">
        <v>574</v>
      </c>
      <c r="I407" s="95" t="s">
        <v>883</v>
      </c>
    </row>
    <row r="408" spans="1:9" ht="14.1" customHeight="1" x14ac:dyDescent="0.2">
      <c r="A408" s="95" t="s">
        <v>1686</v>
      </c>
      <c r="B408" s="95">
        <v>18</v>
      </c>
      <c r="C408" s="95" t="s">
        <v>522</v>
      </c>
      <c r="D408" s="95">
        <v>2012</v>
      </c>
      <c r="E408" s="95">
        <v>98688</v>
      </c>
      <c r="F408" s="95" t="s">
        <v>884</v>
      </c>
      <c r="G408" s="95" t="s">
        <v>845</v>
      </c>
      <c r="H408" s="95" t="s">
        <v>884</v>
      </c>
      <c r="I408" s="95" t="s">
        <v>857</v>
      </c>
    </row>
    <row r="409" spans="1:9" ht="14.1" customHeight="1" x14ac:dyDescent="0.2">
      <c r="A409" s="95" t="s">
        <v>1687</v>
      </c>
      <c r="B409" s="95">
        <v>18</v>
      </c>
      <c r="C409" s="95" t="s">
        <v>524</v>
      </c>
      <c r="D409" s="95">
        <v>2012</v>
      </c>
      <c r="E409" s="95">
        <v>7619436</v>
      </c>
      <c r="F409" s="95" t="s">
        <v>885</v>
      </c>
      <c r="G409" s="95" t="s">
        <v>886</v>
      </c>
      <c r="H409" s="95" t="s">
        <v>885</v>
      </c>
      <c r="I409" s="95" t="s">
        <v>887</v>
      </c>
    </row>
    <row r="410" spans="1:9" ht="14.1" customHeight="1" x14ac:dyDescent="0.2">
      <c r="A410" s="95" t="s">
        <v>1688</v>
      </c>
      <c r="B410" s="95">
        <v>18</v>
      </c>
      <c r="C410" s="95" t="s">
        <v>526</v>
      </c>
      <c r="D410" s="95">
        <v>2012</v>
      </c>
      <c r="E410" s="95">
        <v>5898.2803409825501</v>
      </c>
      <c r="F410" s="95" t="s">
        <v>599</v>
      </c>
      <c r="G410" s="95">
        <v>0</v>
      </c>
      <c r="H410" s="95" t="s">
        <v>599</v>
      </c>
      <c r="I410" s="95">
        <v>0</v>
      </c>
    </row>
    <row r="411" spans="1:9" ht="14.1" customHeight="1" x14ac:dyDescent="0.2">
      <c r="A411" s="95" t="s">
        <v>1689</v>
      </c>
      <c r="B411" s="95">
        <v>18</v>
      </c>
      <c r="C411" s="95" t="s">
        <v>528</v>
      </c>
      <c r="D411" s="95">
        <v>2012</v>
      </c>
      <c r="E411" s="95">
        <v>201531</v>
      </c>
      <c r="F411" s="95" t="s">
        <v>605</v>
      </c>
      <c r="G411" s="95" t="s">
        <v>888</v>
      </c>
      <c r="H411" s="95" t="s">
        <v>605</v>
      </c>
      <c r="I411" s="95" t="s">
        <v>889</v>
      </c>
    </row>
    <row r="412" spans="1:9" ht="14.1" customHeight="1" x14ac:dyDescent="0.2">
      <c r="A412" s="95" t="s">
        <v>1690</v>
      </c>
      <c r="B412" s="95">
        <v>18</v>
      </c>
      <c r="C412" s="95" t="s">
        <v>530</v>
      </c>
      <c r="D412" s="95">
        <v>2012</v>
      </c>
      <c r="E412" s="95">
        <v>128874</v>
      </c>
      <c r="F412" s="95" t="s">
        <v>634</v>
      </c>
      <c r="G412" s="95" t="s">
        <v>890</v>
      </c>
      <c r="H412" s="95" t="s">
        <v>634</v>
      </c>
      <c r="I412" s="95" t="s">
        <v>891</v>
      </c>
    </row>
    <row r="413" spans="1:9" ht="14.1" customHeight="1" x14ac:dyDescent="0.2">
      <c r="A413" s="95" t="s">
        <v>1691</v>
      </c>
      <c r="B413" s="95">
        <v>18</v>
      </c>
      <c r="C413" s="95" t="s">
        <v>532</v>
      </c>
      <c r="D413" s="95">
        <v>2012</v>
      </c>
      <c r="E413" s="95">
        <v>11998.1918434422</v>
      </c>
      <c r="F413" s="95" t="s">
        <v>509</v>
      </c>
      <c r="G413" s="95" t="s">
        <v>606</v>
      </c>
      <c r="H413" s="95" t="s">
        <v>509</v>
      </c>
      <c r="I413" s="95" t="s">
        <v>892</v>
      </c>
    </row>
    <row r="414" spans="1:9" ht="14.1" customHeight="1" x14ac:dyDescent="0.2">
      <c r="A414" s="95" t="s">
        <v>1692</v>
      </c>
      <c r="B414" s="95">
        <v>18</v>
      </c>
      <c r="C414" s="95" t="s">
        <v>536</v>
      </c>
      <c r="D414" s="95">
        <v>2012</v>
      </c>
      <c r="E414" s="95">
        <v>19825</v>
      </c>
      <c r="F414" s="95" t="s">
        <v>579</v>
      </c>
      <c r="G414" s="95">
        <v>0</v>
      </c>
      <c r="H414" s="95" t="s">
        <v>579</v>
      </c>
      <c r="I414" s="95">
        <v>0</v>
      </c>
    </row>
    <row r="415" spans="1:9" ht="14.1" customHeight="1" x14ac:dyDescent="0.2">
      <c r="A415" s="95" t="s">
        <v>1693</v>
      </c>
      <c r="B415" s="95">
        <v>18</v>
      </c>
      <c r="C415" s="95" t="s">
        <v>538</v>
      </c>
      <c r="D415" s="95">
        <v>2012</v>
      </c>
      <c r="E415" s="95">
        <v>106151</v>
      </c>
      <c r="F415" s="95" t="s">
        <v>3072</v>
      </c>
      <c r="G415" s="95" t="s">
        <v>845</v>
      </c>
      <c r="H415" s="95" t="s">
        <v>3072</v>
      </c>
      <c r="I415" s="95" t="s">
        <v>857</v>
      </c>
    </row>
    <row r="416" spans="1:9" ht="14.1" customHeight="1" x14ac:dyDescent="0.2">
      <c r="A416" s="95" t="s">
        <v>1694</v>
      </c>
      <c r="B416" s="95">
        <v>18</v>
      </c>
      <c r="C416" s="95" t="s">
        <v>540</v>
      </c>
      <c r="D416" s="95">
        <v>2012</v>
      </c>
      <c r="E416" s="95">
        <v>242257</v>
      </c>
      <c r="F416" s="95" t="s">
        <v>587</v>
      </c>
      <c r="G416" s="95" t="s">
        <v>565</v>
      </c>
      <c r="H416" s="95" t="s">
        <v>587</v>
      </c>
      <c r="I416" s="95" t="s">
        <v>802</v>
      </c>
    </row>
    <row r="417" spans="1:9" ht="14.1" customHeight="1" x14ac:dyDescent="0.2">
      <c r="A417" s="95" t="s">
        <v>1695</v>
      </c>
      <c r="B417" s="95">
        <v>18</v>
      </c>
      <c r="C417" s="95" t="s">
        <v>542</v>
      </c>
      <c r="D417" s="95">
        <v>2012</v>
      </c>
      <c r="E417" s="95">
        <v>34071</v>
      </c>
      <c r="F417" s="95" t="s">
        <v>833</v>
      </c>
      <c r="G417" s="95" t="s">
        <v>607</v>
      </c>
      <c r="H417" s="95" t="s">
        <v>833</v>
      </c>
      <c r="I417" s="95" t="s">
        <v>893</v>
      </c>
    </row>
    <row r="418" spans="1:9" ht="14.1" customHeight="1" x14ac:dyDescent="0.2">
      <c r="A418" s="95" t="s">
        <v>1696</v>
      </c>
      <c r="B418" s="95">
        <v>18</v>
      </c>
      <c r="C418" s="95" t="s">
        <v>546</v>
      </c>
      <c r="D418" s="95">
        <v>2012</v>
      </c>
      <c r="E418" s="95">
        <v>53762</v>
      </c>
      <c r="F418" s="95" t="s">
        <v>589</v>
      </c>
      <c r="G418" s="95">
        <v>0</v>
      </c>
      <c r="H418" s="95" t="s">
        <v>589</v>
      </c>
      <c r="I418" s="95">
        <v>0</v>
      </c>
    </row>
    <row r="419" spans="1:9" ht="14.1" customHeight="1" x14ac:dyDescent="0.2">
      <c r="A419" s="95" t="s">
        <v>1697</v>
      </c>
      <c r="B419" s="95">
        <v>18</v>
      </c>
      <c r="C419" s="95" t="s">
        <v>548</v>
      </c>
      <c r="D419" s="95">
        <v>2012</v>
      </c>
      <c r="E419" s="95">
        <v>914984.59088360704</v>
      </c>
      <c r="F419" s="95" t="s">
        <v>825</v>
      </c>
      <c r="G419" s="95">
        <v>0</v>
      </c>
      <c r="H419" s="95" t="s">
        <v>825</v>
      </c>
      <c r="I419" s="95">
        <v>0</v>
      </c>
    </row>
    <row r="420" spans="1:9" ht="14.1" customHeight="1" x14ac:dyDescent="0.2">
      <c r="A420" s="95" t="s">
        <v>1698</v>
      </c>
      <c r="B420" s="95">
        <v>18</v>
      </c>
      <c r="C420" s="95" t="s">
        <v>488</v>
      </c>
      <c r="D420" s="95">
        <v>2012</v>
      </c>
      <c r="E420" s="95">
        <v>306012</v>
      </c>
      <c r="F420" s="95" t="s">
        <v>836</v>
      </c>
      <c r="G420" s="95">
        <v>0</v>
      </c>
      <c r="H420" s="95" t="s">
        <v>836</v>
      </c>
      <c r="I420" s="95">
        <v>0</v>
      </c>
    </row>
    <row r="421" spans="1:9" ht="14.1" customHeight="1" x14ac:dyDescent="0.2">
      <c r="A421" s="95" t="s">
        <v>1699</v>
      </c>
      <c r="B421" s="95">
        <v>18</v>
      </c>
      <c r="C421" s="95" t="s">
        <v>487</v>
      </c>
      <c r="D421" s="95">
        <v>2012</v>
      </c>
      <c r="E421" s="95">
        <v>195784</v>
      </c>
      <c r="F421" s="95" t="s">
        <v>1277</v>
      </c>
      <c r="G421" s="95">
        <v>0</v>
      </c>
      <c r="H421" s="95" t="s">
        <v>1277</v>
      </c>
      <c r="I421" s="95">
        <v>0</v>
      </c>
    </row>
    <row r="422" spans="1:9" ht="14.1" customHeight="1" x14ac:dyDescent="0.2">
      <c r="A422" s="95" t="s">
        <v>1700</v>
      </c>
      <c r="B422" s="95">
        <v>18</v>
      </c>
      <c r="C422" s="95" t="s">
        <v>486</v>
      </c>
      <c r="D422" s="95">
        <v>2012</v>
      </c>
      <c r="E422" s="95">
        <v>61046</v>
      </c>
      <c r="F422" s="95" t="s">
        <v>608</v>
      </c>
      <c r="G422" s="95">
        <v>0</v>
      </c>
      <c r="H422" s="95" t="s">
        <v>608</v>
      </c>
      <c r="I422" s="95">
        <v>0</v>
      </c>
    </row>
    <row r="423" spans="1:9" ht="14.1" customHeight="1" x14ac:dyDescent="0.2">
      <c r="A423" s="95" t="s">
        <v>1701</v>
      </c>
      <c r="B423" s="95">
        <v>18</v>
      </c>
      <c r="C423" s="95" t="s">
        <v>482</v>
      </c>
      <c r="D423" s="95">
        <v>2012</v>
      </c>
      <c r="E423" s="95">
        <v>121753</v>
      </c>
      <c r="F423" s="95" t="s">
        <v>1273</v>
      </c>
      <c r="G423" s="95">
        <v>0</v>
      </c>
      <c r="H423" s="95" t="s">
        <v>1273</v>
      </c>
      <c r="I423" s="95">
        <v>0</v>
      </c>
    </row>
    <row r="424" spans="1:9" ht="14.1" customHeight="1" x14ac:dyDescent="0.2">
      <c r="A424" s="95" t="s">
        <v>1702</v>
      </c>
      <c r="B424" s="95">
        <v>18</v>
      </c>
      <c r="C424" s="95" t="s">
        <v>490</v>
      </c>
      <c r="D424" s="95">
        <v>2012</v>
      </c>
      <c r="E424" s="95">
        <v>59151</v>
      </c>
      <c r="F424" s="95" t="s">
        <v>1273</v>
      </c>
      <c r="G424" s="95" t="s">
        <v>572</v>
      </c>
      <c r="H424" s="95" t="s">
        <v>1273</v>
      </c>
      <c r="I424" s="95" t="s">
        <v>814</v>
      </c>
    </row>
    <row r="425" spans="1:9" ht="14.1" customHeight="1" x14ac:dyDescent="0.2">
      <c r="A425" s="95" t="s">
        <v>1703</v>
      </c>
      <c r="B425" s="95">
        <v>18</v>
      </c>
      <c r="C425" s="95" t="s">
        <v>481</v>
      </c>
      <c r="D425" s="95">
        <v>2012</v>
      </c>
      <c r="E425" s="95">
        <v>380342</v>
      </c>
      <c r="F425" s="95" t="s">
        <v>3073</v>
      </c>
      <c r="G425" s="95">
        <v>0</v>
      </c>
      <c r="H425" s="95" t="s">
        <v>3073</v>
      </c>
      <c r="I425" s="95">
        <v>0</v>
      </c>
    </row>
    <row r="426" spans="1:9" ht="14.1" customHeight="1" x14ac:dyDescent="0.2">
      <c r="A426" s="95" t="s">
        <v>1704</v>
      </c>
      <c r="B426" s="95">
        <v>18</v>
      </c>
      <c r="C426" s="95" t="s">
        <v>484</v>
      </c>
      <c r="D426" s="95">
        <v>2012</v>
      </c>
      <c r="E426" s="95">
        <v>42721</v>
      </c>
      <c r="F426" s="95" t="s">
        <v>837</v>
      </c>
      <c r="G426" s="95">
        <v>0</v>
      </c>
      <c r="H426" s="95" t="s">
        <v>837</v>
      </c>
      <c r="I426" s="95">
        <v>0</v>
      </c>
    </row>
    <row r="427" spans="1:9" ht="14.1" customHeight="1" x14ac:dyDescent="0.2">
      <c r="A427" s="95" t="s">
        <v>1705</v>
      </c>
      <c r="B427" s="95">
        <v>18</v>
      </c>
      <c r="C427" s="95" t="s">
        <v>485</v>
      </c>
      <c r="D427" s="95">
        <v>2012</v>
      </c>
      <c r="E427" s="95">
        <v>21912</v>
      </c>
      <c r="F427" s="95" t="s">
        <v>583</v>
      </c>
      <c r="G427" s="95">
        <v>0</v>
      </c>
      <c r="H427" s="95" t="s">
        <v>583</v>
      </c>
      <c r="I427" s="95">
        <v>0</v>
      </c>
    </row>
    <row r="428" spans="1:9" ht="14.1" customHeight="1" x14ac:dyDescent="0.2">
      <c r="A428" s="95" t="s">
        <v>1706</v>
      </c>
      <c r="B428" s="95">
        <v>18</v>
      </c>
      <c r="C428" s="95" t="s">
        <v>489</v>
      </c>
      <c r="D428" s="95">
        <v>2012</v>
      </c>
      <c r="E428" s="95">
        <v>363439</v>
      </c>
      <c r="F428" s="95" t="s">
        <v>609</v>
      </c>
      <c r="G428" s="95">
        <v>0</v>
      </c>
      <c r="H428" s="95" t="s">
        <v>609</v>
      </c>
      <c r="I428" s="95">
        <v>0</v>
      </c>
    </row>
    <row r="429" spans="1:9" ht="14.1" customHeight="1" x14ac:dyDescent="0.2">
      <c r="A429" s="95" t="s">
        <v>1707</v>
      </c>
      <c r="B429" s="95">
        <v>19</v>
      </c>
      <c r="C429" s="95" t="s">
        <v>518</v>
      </c>
      <c r="D429" s="95">
        <v>2012</v>
      </c>
      <c r="E429" s="95">
        <v>433237.48</v>
      </c>
      <c r="F429" s="95" t="s">
        <v>1278</v>
      </c>
      <c r="G429" s="95">
        <v>0</v>
      </c>
      <c r="H429" s="95" t="s">
        <v>1278</v>
      </c>
      <c r="I429" s="95">
        <v>0</v>
      </c>
    </row>
    <row r="430" spans="1:9" ht="14.1" customHeight="1" x14ac:dyDescent="0.2">
      <c r="A430" s="95" t="s">
        <v>1708</v>
      </c>
      <c r="B430" s="95">
        <v>19</v>
      </c>
      <c r="C430" s="95" t="s">
        <v>524</v>
      </c>
      <c r="D430" s="95">
        <v>2012</v>
      </c>
      <c r="E430" s="95">
        <v>5238656</v>
      </c>
      <c r="F430" s="95" t="s">
        <v>885</v>
      </c>
      <c r="G430" s="95">
        <v>0</v>
      </c>
      <c r="H430" s="95" t="s">
        <v>885</v>
      </c>
      <c r="I430" s="95">
        <v>0</v>
      </c>
    </row>
    <row r="431" spans="1:9" ht="14.1" customHeight="1" x14ac:dyDescent="0.2">
      <c r="A431" s="95" t="s">
        <v>1709</v>
      </c>
      <c r="B431" s="95">
        <v>19</v>
      </c>
      <c r="C431" s="95" t="s">
        <v>530</v>
      </c>
      <c r="D431" s="95">
        <v>2012</v>
      </c>
      <c r="E431" s="95">
        <v>76325</v>
      </c>
      <c r="F431" s="95" t="s">
        <v>634</v>
      </c>
      <c r="G431" s="95" t="s">
        <v>565</v>
      </c>
      <c r="H431" s="95" t="s">
        <v>634</v>
      </c>
      <c r="I431" s="95" t="s">
        <v>802</v>
      </c>
    </row>
    <row r="432" spans="1:9" ht="14.1" customHeight="1" x14ac:dyDescent="0.2">
      <c r="A432" s="95" t="s">
        <v>1710</v>
      </c>
      <c r="B432" s="95">
        <v>19</v>
      </c>
      <c r="C432" s="95" t="s">
        <v>532</v>
      </c>
      <c r="D432" s="95">
        <v>2012</v>
      </c>
      <c r="E432" s="95">
        <v>6139</v>
      </c>
      <c r="F432" s="95" t="s">
        <v>509</v>
      </c>
      <c r="G432" s="95">
        <v>0</v>
      </c>
      <c r="H432" s="95" t="s">
        <v>509</v>
      </c>
      <c r="I432" s="95">
        <v>0</v>
      </c>
    </row>
    <row r="433" spans="1:9" ht="14.1" customHeight="1" x14ac:dyDescent="0.2">
      <c r="A433" s="95" t="s">
        <v>1711</v>
      </c>
      <c r="B433" s="95">
        <v>19</v>
      </c>
      <c r="C433" s="95" t="s">
        <v>536</v>
      </c>
      <c r="D433" s="95">
        <v>2012</v>
      </c>
      <c r="E433" s="95">
        <v>84380</v>
      </c>
      <c r="F433" s="95" t="s">
        <v>579</v>
      </c>
      <c r="G433" s="95">
        <v>0</v>
      </c>
      <c r="H433" s="95" t="s">
        <v>579</v>
      </c>
      <c r="I433" s="95">
        <v>0</v>
      </c>
    </row>
    <row r="434" spans="1:9" ht="14.1" customHeight="1" x14ac:dyDescent="0.2">
      <c r="A434" s="95" t="s">
        <v>1712</v>
      </c>
      <c r="B434" s="95">
        <v>19</v>
      </c>
      <c r="C434" s="95" t="s">
        <v>538</v>
      </c>
      <c r="D434" s="95">
        <v>2012</v>
      </c>
      <c r="E434" s="95">
        <v>72206</v>
      </c>
      <c r="F434" s="95" t="s">
        <v>3074</v>
      </c>
      <c r="G434" s="95">
        <v>0</v>
      </c>
      <c r="H434" s="95" t="s">
        <v>3074</v>
      </c>
      <c r="I434" s="95">
        <v>0</v>
      </c>
    </row>
    <row r="435" spans="1:9" ht="14.1" customHeight="1" x14ac:dyDescent="0.2">
      <c r="A435" s="95" t="s">
        <v>1713</v>
      </c>
      <c r="B435" s="95">
        <v>19</v>
      </c>
      <c r="C435" s="95" t="s">
        <v>540</v>
      </c>
      <c r="D435" s="95">
        <v>2012</v>
      </c>
      <c r="E435" s="95">
        <v>188321</v>
      </c>
      <c r="F435" s="95" t="s">
        <v>894</v>
      </c>
      <c r="G435" s="95" t="s">
        <v>565</v>
      </c>
      <c r="H435" s="95" t="s">
        <v>894</v>
      </c>
      <c r="I435" s="95" t="s">
        <v>802</v>
      </c>
    </row>
    <row r="436" spans="1:9" ht="14.1" customHeight="1" x14ac:dyDescent="0.2">
      <c r="A436" s="95" t="s">
        <v>1714</v>
      </c>
      <c r="B436" s="95">
        <v>19</v>
      </c>
      <c r="C436" s="95" t="s">
        <v>542</v>
      </c>
      <c r="D436" s="95">
        <v>2012</v>
      </c>
      <c r="E436" s="95">
        <v>30030</v>
      </c>
      <c r="F436" s="95" t="s">
        <v>562</v>
      </c>
      <c r="G436" s="95" t="s">
        <v>565</v>
      </c>
      <c r="H436" s="95" t="s">
        <v>562</v>
      </c>
      <c r="I436" s="95" t="s">
        <v>802</v>
      </c>
    </row>
    <row r="437" spans="1:9" ht="14.1" customHeight="1" x14ac:dyDescent="0.2">
      <c r="A437" s="95" t="s">
        <v>1715</v>
      </c>
      <c r="B437" s="95">
        <v>19</v>
      </c>
      <c r="C437" s="95" t="s">
        <v>546</v>
      </c>
      <c r="D437" s="95">
        <v>2012</v>
      </c>
      <c r="E437" s="95">
        <v>1401</v>
      </c>
      <c r="F437" s="95" t="s">
        <v>589</v>
      </c>
      <c r="G437" s="95">
        <v>0</v>
      </c>
      <c r="H437" s="95" t="s">
        <v>589</v>
      </c>
      <c r="I437" s="95">
        <v>0</v>
      </c>
    </row>
    <row r="438" spans="1:9" ht="14.1" customHeight="1" x14ac:dyDescent="0.2">
      <c r="A438" s="95" t="s">
        <v>1716</v>
      </c>
      <c r="B438" s="95">
        <v>19</v>
      </c>
      <c r="C438" s="95" t="s">
        <v>488</v>
      </c>
      <c r="D438" s="95">
        <v>2012</v>
      </c>
      <c r="E438" s="95">
        <v>69826</v>
      </c>
      <c r="F438" s="95" t="s">
        <v>815</v>
      </c>
      <c r="G438" s="95">
        <v>0</v>
      </c>
      <c r="H438" s="95" t="s">
        <v>815</v>
      </c>
      <c r="I438" s="95">
        <v>0</v>
      </c>
    </row>
    <row r="439" spans="1:9" ht="14.1" customHeight="1" x14ac:dyDescent="0.2">
      <c r="A439" s="95" t="s">
        <v>1717</v>
      </c>
      <c r="B439" s="95">
        <v>19</v>
      </c>
      <c r="C439" s="95" t="s">
        <v>487</v>
      </c>
      <c r="D439" s="95">
        <v>2012</v>
      </c>
      <c r="E439" s="95">
        <v>160742</v>
      </c>
      <c r="F439" s="95" t="s">
        <v>1277</v>
      </c>
      <c r="G439" s="95">
        <v>0</v>
      </c>
      <c r="H439" s="95" t="s">
        <v>1277</v>
      </c>
      <c r="I439" s="95">
        <v>0</v>
      </c>
    </row>
    <row r="440" spans="1:9" ht="14.1" customHeight="1" x14ac:dyDescent="0.2">
      <c r="A440" s="95" t="s">
        <v>1718</v>
      </c>
      <c r="B440" s="95">
        <v>19</v>
      </c>
      <c r="C440" s="95" t="s">
        <v>486</v>
      </c>
      <c r="D440" s="95">
        <v>2012</v>
      </c>
      <c r="E440" s="95">
        <v>23538</v>
      </c>
      <c r="F440" s="95" t="s">
        <v>608</v>
      </c>
      <c r="G440" s="95">
        <v>0</v>
      </c>
      <c r="H440" s="95" t="s">
        <v>608</v>
      </c>
      <c r="I440" s="95">
        <v>0</v>
      </c>
    </row>
    <row r="441" spans="1:9" ht="14.1" customHeight="1" x14ac:dyDescent="0.2">
      <c r="A441" s="95" t="s">
        <v>1719</v>
      </c>
      <c r="B441" s="95">
        <v>19</v>
      </c>
      <c r="C441" s="95" t="s">
        <v>482</v>
      </c>
      <c r="D441" s="95">
        <v>2012</v>
      </c>
      <c r="E441" s="95">
        <v>225318</v>
      </c>
      <c r="F441" s="95" t="s">
        <v>815</v>
      </c>
      <c r="G441" s="95" t="s">
        <v>572</v>
      </c>
      <c r="H441" s="95" t="s">
        <v>815</v>
      </c>
      <c r="I441" s="95" t="s">
        <v>814</v>
      </c>
    </row>
    <row r="442" spans="1:9" ht="14.1" customHeight="1" x14ac:dyDescent="0.2">
      <c r="A442" s="95" t="s">
        <v>1720</v>
      </c>
      <c r="B442" s="95">
        <v>19</v>
      </c>
      <c r="C442" s="95" t="s">
        <v>490</v>
      </c>
      <c r="D442" s="95">
        <v>2012</v>
      </c>
      <c r="E442" s="95">
        <v>20096</v>
      </c>
      <c r="F442" s="95" t="s">
        <v>815</v>
      </c>
      <c r="G442" s="95">
        <v>0</v>
      </c>
      <c r="H442" s="95" t="s">
        <v>815</v>
      </c>
      <c r="I442" s="95">
        <v>0</v>
      </c>
    </row>
    <row r="443" spans="1:9" ht="14.1" customHeight="1" x14ac:dyDescent="0.2">
      <c r="A443" s="95" t="s">
        <v>1721</v>
      </c>
      <c r="B443" s="95">
        <v>19</v>
      </c>
      <c r="C443" s="95" t="s">
        <v>481</v>
      </c>
      <c r="D443" s="95">
        <v>2012</v>
      </c>
      <c r="E443" s="95">
        <v>723000</v>
      </c>
      <c r="F443" s="95" t="s">
        <v>815</v>
      </c>
      <c r="G443" s="95">
        <v>0</v>
      </c>
      <c r="H443" s="95" t="s">
        <v>815</v>
      </c>
      <c r="I443" s="95">
        <v>0</v>
      </c>
    </row>
    <row r="444" spans="1:9" ht="14.1" customHeight="1" x14ac:dyDescent="0.2">
      <c r="A444" s="95" t="s">
        <v>1722</v>
      </c>
      <c r="B444" s="95">
        <v>19</v>
      </c>
      <c r="C444" s="95" t="s">
        <v>484</v>
      </c>
      <c r="D444" s="95">
        <v>2012</v>
      </c>
      <c r="E444" s="95">
        <v>3871</v>
      </c>
      <c r="F444" s="95" t="s">
        <v>815</v>
      </c>
      <c r="G444" s="95" t="s">
        <v>572</v>
      </c>
      <c r="H444" s="95" t="s">
        <v>815</v>
      </c>
      <c r="I444" s="95" t="s">
        <v>814</v>
      </c>
    </row>
    <row r="445" spans="1:9" ht="14.1" customHeight="1" x14ac:dyDescent="0.2">
      <c r="A445" s="95" t="s">
        <v>1723</v>
      </c>
      <c r="B445" s="95">
        <v>19</v>
      </c>
      <c r="C445" s="95" t="s">
        <v>485</v>
      </c>
      <c r="D445" s="95">
        <v>2012</v>
      </c>
      <c r="E445" s="95">
        <v>12348</v>
      </c>
      <c r="F445" s="95" t="s">
        <v>815</v>
      </c>
      <c r="G445" s="95">
        <v>0</v>
      </c>
      <c r="H445" s="95" t="s">
        <v>815</v>
      </c>
      <c r="I445" s="95">
        <v>0</v>
      </c>
    </row>
    <row r="446" spans="1:9" ht="14.1" customHeight="1" x14ac:dyDescent="0.2">
      <c r="A446" s="95" t="s">
        <v>1724</v>
      </c>
      <c r="B446" s="95">
        <v>20</v>
      </c>
      <c r="C446" s="95" t="s">
        <v>518</v>
      </c>
      <c r="D446" s="95">
        <v>2012</v>
      </c>
      <c r="E446" s="95">
        <v>160238.51999999999</v>
      </c>
      <c r="F446" s="95" t="s">
        <v>1278</v>
      </c>
      <c r="G446" s="95">
        <v>0</v>
      </c>
      <c r="H446" s="95" t="s">
        <v>1278</v>
      </c>
      <c r="I446" s="95">
        <v>0</v>
      </c>
    </row>
    <row r="447" spans="1:9" ht="14.1" customHeight="1" x14ac:dyDescent="0.2">
      <c r="A447" s="95" t="s">
        <v>1725</v>
      </c>
      <c r="B447" s="95">
        <v>20</v>
      </c>
      <c r="C447" s="95" t="s">
        <v>524</v>
      </c>
      <c r="D447" s="95">
        <v>2012</v>
      </c>
      <c r="E447" s="95">
        <v>2380780</v>
      </c>
      <c r="F447" s="95" t="s">
        <v>885</v>
      </c>
      <c r="G447" s="95">
        <v>0</v>
      </c>
      <c r="H447" s="95" t="s">
        <v>885</v>
      </c>
      <c r="I447" s="95">
        <v>0</v>
      </c>
    </row>
    <row r="448" spans="1:9" ht="14.1" customHeight="1" x14ac:dyDescent="0.2">
      <c r="A448" s="95" t="s">
        <v>1726</v>
      </c>
      <c r="B448" s="95">
        <v>20</v>
      </c>
      <c r="C448" s="95" t="s">
        <v>530</v>
      </c>
      <c r="D448" s="95">
        <v>2012</v>
      </c>
      <c r="E448" s="95">
        <v>52549</v>
      </c>
      <c r="F448" s="95" t="s">
        <v>634</v>
      </c>
      <c r="G448" s="95" t="s">
        <v>565</v>
      </c>
      <c r="H448" s="95" t="s">
        <v>634</v>
      </c>
      <c r="I448" s="95" t="s">
        <v>802</v>
      </c>
    </row>
    <row r="449" spans="1:9" ht="14.1" customHeight="1" x14ac:dyDescent="0.2">
      <c r="A449" s="95" t="s">
        <v>1727</v>
      </c>
      <c r="B449" s="95">
        <v>20</v>
      </c>
      <c r="C449" s="95" t="s">
        <v>532</v>
      </c>
      <c r="D449" s="95">
        <v>2012</v>
      </c>
      <c r="E449" s="95">
        <v>2800</v>
      </c>
      <c r="F449" s="95" t="s">
        <v>509</v>
      </c>
      <c r="G449" s="95">
        <v>0</v>
      </c>
      <c r="H449" s="95" t="s">
        <v>509</v>
      </c>
      <c r="I449" s="95">
        <v>0</v>
      </c>
    </row>
    <row r="450" spans="1:9" ht="14.1" customHeight="1" x14ac:dyDescent="0.2">
      <c r="A450" s="95" t="s">
        <v>1728</v>
      </c>
      <c r="B450" s="95">
        <v>20</v>
      </c>
      <c r="C450" s="95" t="s">
        <v>536</v>
      </c>
      <c r="D450" s="95">
        <v>2012</v>
      </c>
      <c r="E450" s="95">
        <v>18013</v>
      </c>
      <c r="F450" s="95" t="s">
        <v>579</v>
      </c>
      <c r="G450" s="95">
        <v>0</v>
      </c>
      <c r="H450" s="95" t="s">
        <v>579</v>
      </c>
      <c r="I450" s="95">
        <v>0</v>
      </c>
    </row>
    <row r="451" spans="1:9" ht="14.1" customHeight="1" x14ac:dyDescent="0.2">
      <c r="A451" s="95" t="s">
        <v>1729</v>
      </c>
      <c r="B451" s="95">
        <v>20</v>
      </c>
      <c r="C451" s="95" t="s">
        <v>538</v>
      </c>
      <c r="D451" s="95">
        <v>2012</v>
      </c>
      <c r="E451" s="95">
        <v>33945</v>
      </c>
      <c r="F451" s="95" t="s">
        <v>3074</v>
      </c>
      <c r="G451" s="95">
        <v>0</v>
      </c>
      <c r="H451" s="95" t="s">
        <v>3074</v>
      </c>
      <c r="I451" s="95">
        <v>0</v>
      </c>
    </row>
    <row r="452" spans="1:9" ht="14.1" customHeight="1" x14ac:dyDescent="0.2">
      <c r="A452" s="95" t="s">
        <v>1730</v>
      </c>
      <c r="B452" s="95">
        <v>20</v>
      </c>
      <c r="C452" s="95" t="s">
        <v>540</v>
      </c>
      <c r="D452" s="95">
        <v>2012</v>
      </c>
      <c r="E452" s="95">
        <v>53936</v>
      </c>
      <c r="F452" s="95" t="s">
        <v>894</v>
      </c>
      <c r="G452" s="95" t="s">
        <v>565</v>
      </c>
      <c r="H452" s="95" t="s">
        <v>894</v>
      </c>
      <c r="I452" s="95" t="s">
        <v>802</v>
      </c>
    </row>
    <row r="453" spans="1:9" ht="14.1" customHeight="1" x14ac:dyDescent="0.2">
      <c r="A453" s="95" t="s">
        <v>1731</v>
      </c>
      <c r="B453" s="95">
        <v>20</v>
      </c>
      <c r="C453" s="95" t="s">
        <v>542</v>
      </c>
      <c r="D453" s="95">
        <v>2012</v>
      </c>
      <c r="E453" s="95">
        <v>4041</v>
      </c>
      <c r="F453" s="95" t="s">
        <v>562</v>
      </c>
      <c r="G453" s="95" t="s">
        <v>565</v>
      </c>
      <c r="H453" s="95" t="s">
        <v>562</v>
      </c>
      <c r="I453" s="95" t="s">
        <v>802</v>
      </c>
    </row>
    <row r="454" spans="1:9" ht="14.1" customHeight="1" x14ac:dyDescent="0.2">
      <c r="A454" s="95" t="s">
        <v>1732</v>
      </c>
      <c r="B454" s="95">
        <v>20</v>
      </c>
      <c r="C454" s="95" t="s">
        <v>546</v>
      </c>
      <c r="D454" s="95">
        <v>2012</v>
      </c>
      <c r="E454" s="95">
        <v>27461</v>
      </c>
      <c r="F454" s="95" t="s">
        <v>589</v>
      </c>
      <c r="G454" s="95">
        <v>0</v>
      </c>
      <c r="H454" s="95" t="s">
        <v>589</v>
      </c>
      <c r="I454" s="95">
        <v>0</v>
      </c>
    </row>
    <row r="455" spans="1:9" ht="14.1" customHeight="1" x14ac:dyDescent="0.2">
      <c r="A455" s="95" t="s">
        <v>1733</v>
      </c>
      <c r="B455" s="95">
        <v>20</v>
      </c>
      <c r="C455" s="95" t="s">
        <v>488</v>
      </c>
      <c r="D455" s="95">
        <v>2012</v>
      </c>
      <c r="E455" s="95">
        <v>237367</v>
      </c>
      <c r="F455" s="95" t="s">
        <v>815</v>
      </c>
      <c r="G455" s="95">
        <v>0</v>
      </c>
      <c r="H455" s="95" t="s">
        <v>815</v>
      </c>
      <c r="I455" s="95">
        <v>0</v>
      </c>
    </row>
    <row r="456" spans="1:9" ht="14.1" customHeight="1" x14ac:dyDescent="0.2">
      <c r="A456" s="95" t="s">
        <v>1734</v>
      </c>
      <c r="B456" s="95">
        <v>20</v>
      </c>
      <c r="C456" s="95" t="s">
        <v>487</v>
      </c>
      <c r="D456" s="95">
        <v>2012</v>
      </c>
      <c r="E456" s="95">
        <v>35042</v>
      </c>
      <c r="F456" s="95" t="s">
        <v>1277</v>
      </c>
      <c r="G456" s="95">
        <v>0</v>
      </c>
      <c r="H456" s="95" t="s">
        <v>1277</v>
      </c>
      <c r="I456" s="95">
        <v>0</v>
      </c>
    </row>
    <row r="457" spans="1:9" ht="14.1" customHeight="1" x14ac:dyDescent="0.2">
      <c r="A457" s="95" t="s">
        <v>1735</v>
      </c>
      <c r="B457" s="95">
        <v>20</v>
      </c>
      <c r="C457" s="95" t="s">
        <v>486</v>
      </c>
      <c r="D457" s="95">
        <v>2012</v>
      </c>
      <c r="E457" s="95">
        <v>37508</v>
      </c>
      <c r="F457" s="95" t="s">
        <v>608</v>
      </c>
      <c r="G457" s="95">
        <v>0</v>
      </c>
      <c r="H457" s="95" t="s">
        <v>608</v>
      </c>
      <c r="I457" s="95">
        <v>0</v>
      </c>
    </row>
    <row r="458" spans="1:9" ht="14.1" customHeight="1" x14ac:dyDescent="0.2">
      <c r="A458" s="95" t="s">
        <v>1736</v>
      </c>
      <c r="B458" s="95">
        <v>20</v>
      </c>
      <c r="C458" s="95" t="s">
        <v>482</v>
      </c>
      <c r="D458" s="95">
        <v>2012</v>
      </c>
      <c r="E458" s="95">
        <v>121753</v>
      </c>
      <c r="F458" s="95" t="s">
        <v>815</v>
      </c>
      <c r="G458" s="95" t="s">
        <v>572</v>
      </c>
      <c r="H458" s="95" t="s">
        <v>815</v>
      </c>
      <c r="I458" s="95" t="s">
        <v>814</v>
      </c>
    </row>
    <row r="459" spans="1:9" ht="14.1" customHeight="1" x14ac:dyDescent="0.2">
      <c r="A459" s="95" t="s">
        <v>1737</v>
      </c>
      <c r="B459" s="95">
        <v>20</v>
      </c>
      <c r="C459" s="95" t="s">
        <v>490</v>
      </c>
      <c r="D459" s="95">
        <v>2012</v>
      </c>
      <c r="E459" s="95">
        <v>63843</v>
      </c>
      <c r="F459" s="95" t="s">
        <v>815</v>
      </c>
      <c r="G459" s="95">
        <v>0</v>
      </c>
      <c r="H459" s="95" t="s">
        <v>815</v>
      </c>
      <c r="I459" s="95">
        <v>0</v>
      </c>
    </row>
    <row r="460" spans="1:9" ht="14.1" customHeight="1" x14ac:dyDescent="0.2">
      <c r="A460" s="95" t="s">
        <v>1738</v>
      </c>
      <c r="B460" s="95">
        <v>20</v>
      </c>
      <c r="C460" s="95" t="s">
        <v>481</v>
      </c>
      <c r="D460" s="95">
        <v>2012</v>
      </c>
      <c r="E460" s="95">
        <v>940000</v>
      </c>
      <c r="F460" s="95" t="s">
        <v>815</v>
      </c>
      <c r="G460" s="95">
        <v>0</v>
      </c>
      <c r="H460" s="95" t="s">
        <v>815</v>
      </c>
      <c r="I460" s="95">
        <v>0</v>
      </c>
    </row>
    <row r="461" spans="1:9" ht="14.1" customHeight="1" x14ac:dyDescent="0.2">
      <c r="A461" s="95" t="s">
        <v>1739</v>
      </c>
      <c r="B461" s="95">
        <v>20</v>
      </c>
      <c r="C461" s="95" t="s">
        <v>484</v>
      </c>
      <c r="D461" s="95">
        <v>2012</v>
      </c>
      <c r="E461" s="95">
        <v>32532</v>
      </c>
      <c r="F461" s="95" t="s">
        <v>815</v>
      </c>
      <c r="G461" s="95" t="s">
        <v>572</v>
      </c>
      <c r="H461" s="95" t="s">
        <v>815</v>
      </c>
      <c r="I461" s="95" t="s">
        <v>814</v>
      </c>
    </row>
    <row r="462" spans="1:9" ht="14.1" customHeight="1" x14ac:dyDescent="0.2">
      <c r="A462" s="95" t="s">
        <v>1740</v>
      </c>
      <c r="B462" s="95">
        <v>20</v>
      </c>
      <c r="C462" s="95" t="s">
        <v>485</v>
      </c>
      <c r="D462" s="95">
        <v>2012</v>
      </c>
      <c r="E462" s="95">
        <v>25830</v>
      </c>
      <c r="F462" s="95" t="s">
        <v>815</v>
      </c>
      <c r="G462" s="95">
        <v>0</v>
      </c>
      <c r="H462" s="95" t="s">
        <v>815</v>
      </c>
      <c r="I462" s="95">
        <v>0</v>
      </c>
    </row>
    <row r="463" spans="1:9" ht="14.1" customHeight="1" x14ac:dyDescent="0.2">
      <c r="A463" s="95" t="s">
        <v>1741</v>
      </c>
      <c r="B463" s="95">
        <v>22</v>
      </c>
      <c r="C463" s="95" t="s">
        <v>518</v>
      </c>
      <c r="D463" s="95">
        <v>2012</v>
      </c>
      <c r="E463" s="95">
        <v>13.4</v>
      </c>
      <c r="F463" s="95" t="s">
        <v>3075</v>
      </c>
      <c r="G463" s="95" t="s">
        <v>614</v>
      </c>
      <c r="H463" s="95" t="s">
        <v>3075</v>
      </c>
      <c r="I463" s="95" t="s">
        <v>895</v>
      </c>
    </row>
    <row r="464" spans="1:9" ht="14.1" customHeight="1" x14ac:dyDescent="0.2">
      <c r="A464" s="95" t="s">
        <v>1742</v>
      </c>
      <c r="B464" s="95">
        <v>22</v>
      </c>
      <c r="C464" s="95" t="s">
        <v>524</v>
      </c>
      <c r="D464" s="95">
        <v>2012</v>
      </c>
      <c r="E464" s="95">
        <v>13</v>
      </c>
      <c r="F464" s="95" t="s">
        <v>610</v>
      </c>
      <c r="G464" s="95" t="s">
        <v>896</v>
      </c>
      <c r="H464" s="95" t="s">
        <v>610</v>
      </c>
      <c r="I464" s="95" t="s">
        <v>897</v>
      </c>
    </row>
    <row r="465" spans="1:9" ht="14.1" customHeight="1" x14ac:dyDescent="0.2">
      <c r="A465" s="95" t="s">
        <v>1743</v>
      </c>
      <c r="B465" s="95">
        <v>22</v>
      </c>
      <c r="C465" s="95" t="s">
        <v>528</v>
      </c>
      <c r="D465" s="95">
        <v>2012</v>
      </c>
      <c r="E465" s="95">
        <v>10.119999999999999</v>
      </c>
      <c r="F465" s="95" t="s">
        <v>3076</v>
      </c>
      <c r="G465" s="95" t="s">
        <v>611</v>
      </c>
      <c r="H465" s="95" t="s">
        <v>3076</v>
      </c>
      <c r="I465" s="95" t="s">
        <v>898</v>
      </c>
    </row>
    <row r="466" spans="1:9" ht="14.1" customHeight="1" x14ac:dyDescent="0.2">
      <c r="A466" s="95" t="s">
        <v>1744</v>
      </c>
      <c r="B466" s="95">
        <v>22</v>
      </c>
      <c r="C466" s="95" t="s">
        <v>538</v>
      </c>
      <c r="D466" s="95">
        <v>2012</v>
      </c>
      <c r="E466" s="95">
        <v>13.23</v>
      </c>
      <c r="F466" s="95" t="s">
        <v>899</v>
      </c>
      <c r="G466" s="95" t="s">
        <v>612</v>
      </c>
      <c r="H466" s="95" t="s">
        <v>899</v>
      </c>
      <c r="I466" s="95" t="s">
        <v>900</v>
      </c>
    </row>
    <row r="467" spans="1:9" ht="14.1" customHeight="1" x14ac:dyDescent="0.2">
      <c r="A467" s="95" t="s">
        <v>1745</v>
      </c>
      <c r="B467" s="95">
        <v>22</v>
      </c>
      <c r="C467" s="95" t="s">
        <v>540</v>
      </c>
      <c r="D467" s="95">
        <v>2012</v>
      </c>
      <c r="E467" s="95">
        <v>16.600000000000001</v>
      </c>
      <c r="F467" s="95" t="s">
        <v>587</v>
      </c>
      <c r="G467" s="95" t="s">
        <v>573</v>
      </c>
      <c r="H467" s="95" t="s">
        <v>587</v>
      </c>
      <c r="I467" s="95" t="s">
        <v>816</v>
      </c>
    </row>
    <row r="468" spans="1:9" ht="14.1" customHeight="1" x14ac:dyDescent="0.2">
      <c r="A468" s="95" t="s">
        <v>1746</v>
      </c>
      <c r="B468" s="95">
        <v>22</v>
      </c>
      <c r="C468" s="95" t="s">
        <v>546</v>
      </c>
      <c r="D468" s="95">
        <v>2012</v>
      </c>
      <c r="E468" s="95">
        <v>16</v>
      </c>
      <c r="F468" s="95" t="s">
        <v>589</v>
      </c>
      <c r="G468" s="95" t="s">
        <v>573</v>
      </c>
      <c r="H468" s="95" t="s">
        <v>589</v>
      </c>
      <c r="I468" s="95" t="s">
        <v>816</v>
      </c>
    </row>
    <row r="469" spans="1:9" ht="14.1" customHeight="1" x14ac:dyDescent="0.2">
      <c r="A469" s="95" t="s">
        <v>1747</v>
      </c>
      <c r="B469" s="95">
        <v>22</v>
      </c>
      <c r="C469" s="95" t="s">
        <v>483</v>
      </c>
      <c r="D469" s="95">
        <v>2012</v>
      </c>
      <c r="E469" s="95">
        <v>31</v>
      </c>
      <c r="F469" s="95" t="s">
        <v>1273</v>
      </c>
      <c r="G469" s="95">
        <v>0</v>
      </c>
      <c r="H469" s="95" t="s">
        <v>1273</v>
      </c>
      <c r="I469" s="95">
        <v>0</v>
      </c>
    </row>
    <row r="470" spans="1:9" ht="14.1" customHeight="1" x14ac:dyDescent="0.2">
      <c r="A470" s="95" t="s">
        <v>1748</v>
      </c>
      <c r="B470" s="95">
        <v>22</v>
      </c>
      <c r="C470" s="95" t="s">
        <v>488</v>
      </c>
      <c r="D470" s="95">
        <v>2012</v>
      </c>
      <c r="E470" s="95">
        <v>21.14</v>
      </c>
      <c r="F470" s="95" t="s">
        <v>1273</v>
      </c>
      <c r="G470" s="95" t="s">
        <v>613</v>
      </c>
      <c r="H470" s="95" t="s">
        <v>1273</v>
      </c>
      <c r="I470" s="95" t="s">
        <v>901</v>
      </c>
    </row>
    <row r="471" spans="1:9" ht="14.1" customHeight="1" x14ac:dyDescent="0.2">
      <c r="A471" s="95" t="s">
        <v>1749</v>
      </c>
      <c r="B471" s="95">
        <v>22</v>
      </c>
      <c r="C471" s="95" t="s">
        <v>487</v>
      </c>
      <c r="D471" s="95">
        <v>2012</v>
      </c>
      <c r="E471" s="95">
        <v>15</v>
      </c>
      <c r="F471" s="95" t="s">
        <v>1273</v>
      </c>
      <c r="G471" s="95">
        <v>0</v>
      </c>
      <c r="H471" s="95" t="s">
        <v>1273</v>
      </c>
      <c r="I471" s="95">
        <v>0</v>
      </c>
    </row>
    <row r="472" spans="1:9" ht="14.1" customHeight="1" x14ac:dyDescent="0.2">
      <c r="A472" s="95" t="s">
        <v>1750</v>
      </c>
      <c r="B472" s="95">
        <v>22</v>
      </c>
      <c r="C472" s="95" t="s">
        <v>482</v>
      </c>
      <c r="D472" s="95">
        <v>2012</v>
      </c>
      <c r="E472" s="95">
        <v>15</v>
      </c>
      <c r="F472" s="95" t="s">
        <v>1273</v>
      </c>
      <c r="G472" s="95">
        <v>0</v>
      </c>
      <c r="H472" s="95" t="s">
        <v>1273</v>
      </c>
      <c r="I472" s="95">
        <v>0</v>
      </c>
    </row>
    <row r="473" spans="1:9" ht="14.1" customHeight="1" x14ac:dyDescent="0.2">
      <c r="A473" s="95" t="s">
        <v>1751</v>
      </c>
      <c r="B473" s="95">
        <v>22</v>
      </c>
      <c r="C473" s="95" t="s">
        <v>490</v>
      </c>
      <c r="D473" s="95">
        <v>2012</v>
      </c>
      <c r="E473" s="95">
        <v>15</v>
      </c>
      <c r="F473" s="95" t="s">
        <v>1273</v>
      </c>
      <c r="G473" s="95">
        <v>0</v>
      </c>
      <c r="H473" s="95" t="s">
        <v>1273</v>
      </c>
      <c r="I473" s="95">
        <v>0</v>
      </c>
    </row>
    <row r="474" spans="1:9" ht="14.1" customHeight="1" x14ac:dyDescent="0.2">
      <c r="A474" s="95" t="s">
        <v>1752</v>
      </c>
      <c r="B474" s="95">
        <v>22</v>
      </c>
      <c r="C474" s="95" t="s">
        <v>481</v>
      </c>
      <c r="D474" s="95">
        <v>2012</v>
      </c>
      <c r="E474" s="95">
        <v>16.850000000000001</v>
      </c>
      <c r="F474" s="95" t="s">
        <v>3073</v>
      </c>
      <c r="G474" s="95">
        <v>0</v>
      </c>
      <c r="H474" s="95" t="s">
        <v>3073</v>
      </c>
      <c r="I474" s="95">
        <v>0</v>
      </c>
    </row>
    <row r="475" spans="1:9" ht="14.1" customHeight="1" x14ac:dyDescent="0.2">
      <c r="A475" s="95" t="s">
        <v>1753</v>
      </c>
      <c r="B475" s="95">
        <v>22</v>
      </c>
      <c r="C475" s="95" t="s">
        <v>484</v>
      </c>
      <c r="D475" s="95">
        <v>2012</v>
      </c>
      <c r="E475" s="95">
        <v>23</v>
      </c>
      <c r="F475" s="95" t="s">
        <v>815</v>
      </c>
      <c r="G475" s="95" t="s">
        <v>572</v>
      </c>
      <c r="H475" s="95" t="s">
        <v>815</v>
      </c>
      <c r="I475" s="95" t="s">
        <v>814</v>
      </c>
    </row>
    <row r="476" spans="1:9" ht="14.1" customHeight="1" x14ac:dyDescent="0.2">
      <c r="A476" s="95" t="s">
        <v>1754</v>
      </c>
      <c r="B476" s="95">
        <v>22</v>
      </c>
      <c r="C476" s="95" t="s">
        <v>485</v>
      </c>
      <c r="D476" s="95">
        <v>2012</v>
      </c>
      <c r="E476" s="95">
        <v>12.14</v>
      </c>
      <c r="F476" s="95" t="s">
        <v>1273</v>
      </c>
      <c r="G476" s="95">
        <v>0</v>
      </c>
      <c r="H476" s="95" t="s">
        <v>1273</v>
      </c>
      <c r="I476" s="95">
        <v>0</v>
      </c>
    </row>
    <row r="477" spans="1:9" ht="14.1" customHeight="1" x14ac:dyDescent="0.2">
      <c r="A477" s="95" t="s">
        <v>1755</v>
      </c>
      <c r="B477" s="95">
        <v>22</v>
      </c>
      <c r="C477" s="95" t="s">
        <v>489</v>
      </c>
      <c r="D477" s="95">
        <v>2012</v>
      </c>
      <c r="E477" s="95">
        <v>20</v>
      </c>
      <c r="F477" s="95" t="s">
        <v>1273</v>
      </c>
      <c r="G477" s="95" t="s">
        <v>594</v>
      </c>
      <c r="H477" s="95" t="s">
        <v>1273</v>
      </c>
      <c r="I477" s="95" t="s">
        <v>855</v>
      </c>
    </row>
    <row r="478" spans="1:9" ht="14.1" customHeight="1" x14ac:dyDescent="0.2">
      <c r="A478" s="95" t="s">
        <v>2730</v>
      </c>
      <c r="B478" s="95">
        <v>22</v>
      </c>
      <c r="C478" s="95" t="s">
        <v>486</v>
      </c>
      <c r="D478" s="95">
        <v>2012</v>
      </c>
      <c r="E478" s="95">
        <v>11</v>
      </c>
      <c r="F478" s="95" t="s">
        <v>825</v>
      </c>
      <c r="G478" s="95">
        <v>0</v>
      </c>
      <c r="H478" s="95" t="s">
        <v>825</v>
      </c>
      <c r="I478" s="95">
        <v>0</v>
      </c>
    </row>
    <row r="479" spans="1:9" ht="14.1" customHeight="1" x14ac:dyDescent="0.2">
      <c r="A479" s="95" t="s">
        <v>1756</v>
      </c>
      <c r="B479" s="95">
        <v>23</v>
      </c>
      <c r="C479" s="95" t="s">
        <v>518</v>
      </c>
      <c r="D479" s="95">
        <v>2012</v>
      </c>
      <c r="E479" s="95">
        <v>62578</v>
      </c>
      <c r="F479" s="95" t="s">
        <v>3075</v>
      </c>
      <c r="G479" s="95" t="s">
        <v>614</v>
      </c>
      <c r="H479" s="95" t="s">
        <v>3075</v>
      </c>
      <c r="I479" s="95" t="s">
        <v>902</v>
      </c>
    </row>
    <row r="480" spans="1:9" ht="14.1" customHeight="1" x14ac:dyDescent="0.2">
      <c r="A480" s="95" t="s">
        <v>1757</v>
      </c>
      <c r="B480" s="95">
        <v>23</v>
      </c>
      <c r="C480" s="95" t="s">
        <v>520</v>
      </c>
      <c r="D480" s="95">
        <v>2012</v>
      </c>
      <c r="E480" s="95">
        <v>469</v>
      </c>
      <c r="F480" s="95" t="s">
        <v>574</v>
      </c>
      <c r="G480" s="95">
        <v>0</v>
      </c>
      <c r="H480" s="95" t="s">
        <v>574</v>
      </c>
      <c r="I480" s="95">
        <v>0</v>
      </c>
    </row>
    <row r="481" spans="1:9" ht="14.1" customHeight="1" x14ac:dyDescent="0.2">
      <c r="A481" s="95" t="s">
        <v>1758</v>
      </c>
      <c r="B481" s="95">
        <v>23</v>
      </c>
      <c r="C481" s="95" t="s">
        <v>524</v>
      </c>
      <c r="D481" s="95">
        <v>2012</v>
      </c>
      <c r="E481" s="95">
        <v>1684367</v>
      </c>
      <c r="F481" s="95" t="s">
        <v>885</v>
      </c>
      <c r="G481" s="95">
        <v>0</v>
      </c>
      <c r="H481" s="95" t="s">
        <v>885</v>
      </c>
      <c r="I481" s="95">
        <v>0</v>
      </c>
    </row>
    <row r="482" spans="1:9" ht="14.1" customHeight="1" x14ac:dyDescent="0.2">
      <c r="A482" s="95" t="s">
        <v>1759</v>
      </c>
      <c r="B482" s="95">
        <v>23</v>
      </c>
      <c r="C482" s="95" t="s">
        <v>528</v>
      </c>
      <c r="D482" s="95">
        <v>2012</v>
      </c>
      <c r="E482" s="95">
        <v>66861</v>
      </c>
      <c r="F482" s="95" t="s">
        <v>903</v>
      </c>
      <c r="G482" s="95">
        <v>0</v>
      </c>
      <c r="H482" s="95" t="s">
        <v>903</v>
      </c>
      <c r="I482" s="95">
        <v>0</v>
      </c>
    </row>
    <row r="483" spans="1:9" ht="14.1" customHeight="1" x14ac:dyDescent="0.2">
      <c r="A483" s="95" t="s">
        <v>1760</v>
      </c>
      <c r="B483" s="95">
        <v>23</v>
      </c>
      <c r="C483" s="95" t="s">
        <v>532</v>
      </c>
      <c r="D483" s="95">
        <v>2012</v>
      </c>
      <c r="E483" s="95">
        <v>2138</v>
      </c>
      <c r="F483" s="95" t="s">
        <v>509</v>
      </c>
      <c r="G483" s="95">
        <v>0</v>
      </c>
      <c r="H483" s="95" t="s">
        <v>509</v>
      </c>
      <c r="I483" s="95">
        <v>0</v>
      </c>
    </row>
    <row r="484" spans="1:9" ht="14.1" customHeight="1" x14ac:dyDescent="0.2">
      <c r="A484" s="95" t="s">
        <v>1761</v>
      </c>
      <c r="B484" s="95">
        <v>23</v>
      </c>
      <c r="C484" s="95" t="s">
        <v>536</v>
      </c>
      <c r="D484" s="95">
        <v>2012</v>
      </c>
      <c r="E484" s="95">
        <v>2199</v>
      </c>
      <c r="F484" s="95" t="s">
        <v>579</v>
      </c>
      <c r="G484" s="95">
        <v>0</v>
      </c>
      <c r="H484" s="95" t="s">
        <v>579</v>
      </c>
      <c r="I484" s="95">
        <v>0</v>
      </c>
    </row>
    <row r="485" spans="1:9" ht="14.1" customHeight="1" x14ac:dyDescent="0.2">
      <c r="A485" s="95" t="s">
        <v>1762</v>
      </c>
      <c r="B485" s="95">
        <v>23</v>
      </c>
      <c r="C485" s="95" t="s">
        <v>538</v>
      </c>
      <c r="D485" s="95">
        <v>2012</v>
      </c>
      <c r="E485" s="95">
        <v>78147</v>
      </c>
      <c r="F485" s="95" t="s">
        <v>899</v>
      </c>
      <c r="G485" s="95">
        <v>0</v>
      </c>
      <c r="H485" s="95" t="s">
        <v>899</v>
      </c>
      <c r="I485" s="95">
        <v>0</v>
      </c>
    </row>
    <row r="486" spans="1:9" ht="14.1" customHeight="1" x14ac:dyDescent="0.2">
      <c r="A486" s="95" t="s">
        <v>1763</v>
      </c>
      <c r="B486" s="95">
        <v>23</v>
      </c>
      <c r="C486" s="95" t="s">
        <v>540</v>
      </c>
      <c r="D486" s="95">
        <v>2012</v>
      </c>
      <c r="E486" s="95">
        <v>5535</v>
      </c>
      <c r="F486" s="95" t="s">
        <v>904</v>
      </c>
      <c r="G486" s="95" t="s">
        <v>565</v>
      </c>
      <c r="H486" s="95" t="s">
        <v>904</v>
      </c>
      <c r="I486" s="95" t="s">
        <v>802</v>
      </c>
    </row>
    <row r="487" spans="1:9" ht="14.1" customHeight="1" x14ac:dyDescent="0.2">
      <c r="A487" s="95" t="s">
        <v>1764</v>
      </c>
      <c r="B487" s="95">
        <v>23</v>
      </c>
      <c r="C487" s="95" t="s">
        <v>546</v>
      </c>
      <c r="D487" s="95">
        <v>2012</v>
      </c>
      <c r="E487" s="95">
        <v>27891</v>
      </c>
      <c r="F487" s="95" t="s">
        <v>589</v>
      </c>
      <c r="G487" s="95" t="s">
        <v>573</v>
      </c>
      <c r="H487" s="95" t="s">
        <v>589</v>
      </c>
      <c r="I487" s="95" t="s">
        <v>816</v>
      </c>
    </row>
    <row r="488" spans="1:9" ht="14.1" customHeight="1" x14ac:dyDescent="0.2">
      <c r="A488" s="95" t="s">
        <v>1765</v>
      </c>
      <c r="B488" s="95">
        <v>23</v>
      </c>
      <c r="C488" s="95" t="s">
        <v>488</v>
      </c>
      <c r="D488" s="95">
        <v>2012</v>
      </c>
      <c r="E488" s="95">
        <v>48071.5</v>
      </c>
      <c r="F488" s="95" t="s">
        <v>815</v>
      </c>
      <c r="G488" s="95">
        <v>0</v>
      </c>
      <c r="H488" s="95" t="s">
        <v>815</v>
      </c>
      <c r="I488" s="95">
        <v>0</v>
      </c>
    </row>
    <row r="489" spans="1:9" ht="14.1" customHeight="1" x14ac:dyDescent="0.2">
      <c r="A489" s="95" t="s">
        <v>1766</v>
      </c>
      <c r="B489" s="95">
        <v>23</v>
      </c>
      <c r="C489" s="95" t="s">
        <v>486</v>
      </c>
      <c r="D489" s="95">
        <v>2012</v>
      </c>
      <c r="E489" s="95">
        <v>12000</v>
      </c>
      <c r="F489" s="95" t="s">
        <v>608</v>
      </c>
      <c r="G489" s="95">
        <v>0</v>
      </c>
      <c r="H489" s="95" t="s">
        <v>608</v>
      </c>
      <c r="I489" s="95">
        <v>0</v>
      </c>
    </row>
    <row r="490" spans="1:9" ht="14.1" customHeight="1" x14ac:dyDescent="0.2">
      <c r="A490" s="95" t="s">
        <v>1767</v>
      </c>
      <c r="B490" s="95">
        <v>23</v>
      </c>
      <c r="C490" s="95" t="s">
        <v>482</v>
      </c>
      <c r="D490" s="95">
        <v>2012</v>
      </c>
      <c r="E490" s="95">
        <v>5391</v>
      </c>
      <c r="F490" s="95" t="s">
        <v>815</v>
      </c>
      <c r="G490" s="95">
        <v>0</v>
      </c>
      <c r="H490" s="95" t="s">
        <v>815</v>
      </c>
      <c r="I490" s="95">
        <v>0</v>
      </c>
    </row>
    <row r="491" spans="1:9" ht="14.1" customHeight="1" x14ac:dyDescent="0.2">
      <c r="A491" s="95" t="s">
        <v>1768</v>
      </c>
      <c r="B491" s="95">
        <v>23</v>
      </c>
      <c r="C491" s="95" t="s">
        <v>490</v>
      </c>
      <c r="D491" s="95">
        <v>2012</v>
      </c>
      <c r="E491" s="95">
        <v>13133</v>
      </c>
      <c r="F491" s="95" t="s">
        <v>815</v>
      </c>
      <c r="G491" s="95">
        <v>0</v>
      </c>
      <c r="H491" s="95" t="s">
        <v>815</v>
      </c>
      <c r="I491" s="95">
        <v>0</v>
      </c>
    </row>
    <row r="492" spans="1:9" ht="14.1" customHeight="1" x14ac:dyDescent="0.2">
      <c r="A492" s="95" t="s">
        <v>1769</v>
      </c>
      <c r="B492" s="95">
        <v>23</v>
      </c>
      <c r="C492" s="95" t="s">
        <v>481</v>
      </c>
      <c r="D492" s="95">
        <v>2012</v>
      </c>
      <c r="E492" s="95">
        <v>334858</v>
      </c>
      <c r="F492" s="95" t="s">
        <v>3073</v>
      </c>
      <c r="G492" s="95">
        <v>0</v>
      </c>
      <c r="H492" s="95" t="s">
        <v>3073</v>
      </c>
      <c r="I492" s="95">
        <v>0</v>
      </c>
    </row>
    <row r="493" spans="1:9" ht="14.1" customHeight="1" x14ac:dyDescent="0.2">
      <c r="A493" s="95" t="s">
        <v>1770</v>
      </c>
      <c r="B493" s="95">
        <v>23</v>
      </c>
      <c r="C493" s="95" t="s">
        <v>484</v>
      </c>
      <c r="D493" s="95">
        <v>2012</v>
      </c>
      <c r="E493" s="95">
        <v>6221</v>
      </c>
      <c r="F493" s="95" t="s">
        <v>837</v>
      </c>
      <c r="G493" s="95">
        <v>0</v>
      </c>
      <c r="H493" s="95" t="s">
        <v>837</v>
      </c>
      <c r="I493" s="95">
        <v>0</v>
      </c>
    </row>
    <row r="494" spans="1:9" ht="14.1" customHeight="1" x14ac:dyDescent="0.2">
      <c r="A494" s="95" t="s">
        <v>1771</v>
      </c>
      <c r="B494" s="95">
        <v>23</v>
      </c>
      <c r="C494" s="95" t="s">
        <v>485</v>
      </c>
      <c r="D494" s="95">
        <v>2012</v>
      </c>
      <c r="E494" s="95">
        <v>8742</v>
      </c>
      <c r="F494" s="95" t="s">
        <v>815</v>
      </c>
      <c r="G494" s="95" t="s">
        <v>572</v>
      </c>
      <c r="H494" s="95" t="s">
        <v>815</v>
      </c>
      <c r="I494" s="95" t="s">
        <v>814</v>
      </c>
    </row>
    <row r="495" spans="1:9" ht="14.1" customHeight="1" x14ac:dyDescent="0.2">
      <c r="A495" s="95" t="s">
        <v>1772</v>
      </c>
      <c r="B495" s="95">
        <v>24</v>
      </c>
      <c r="C495" s="95" t="s">
        <v>518</v>
      </c>
      <c r="D495" s="95">
        <v>2012</v>
      </c>
      <c r="E495" s="95">
        <v>11476548</v>
      </c>
      <c r="F495" s="95" t="s">
        <v>603</v>
      </c>
      <c r="G495" s="95">
        <v>0</v>
      </c>
      <c r="H495" s="95" t="s">
        <v>603</v>
      </c>
      <c r="I495" s="95">
        <v>0</v>
      </c>
    </row>
    <row r="496" spans="1:9" ht="14.1" customHeight="1" x14ac:dyDescent="0.2">
      <c r="A496" s="95" t="s">
        <v>1773</v>
      </c>
      <c r="B496" s="95">
        <v>24</v>
      </c>
      <c r="C496" s="95" t="s">
        <v>520</v>
      </c>
      <c r="D496" s="95">
        <v>2012</v>
      </c>
      <c r="E496" s="95">
        <v>110480</v>
      </c>
      <c r="F496" s="95" t="s">
        <v>574</v>
      </c>
      <c r="G496" s="95">
        <v>0</v>
      </c>
      <c r="H496" s="95" t="s">
        <v>574</v>
      </c>
      <c r="I496" s="95">
        <v>0</v>
      </c>
    </row>
    <row r="497" spans="1:9" ht="14.1" customHeight="1" x14ac:dyDescent="0.2">
      <c r="A497" s="95" t="s">
        <v>1774</v>
      </c>
      <c r="B497" s="95">
        <v>24</v>
      </c>
      <c r="C497" s="95" t="s">
        <v>522</v>
      </c>
      <c r="D497" s="95">
        <v>2012</v>
      </c>
      <c r="E497" s="95">
        <v>1082981</v>
      </c>
      <c r="F497" s="95" t="s">
        <v>3077</v>
      </c>
      <c r="G497" s="95">
        <v>0</v>
      </c>
      <c r="H497" s="95" t="s">
        <v>3077</v>
      </c>
      <c r="I497" s="95">
        <v>0</v>
      </c>
    </row>
    <row r="498" spans="1:9" ht="14.1" customHeight="1" x14ac:dyDescent="0.2">
      <c r="A498" s="95" t="s">
        <v>1775</v>
      </c>
      <c r="B498" s="95">
        <v>24</v>
      </c>
      <c r="C498" s="95" t="s">
        <v>524</v>
      </c>
      <c r="D498" s="95">
        <v>2012</v>
      </c>
      <c r="E498" s="95">
        <v>76137191</v>
      </c>
      <c r="F498" s="95" t="s">
        <v>885</v>
      </c>
      <c r="G498" s="95">
        <v>0</v>
      </c>
      <c r="H498" s="95" t="s">
        <v>885</v>
      </c>
      <c r="I498" s="95">
        <v>0</v>
      </c>
    </row>
    <row r="499" spans="1:9" ht="14.1" customHeight="1" x14ac:dyDescent="0.2">
      <c r="A499" s="95" t="s">
        <v>1776</v>
      </c>
      <c r="B499" s="95">
        <v>24</v>
      </c>
      <c r="C499" s="95" t="s">
        <v>526</v>
      </c>
      <c r="D499" s="95">
        <v>2012</v>
      </c>
      <c r="E499" s="95">
        <v>140000</v>
      </c>
      <c r="F499" s="95" t="s">
        <v>599</v>
      </c>
      <c r="G499" s="95">
        <v>0</v>
      </c>
      <c r="H499" s="95" t="s">
        <v>599</v>
      </c>
      <c r="I499" s="95">
        <v>0</v>
      </c>
    </row>
    <row r="500" spans="1:9" ht="14.1" customHeight="1" x14ac:dyDescent="0.2">
      <c r="A500" s="95" t="s">
        <v>1777</v>
      </c>
      <c r="B500" s="95">
        <v>24</v>
      </c>
      <c r="C500" s="95" t="s">
        <v>528</v>
      </c>
      <c r="D500" s="95">
        <v>2012</v>
      </c>
      <c r="E500" s="95">
        <v>3933931</v>
      </c>
      <c r="F500" s="95" t="s">
        <v>903</v>
      </c>
      <c r="G500" s="95">
        <v>0</v>
      </c>
      <c r="H500" s="95" t="s">
        <v>903</v>
      </c>
      <c r="I500" s="95">
        <v>0</v>
      </c>
    </row>
    <row r="501" spans="1:9" ht="14.1" customHeight="1" x14ac:dyDescent="0.2">
      <c r="A501" s="95" t="s">
        <v>1778</v>
      </c>
      <c r="B501" s="95">
        <v>24</v>
      </c>
      <c r="C501" s="95" t="s">
        <v>530</v>
      </c>
      <c r="D501" s="95">
        <v>2012</v>
      </c>
      <c r="E501" s="95">
        <v>1664754</v>
      </c>
      <c r="F501" s="95" t="s">
        <v>634</v>
      </c>
      <c r="G501" s="95" t="s">
        <v>565</v>
      </c>
      <c r="H501" s="95" t="s">
        <v>634</v>
      </c>
      <c r="I501" s="95" t="s">
        <v>802</v>
      </c>
    </row>
    <row r="502" spans="1:9" ht="14.1" customHeight="1" x14ac:dyDescent="0.2">
      <c r="A502" s="95" t="s">
        <v>1779</v>
      </c>
      <c r="B502" s="95">
        <v>24</v>
      </c>
      <c r="C502" s="95" t="s">
        <v>532</v>
      </c>
      <c r="D502" s="95">
        <v>2012</v>
      </c>
      <c r="E502" s="95">
        <v>88000</v>
      </c>
      <c r="F502" s="95" t="s">
        <v>509</v>
      </c>
      <c r="G502" s="95">
        <v>0</v>
      </c>
      <c r="H502" s="95" t="s">
        <v>509</v>
      </c>
      <c r="I502" s="95">
        <v>0</v>
      </c>
    </row>
    <row r="503" spans="1:9" ht="14.1" customHeight="1" x14ac:dyDescent="0.2">
      <c r="A503" s="95" t="s">
        <v>1780</v>
      </c>
      <c r="B503" s="95">
        <v>24</v>
      </c>
      <c r="C503" s="95" t="s">
        <v>536</v>
      </c>
      <c r="D503" s="95">
        <v>2012</v>
      </c>
      <c r="E503" s="95">
        <v>503637</v>
      </c>
      <c r="F503" s="95" t="s">
        <v>579</v>
      </c>
      <c r="G503" s="95">
        <v>0</v>
      </c>
      <c r="H503" s="95" t="s">
        <v>579</v>
      </c>
      <c r="I503" s="95">
        <v>0</v>
      </c>
    </row>
    <row r="504" spans="1:9" ht="14.1" customHeight="1" x14ac:dyDescent="0.2">
      <c r="A504" s="95" t="s">
        <v>1781</v>
      </c>
      <c r="B504" s="95">
        <v>24</v>
      </c>
      <c r="C504" s="95" t="s">
        <v>538</v>
      </c>
      <c r="D504" s="95">
        <v>2012</v>
      </c>
      <c r="E504" s="95">
        <v>2137837</v>
      </c>
      <c r="F504" s="95" t="s">
        <v>3078</v>
      </c>
      <c r="G504" s="95">
        <v>0</v>
      </c>
      <c r="H504" s="95" t="s">
        <v>3078</v>
      </c>
      <c r="I504" s="95">
        <v>0</v>
      </c>
    </row>
    <row r="505" spans="1:9" ht="14.1" customHeight="1" x14ac:dyDescent="0.2">
      <c r="A505" s="95" t="s">
        <v>1782</v>
      </c>
      <c r="B505" s="95">
        <v>24</v>
      </c>
      <c r="C505" s="95" t="s">
        <v>540</v>
      </c>
      <c r="D505" s="95">
        <v>2012</v>
      </c>
      <c r="E505" s="95">
        <v>1110073</v>
      </c>
      <c r="F505" s="95" t="s">
        <v>652</v>
      </c>
      <c r="G505" s="95" t="s">
        <v>565</v>
      </c>
      <c r="H505" s="95" t="s">
        <v>652</v>
      </c>
      <c r="I505" s="95" t="s">
        <v>802</v>
      </c>
    </row>
    <row r="506" spans="1:9" ht="14.1" customHeight="1" x14ac:dyDescent="0.2">
      <c r="A506" s="95" t="s">
        <v>1783</v>
      </c>
      <c r="B506" s="95">
        <v>24</v>
      </c>
      <c r="C506" s="95" t="s">
        <v>542</v>
      </c>
      <c r="D506" s="95">
        <v>2012</v>
      </c>
      <c r="E506" s="95">
        <v>165599</v>
      </c>
      <c r="F506" s="95" t="s">
        <v>562</v>
      </c>
      <c r="G506" s="95">
        <v>0</v>
      </c>
      <c r="H506" s="95" t="s">
        <v>562</v>
      </c>
      <c r="I506" s="95">
        <v>0</v>
      </c>
    </row>
    <row r="507" spans="1:9" ht="14.1" customHeight="1" x14ac:dyDescent="0.2">
      <c r="A507" s="95" t="s">
        <v>1784</v>
      </c>
      <c r="B507" s="95">
        <v>24</v>
      </c>
      <c r="C507" s="95" t="s">
        <v>544</v>
      </c>
      <c r="D507" s="95">
        <v>2012</v>
      </c>
      <c r="E507" s="95">
        <v>477277</v>
      </c>
      <c r="F507" s="95" t="s">
        <v>825</v>
      </c>
      <c r="G507" s="95">
        <v>0</v>
      </c>
      <c r="H507" s="95" t="s">
        <v>825</v>
      </c>
      <c r="I507" s="95">
        <v>0</v>
      </c>
    </row>
    <row r="508" spans="1:9" ht="14.1" customHeight="1" x14ac:dyDescent="0.2">
      <c r="A508" s="95" t="s">
        <v>1785</v>
      </c>
      <c r="B508" s="95">
        <v>24</v>
      </c>
      <c r="C508" s="95" t="s">
        <v>546</v>
      </c>
      <c r="D508" s="95">
        <v>2012</v>
      </c>
      <c r="E508" s="95">
        <v>1700417</v>
      </c>
      <c r="F508" s="95" t="s">
        <v>589</v>
      </c>
      <c r="G508" s="95" t="s">
        <v>565</v>
      </c>
      <c r="H508" s="95" t="s">
        <v>589</v>
      </c>
      <c r="I508" s="95" t="s">
        <v>802</v>
      </c>
    </row>
    <row r="509" spans="1:9" ht="14.1" customHeight="1" x14ac:dyDescent="0.2">
      <c r="A509" s="95" t="s">
        <v>1786</v>
      </c>
      <c r="B509" s="95">
        <v>24</v>
      </c>
      <c r="C509" s="95" t="s">
        <v>483</v>
      </c>
      <c r="D509" s="95">
        <v>2012</v>
      </c>
      <c r="E509" s="95">
        <v>50000</v>
      </c>
      <c r="F509" s="95" t="s">
        <v>815</v>
      </c>
      <c r="G509" s="95">
        <v>0</v>
      </c>
      <c r="H509" s="95" t="s">
        <v>815</v>
      </c>
      <c r="I509" s="95">
        <v>0</v>
      </c>
    </row>
    <row r="510" spans="1:9" ht="14.1" customHeight="1" x14ac:dyDescent="0.2">
      <c r="A510" s="95" t="s">
        <v>1787</v>
      </c>
      <c r="B510" s="95">
        <v>24</v>
      </c>
      <c r="C510" s="95" t="s">
        <v>488</v>
      </c>
      <c r="D510" s="95">
        <v>2012</v>
      </c>
      <c r="E510" s="95">
        <v>9156898</v>
      </c>
      <c r="F510" s="95" t="s">
        <v>836</v>
      </c>
      <c r="G510" s="95">
        <v>0</v>
      </c>
      <c r="H510" s="95" t="s">
        <v>836</v>
      </c>
      <c r="I510" s="95">
        <v>0</v>
      </c>
    </row>
    <row r="511" spans="1:9" ht="14.1" customHeight="1" x14ac:dyDescent="0.2">
      <c r="A511" s="95" t="s">
        <v>1788</v>
      </c>
      <c r="B511" s="95">
        <v>24</v>
      </c>
      <c r="C511" s="95" t="s">
        <v>487</v>
      </c>
      <c r="D511" s="95">
        <v>2012</v>
      </c>
      <c r="E511" s="95">
        <v>1134373</v>
      </c>
      <c r="F511" s="95" t="s">
        <v>1277</v>
      </c>
      <c r="G511" s="95">
        <v>0</v>
      </c>
      <c r="H511" s="95" t="s">
        <v>1277</v>
      </c>
      <c r="I511" s="95">
        <v>0</v>
      </c>
    </row>
    <row r="512" spans="1:9" ht="14.1" customHeight="1" x14ac:dyDescent="0.2">
      <c r="A512" s="95" t="s">
        <v>1789</v>
      </c>
      <c r="B512" s="95">
        <v>24</v>
      </c>
      <c r="C512" s="95" t="s">
        <v>486</v>
      </c>
      <c r="D512" s="95">
        <v>2012</v>
      </c>
      <c r="E512" s="95">
        <v>587577</v>
      </c>
      <c r="F512" s="95" t="s">
        <v>815</v>
      </c>
      <c r="G512" s="95">
        <v>0</v>
      </c>
      <c r="H512" s="95" t="s">
        <v>815</v>
      </c>
      <c r="I512" s="95">
        <v>0</v>
      </c>
    </row>
    <row r="513" spans="1:9" ht="14.1" customHeight="1" x14ac:dyDescent="0.2">
      <c r="A513" s="95" t="s">
        <v>1790</v>
      </c>
      <c r="B513" s="95">
        <v>24</v>
      </c>
      <c r="C513" s="95" t="s">
        <v>482</v>
      </c>
      <c r="D513" s="95">
        <v>2012</v>
      </c>
      <c r="E513" s="95">
        <v>2051945</v>
      </c>
      <c r="F513" s="95" t="s">
        <v>815</v>
      </c>
      <c r="G513" s="95" t="s">
        <v>572</v>
      </c>
      <c r="H513" s="95" t="s">
        <v>815</v>
      </c>
      <c r="I513" s="95" t="s">
        <v>814</v>
      </c>
    </row>
    <row r="514" spans="1:9" ht="14.1" customHeight="1" x14ac:dyDescent="0.2">
      <c r="A514" s="95" t="s">
        <v>1791</v>
      </c>
      <c r="B514" s="95">
        <v>24</v>
      </c>
      <c r="C514" s="95" t="s">
        <v>490</v>
      </c>
      <c r="D514" s="95">
        <v>2012</v>
      </c>
      <c r="E514" s="95">
        <v>1100209</v>
      </c>
      <c r="F514" s="95" t="s">
        <v>815</v>
      </c>
      <c r="G514" s="95">
        <v>0</v>
      </c>
      <c r="H514" s="95" t="s">
        <v>815</v>
      </c>
      <c r="I514" s="95">
        <v>0</v>
      </c>
    </row>
    <row r="515" spans="1:9" ht="14.1" customHeight="1" x14ac:dyDescent="0.2">
      <c r="A515" s="95" t="s">
        <v>1792</v>
      </c>
      <c r="B515" s="95">
        <v>24</v>
      </c>
      <c r="C515" s="95" t="s">
        <v>481</v>
      </c>
      <c r="D515" s="95">
        <v>2012</v>
      </c>
      <c r="E515" s="95">
        <v>32338820</v>
      </c>
      <c r="F515" s="95" t="s">
        <v>815</v>
      </c>
      <c r="G515" s="95" t="s">
        <v>573</v>
      </c>
      <c r="H515" s="95" t="s">
        <v>815</v>
      </c>
      <c r="I515" s="95" t="s">
        <v>816</v>
      </c>
    </row>
    <row r="516" spans="1:9" ht="14.1" customHeight="1" x14ac:dyDescent="0.2">
      <c r="A516" s="95" t="s">
        <v>1793</v>
      </c>
      <c r="B516" s="95">
        <v>24</v>
      </c>
      <c r="C516" s="95" t="s">
        <v>484</v>
      </c>
      <c r="D516" s="95">
        <v>2012</v>
      </c>
      <c r="E516" s="95">
        <v>511631</v>
      </c>
      <c r="F516" s="95" t="s">
        <v>837</v>
      </c>
      <c r="G516" s="95">
        <v>0</v>
      </c>
      <c r="H516" s="95" t="s">
        <v>837</v>
      </c>
      <c r="I516" s="95">
        <v>0</v>
      </c>
    </row>
    <row r="517" spans="1:9" ht="14.1" customHeight="1" x14ac:dyDescent="0.2">
      <c r="A517" s="95" t="s">
        <v>1794</v>
      </c>
      <c r="B517" s="95">
        <v>24</v>
      </c>
      <c r="C517" s="95" t="s">
        <v>485</v>
      </c>
      <c r="D517" s="95">
        <v>2012</v>
      </c>
      <c r="E517" s="95">
        <v>464040</v>
      </c>
      <c r="F517" s="95" t="s">
        <v>583</v>
      </c>
      <c r="G517" s="95" t="s">
        <v>572</v>
      </c>
      <c r="H517" s="95" t="s">
        <v>583</v>
      </c>
      <c r="I517" s="95" t="s">
        <v>814</v>
      </c>
    </row>
    <row r="518" spans="1:9" ht="14.1" customHeight="1" x14ac:dyDescent="0.2">
      <c r="A518" s="95" t="s">
        <v>1795</v>
      </c>
      <c r="B518" s="95">
        <v>24</v>
      </c>
      <c r="C518" s="95" t="s">
        <v>489</v>
      </c>
      <c r="D518" s="95">
        <v>2012</v>
      </c>
      <c r="E518" s="95">
        <v>2917573</v>
      </c>
      <c r="F518" s="95" t="s">
        <v>815</v>
      </c>
      <c r="G518" s="95" t="s">
        <v>573</v>
      </c>
      <c r="H518" s="95" t="s">
        <v>815</v>
      </c>
      <c r="I518" s="95" t="s">
        <v>816</v>
      </c>
    </row>
    <row r="519" spans="1:9" ht="14.1" customHeight="1" x14ac:dyDescent="0.2">
      <c r="A519" s="95" t="s">
        <v>1796</v>
      </c>
      <c r="B519" s="95">
        <v>25</v>
      </c>
      <c r="C519" s="95" t="s">
        <v>518</v>
      </c>
      <c r="D519" s="95">
        <v>2012</v>
      </c>
      <c r="E519" s="95">
        <v>43963</v>
      </c>
      <c r="F519" s="95" t="s">
        <v>603</v>
      </c>
      <c r="G519" s="95" t="s">
        <v>614</v>
      </c>
      <c r="H519" s="95" t="s">
        <v>603</v>
      </c>
      <c r="I519" s="95" t="s">
        <v>902</v>
      </c>
    </row>
    <row r="520" spans="1:9" ht="14.1" customHeight="1" x14ac:dyDescent="0.2">
      <c r="A520" s="95" t="s">
        <v>1797</v>
      </c>
      <c r="B520" s="95">
        <v>25</v>
      </c>
      <c r="C520" s="95" t="s">
        <v>524</v>
      </c>
      <c r="D520" s="95">
        <v>2012</v>
      </c>
      <c r="E520" s="95">
        <v>804731</v>
      </c>
      <c r="F520" s="95" t="s">
        <v>3079</v>
      </c>
      <c r="G520" s="95">
        <v>0</v>
      </c>
      <c r="H520" s="95" t="s">
        <v>3079</v>
      </c>
      <c r="I520" s="95">
        <v>0</v>
      </c>
    </row>
    <row r="521" spans="1:9" ht="14.1" customHeight="1" x14ac:dyDescent="0.2">
      <c r="A521" s="95" t="s">
        <v>1798</v>
      </c>
      <c r="B521" s="95">
        <v>25</v>
      </c>
      <c r="C521" s="95" t="s">
        <v>528</v>
      </c>
      <c r="D521" s="95">
        <v>2012</v>
      </c>
      <c r="E521" s="95">
        <v>37850</v>
      </c>
      <c r="F521" s="95" t="s">
        <v>905</v>
      </c>
      <c r="G521" s="95">
        <v>0</v>
      </c>
      <c r="H521" s="95" t="s">
        <v>905</v>
      </c>
      <c r="I521" s="95">
        <v>0</v>
      </c>
    </row>
    <row r="522" spans="1:9" ht="14.1" customHeight="1" x14ac:dyDescent="0.2">
      <c r="A522" s="95" t="s">
        <v>1799</v>
      </c>
      <c r="B522" s="95">
        <v>25</v>
      </c>
      <c r="C522" s="95" t="s">
        <v>536</v>
      </c>
      <c r="D522" s="95">
        <v>2012</v>
      </c>
      <c r="E522" s="95">
        <v>21661</v>
      </c>
      <c r="F522" s="95" t="s">
        <v>579</v>
      </c>
      <c r="G522" s="95">
        <v>0</v>
      </c>
      <c r="H522" s="95" t="s">
        <v>579</v>
      </c>
      <c r="I522" s="95">
        <v>0</v>
      </c>
    </row>
    <row r="523" spans="1:9" ht="14.1" customHeight="1" x14ac:dyDescent="0.2">
      <c r="A523" s="95" t="s">
        <v>1800</v>
      </c>
      <c r="B523" s="95">
        <v>25</v>
      </c>
      <c r="C523" s="95" t="s">
        <v>538</v>
      </c>
      <c r="D523" s="95">
        <v>2012</v>
      </c>
      <c r="E523" s="95">
        <v>71974</v>
      </c>
      <c r="F523" s="95" t="s">
        <v>3074</v>
      </c>
      <c r="G523" s="95">
        <v>0</v>
      </c>
      <c r="H523" s="95" t="s">
        <v>3074</v>
      </c>
      <c r="I523" s="95">
        <v>0</v>
      </c>
    </row>
    <row r="524" spans="1:9" ht="14.1" customHeight="1" x14ac:dyDescent="0.2">
      <c r="A524" s="95" t="s">
        <v>1801</v>
      </c>
      <c r="B524" s="95">
        <v>25</v>
      </c>
      <c r="C524" s="95" t="s">
        <v>540</v>
      </c>
      <c r="D524" s="95">
        <v>2012</v>
      </c>
      <c r="E524" s="95">
        <v>222</v>
      </c>
      <c r="F524" s="95" t="s">
        <v>894</v>
      </c>
      <c r="G524" s="95" t="s">
        <v>573</v>
      </c>
      <c r="H524" s="95" t="s">
        <v>894</v>
      </c>
      <c r="I524" s="95" t="s">
        <v>816</v>
      </c>
    </row>
    <row r="525" spans="1:9" ht="14.1" customHeight="1" x14ac:dyDescent="0.2">
      <c r="A525" s="95" t="s">
        <v>1802</v>
      </c>
      <c r="B525" s="95">
        <v>25</v>
      </c>
      <c r="C525" s="95" t="s">
        <v>546</v>
      </c>
      <c r="D525" s="95">
        <v>2012</v>
      </c>
      <c r="E525" s="95">
        <v>12996</v>
      </c>
      <c r="F525" s="95" t="s">
        <v>589</v>
      </c>
      <c r="G525" s="95">
        <v>0</v>
      </c>
      <c r="H525" s="95" t="s">
        <v>589</v>
      </c>
      <c r="I525" s="95">
        <v>0</v>
      </c>
    </row>
    <row r="526" spans="1:9" ht="14.1" customHeight="1" x14ac:dyDescent="0.2">
      <c r="A526" s="95" t="s">
        <v>1803</v>
      </c>
      <c r="B526" s="95">
        <v>25</v>
      </c>
      <c r="C526" s="95" t="s">
        <v>488</v>
      </c>
      <c r="D526" s="95">
        <v>2012</v>
      </c>
      <c r="E526" s="95">
        <v>2528</v>
      </c>
      <c r="F526" s="95" t="s">
        <v>836</v>
      </c>
      <c r="G526" s="95">
        <v>0</v>
      </c>
      <c r="H526" s="95" t="s">
        <v>836</v>
      </c>
      <c r="I526" s="95">
        <v>0</v>
      </c>
    </row>
    <row r="527" spans="1:9" ht="14.1" customHeight="1" x14ac:dyDescent="0.2">
      <c r="A527" s="95" t="s">
        <v>1804</v>
      </c>
      <c r="B527" s="95">
        <v>25</v>
      </c>
      <c r="C527" s="95" t="s">
        <v>487</v>
      </c>
      <c r="D527" s="95">
        <v>2012</v>
      </c>
      <c r="E527" s="95">
        <v>1592</v>
      </c>
      <c r="F527" s="95" t="s">
        <v>815</v>
      </c>
      <c r="G527" s="95">
        <v>0</v>
      </c>
      <c r="H527" s="95" t="s">
        <v>815</v>
      </c>
      <c r="I527" s="95">
        <v>0</v>
      </c>
    </row>
    <row r="528" spans="1:9" ht="14.1" customHeight="1" x14ac:dyDescent="0.2">
      <c r="A528" s="95" t="s">
        <v>1805</v>
      </c>
      <c r="B528" s="95">
        <v>25</v>
      </c>
      <c r="C528" s="95" t="s">
        <v>486</v>
      </c>
      <c r="D528" s="95">
        <v>2012</v>
      </c>
      <c r="E528" s="95">
        <v>1944</v>
      </c>
      <c r="F528" s="95" t="s">
        <v>815</v>
      </c>
      <c r="G528" s="95">
        <v>0</v>
      </c>
      <c r="H528" s="95" t="s">
        <v>815</v>
      </c>
      <c r="I528" s="95">
        <v>0</v>
      </c>
    </row>
    <row r="529" spans="1:9" ht="14.1" customHeight="1" x14ac:dyDescent="0.2">
      <c r="A529" s="95" t="s">
        <v>1806</v>
      </c>
      <c r="B529" s="95">
        <v>25</v>
      </c>
      <c r="C529" s="95" t="s">
        <v>482</v>
      </c>
      <c r="D529" s="95">
        <v>2012</v>
      </c>
      <c r="E529" s="95">
        <v>1083</v>
      </c>
      <c r="F529" s="95" t="s">
        <v>815</v>
      </c>
      <c r="G529" s="95">
        <v>0</v>
      </c>
      <c r="H529" s="95" t="s">
        <v>815</v>
      </c>
      <c r="I529" s="95">
        <v>0</v>
      </c>
    </row>
    <row r="530" spans="1:9" ht="14.1" customHeight="1" x14ac:dyDescent="0.2">
      <c r="A530" s="95" t="s">
        <v>1807</v>
      </c>
      <c r="B530" s="95">
        <v>25</v>
      </c>
      <c r="C530" s="95" t="s">
        <v>490</v>
      </c>
      <c r="D530" s="95">
        <v>2012</v>
      </c>
      <c r="E530" s="95">
        <v>1899</v>
      </c>
      <c r="F530" s="95" t="s">
        <v>815</v>
      </c>
      <c r="G530" s="95">
        <v>0</v>
      </c>
      <c r="H530" s="95" t="s">
        <v>815</v>
      </c>
      <c r="I530" s="95">
        <v>0</v>
      </c>
    </row>
    <row r="531" spans="1:9" ht="14.1" customHeight="1" x14ac:dyDescent="0.2">
      <c r="A531" s="95" t="s">
        <v>1808</v>
      </c>
      <c r="B531" s="95">
        <v>25</v>
      </c>
      <c r="C531" s="95" t="s">
        <v>481</v>
      </c>
      <c r="D531" s="95">
        <v>2012</v>
      </c>
      <c r="E531" s="95">
        <v>152776</v>
      </c>
      <c r="F531" s="95" t="s">
        <v>3073</v>
      </c>
      <c r="G531" s="95">
        <v>0</v>
      </c>
      <c r="H531" s="95" t="s">
        <v>3073</v>
      </c>
      <c r="I531" s="95">
        <v>0</v>
      </c>
    </row>
    <row r="532" spans="1:9" ht="14.1" customHeight="1" x14ac:dyDescent="0.2">
      <c r="A532" s="95" t="s">
        <v>1809</v>
      </c>
      <c r="B532" s="95">
        <v>25</v>
      </c>
      <c r="C532" s="95" t="s">
        <v>484</v>
      </c>
      <c r="D532" s="95">
        <v>2012</v>
      </c>
      <c r="E532" s="95">
        <v>2446</v>
      </c>
      <c r="F532" s="95" t="s">
        <v>815</v>
      </c>
      <c r="G532" s="95">
        <v>0</v>
      </c>
      <c r="H532" s="95" t="s">
        <v>815</v>
      </c>
      <c r="I532" s="95">
        <v>0</v>
      </c>
    </row>
    <row r="533" spans="1:9" ht="14.1" customHeight="1" x14ac:dyDescent="0.2">
      <c r="A533" s="95" t="s">
        <v>1810</v>
      </c>
      <c r="B533" s="95">
        <v>25</v>
      </c>
      <c r="C533" s="95" t="s">
        <v>485</v>
      </c>
      <c r="D533" s="95">
        <v>2012</v>
      </c>
      <c r="E533" s="95">
        <v>2191</v>
      </c>
      <c r="F533" s="95" t="s">
        <v>815</v>
      </c>
      <c r="G533" s="95">
        <v>0</v>
      </c>
      <c r="H533" s="95" t="s">
        <v>815</v>
      </c>
      <c r="I533" s="95">
        <v>0</v>
      </c>
    </row>
    <row r="534" spans="1:9" ht="14.1" customHeight="1" x14ac:dyDescent="0.2">
      <c r="A534" s="95" t="s">
        <v>1811</v>
      </c>
      <c r="B534" s="95">
        <v>26</v>
      </c>
      <c r="C534" s="95" t="s">
        <v>518</v>
      </c>
      <c r="D534" s="95">
        <v>2012</v>
      </c>
      <c r="E534" s="95">
        <v>37963</v>
      </c>
      <c r="F534" s="95" t="s">
        <v>603</v>
      </c>
      <c r="G534" s="95">
        <v>0</v>
      </c>
      <c r="H534" s="95" t="s">
        <v>603</v>
      </c>
      <c r="I534" s="95">
        <v>0</v>
      </c>
    </row>
    <row r="535" spans="1:9" ht="14.1" customHeight="1" x14ac:dyDescent="0.2">
      <c r="A535" s="95" t="s">
        <v>1812</v>
      </c>
      <c r="B535" s="95">
        <v>26</v>
      </c>
      <c r="C535" s="95" t="s">
        <v>540</v>
      </c>
      <c r="D535" s="95">
        <v>2012</v>
      </c>
      <c r="E535" s="95">
        <v>0</v>
      </c>
      <c r="F535" s="95" t="s">
        <v>894</v>
      </c>
      <c r="G535" s="95">
        <v>0</v>
      </c>
      <c r="H535" s="95" t="s">
        <v>894</v>
      </c>
      <c r="I535" s="95">
        <v>0</v>
      </c>
    </row>
    <row r="536" spans="1:9" ht="14.1" customHeight="1" x14ac:dyDescent="0.2">
      <c r="A536" s="95" t="s">
        <v>1813</v>
      </c>
      <c r="B536" s="95">
        <v>26</v>
      </c>
      <c r="C536" s="95" t="s">
        <v>488</v>
      </c>
      <c r="D536" s="95">
        <v>2012</v>
      </c>
      <c r="E536" s="95">
        <v>278</v>
      </c>
      <c r="F536" s="95" t="s">
        <v>815</v>
      </c>
      <c r="G536" s="95">
        <v>0</v>
      </c>
      <c r="H536" s="95" t="s">
        <v>815</v>
      </c>
      <c r="I536" s="95">
        <v>0</v>
      </c>
    </row>
    <row r="537" spans="1:9" ht="14.1" customHeight="1" x14ac:dyDescent="0.2">
      <c r="A537" s="95" t="s">
        <v>1814</v>
      </c>
      <c r="B537" s="95">
        <v>26</v>
      </c>
      <c r="C537" s="95" t="s">
        <v>481</v>
      </c>
      <c r="D537" s="95">
        <v>2012</v>
      </c>
      <c r="E537" s="95">
        <v>110385</v>
      </c>
      <c r="F537" s="95" t="s">
        <v>3073</v>
      </c>
      <c r="G537" s="95">
        <v>0</v>
      </c>
      <c r="H537" s="95" t="s">
        <v>3073</v>
      </c>
      <c r="I537" s="95">
        <v>0</v>
      </c>
    </row>
    <row r="538" spans="1:9" ht="14.1" customHeight="1" x14ac:dyDescent="0.2">
      <c r="A538" s="95" t="s">
        <v>1815</v>
      </c>
      <c r="B538" s="95">
        <v>27</v>
      </c>
      <c r="C538" s="95" t="s">
        <v>518</v>
      </c>
      <c r="D538" s="95">
        <v>2012</v>
      </c>
      <c r="E538" s="95">
        <v>6.2</v>
      </c>
      <c r="F538" s="95" t="s">
        <v>603</v>
      </c>
      <c r="G538" s="95" t="s">
        <v>614</v>
      </c>
      <c r="H538" s="95" t="s">
        <v>603</v>
      </c>
      <c r="I538" s="95" t="s">
        <v>902</v>
      </c>
    </row>
    <row r="539" spans="1:9" ht="14.1" customHeight="1" x14ac:dyDescent="0.2">
      <c r="A539" s="95" t="s">
        <v>1816</v>
      </c>
      <c r="B539" s="95">
        <v>27</v>
      </c>
      <c r="C539" s="95" t="s">
        <v>524</v>
      </c>
      <c r="D539" s="95">
        <v>2012</v>
      </c>
      <c r="E539" s="95">
        <v>2.2999999999999998</v>
      </c>
      <c r="F539" s="95" t="s">
        <v>3079</v>
      </c>
      <c r="G539" s="95">
        <v>0</v>
      </c>
      <c r="H539" s="95" t="s">
        <v>3079</v>
      </c>
      <c r="I539" s="95">
        <v>0</v>
      </c>
    </row>
    <row r="540" spans="1:9" ht="14.1" customHeight="1" x14ac:dyDescent="0.2">
      <c r="A540" s="95" t="s">
        <v>1817</v>
      </c>
      <c r="B540" s="95">
        <v>27</v>
      </c>
      <c r="C540" s="95" t="s">
        <v>528</v>
      </c>
      <c r="D540" s="95">
        <v>2012</v>
      </c>
      <c r="E540" s="95">
        <v>6.4</v>
      </c>
      <c r="F540" s="95" t="s">
        <v>3076</v>
      </c>
      <c r="G540" s="95">
        <v>0</v>
      </c>
      <c r="H540" s="95" t="s">
        <v>3076</v>
      </c>
      <c r="I540" s="95">
        <v>0</v>
      </c>
    </row>
    <row r="541" spans="1:9" ht="14.1" customHeight="1" x14ac:dyDescent="0.2">
      <c r="A541" s="95" t="s">
        <v>1818</v>
      </c>
      <c r="B541" s="95">
        <v>27</v>
      </c>
      <c r="C541" s="95" t="s">
        <v>540</v>
      </c>
      <c r="D541" s="95">
        <v>2012</v>
      </c>
      <c r="E541" s="95">
        <v>0</v>
      </c>
      <c r="F541" s="95">
        <v>0</v>
      </c>
      <c r="G541" s="95">
        <v>0</v>
      </c>
      <c r="H541" s="95">
        <v>0</v>
      </c>
      <c r="I541" s="95">
        <v>0</v>
      </c>
    </row>
    <row r="542" spans="1:9" ht="14.1" customHeight="1" x14ac:dyDescent="0.2">
      <c r="A542" s="95" t="s">
        <v>1819</v>
      </c>
      <c r="B542" s="95">
        <v>27</v>
      </c>
      <c r="C542" s="95" t="s">
        <v>546</v>
      </c>
      <c r="D542" s="95">
        <v>2012</v>
      </c>
      <c r="E542" s="95">
        <v>10.6</v>
      </c>
      <c r="F542" s="95" t="s">
        <v>3080</v>
      </c>
      <c r="G542" s="95">
        <v>0</v>
      </c>
      <c r="H542" s="95" t="s">
        <v>3080</v>
      </c>
      <c r="I542" s="95">
        <v>0</v>
      </c>
    </row>
    <row r="543" spans="1:9" ht="14.1" customHeight="1" x14ac:dyDescent="0.2">
      <c r="A543" s="95" t="s">
        <v>1820</v>
      </c>
      <c r="B543" s="95">
        <v>27</v>
      </c>
      <c r="C543" s="95" t="s">
        <v>488</v>
      </c>
      <c r="D543" s="95">
        <v>2012</v>
      </c>
      <c r="E543" s="95">
        <v>5.6</v>
      </c>
      <c r="F543" s="95" t="s">
        <v>1278</v>
      </c>
      <c r="G543" s="95">
        <v>0</v>
      </c>
      <c r="H543" s="95" t="s">
        <v>1278</v>
      </c>
      <c r="I543" s="95">
        <v>0</v>
      </c>
    </row>
    <row r="544" spans="1:9" ht="14.1" customHeight="1" x14ac:dyDescent="0.2">
      <c r="A544" s="95" t="s">
        <v>1821</v>
      </c>
      <c r="B544" s="95">
        <v>27</v>
      </c>
      <c r="C544" s="95" t="s">
        <v>487</v>
      </c>
      <c r="D544" s="95">
        <v>2012</v>
      </c>
      <c r="E544" s="95">
        <v>10.18</v>
      </c>
      <c r="F544" s="95" t="s">
        <v>815</v>
      </c>
      <c r="G544" s="95">
        <v>0</v>
      </c>
      <c r="H544" s="95" t="s">
        <v>815</v>
      </c>
      <c r="I544" s="95">
        <v>0</v>
      </c>
    </row>
    <row r="545" spans="1:9" ht="14.1" customHeight="1" x14ac:dyDescent="0.2">
      <c r="A545" s="95" t="s">
        <v>1822</v>
      </c>
      <c r="B545" s="95">
        <v>27</v>
      </c>
      <c r="C545" s="95" t="s">
        <v>486</v>
      </c>
      <c r="D545" s="95">
        <v>2012</v>
      </c>
      <c r="E545" s="95">
        <v>4.3</v>
      </c>
      <c r="F545" s="95" t="s">
        <v>815</v>
      </c>
      <c r="G545" s="95">
        <v>0</v>
      </c>
      <c r="H545" s="95" t="s">
        <v>815</v>
      </c>
      <c r="I545" s="95">
        <v>0</v>
      </c>
    </row>
    <row r="546" spans="1:9" ht="14.1" customHeight="1" x14ac:dyDescent="0.2">
      <c r="A546" s="95" t="s">
        <v>1823</v>
      </c>
      <c r="B546" s="95">
        <v>27</v>
      </c>
      <c r="C546" s="95" t="s">
        <v>482</v>
      </c>
      <c r="D546" s="95">
        <v>2012</v>
      </c>
      <c r="E546" s="95">
        <v>8.19</v>
      </c>
      <c r="F546" s="95" t="s">
        <v>815</v>
      </c>
      <c r="G546" s="95">
        <v>0</v>
      </c>
      <c r="H546" s="95" t="s">
        <v>815</v>
      </c>
      <c r="I546" s="95">
        <v>0</v>
      </c>
    </row>
    <row r="547" spans="1:9" ht="14.1" customHeight="1" x14ac:dyDescent="0.2">
      <c r="A547" s="95" t="s">
        <v>1824</v>
      </c>
      <c r="B547" s="95">
        <v>27</v>
      </c>
      <c r="C547" s="95" t="s">
        <v>490</v>
      </c>
      <c r="D547" s="95">
        <v>2012</v>
      </c>
      <c r="E547" s="95">
        <v>2.88</v>
      </c>
      <c r="F547" s="95" t="s">
        <v>815</v>
      </c>
      <c r="G547" s="95">
        <v>0</v>
      </c>
      <c r="H547" s="95" t="s">
        <v>815</v>
      </c>
      <c r="I547" s="95">
        <v>0</v>
      </c>
    </row>
    <row r="548" spans="1:9" ht="14.1" customHeight="1" x14ac:dyDescent="0.2">
      <c r="A548" s="95" t="s">
        <v>1825</v>
      </c>
      <c r="B548" s="95">
        <v>27</v>
      </c>
      <c r="C548" s="95" t="s">
        <v>481</v>
      </c>
      <c r="D548" s="95">
        <v>2012</v>
      </c>
      <c r="E548" s="95">
        <v>2.4369999999999998</v>
      </c>
      <c r="F548" s="95" t="s">
        <v>815</v>
      </c>
      <c r="G548" s="95">
        <v>0</v>
      </c>
      <c r="H548" s="95" t="s">
        <v>815</v>
      </c>
      <c r="I548" s="95">
        <v>0</v>
      </c>
    </row>
    <row r="549" spans="1:9" ht="14.1" customHeight="1" x14ac:dyDescent="0.2">
      <c r="A549" s="95" t="s">
        <v>1826</v>
      </c>
      <c r="B549" s="95">
        <v>27</v>
      </c>
      <c r="C549" s="95" t="s">
        <v>484</v>
      </c>
      <c r="D549" s="95">
        <v>2012</v>
      </c>
      <c r="E549" s="95">
        <v>3.08</v>
      </c>
      <c r="F549" s="95" t="s">
        <v>815</v>
      </c>
      <c r="G549" s="95">
        <v>0</v>
      </c>
      <c r="H549" s="95" t="s">
        <v>815</v>
      </c>
      <c r="I549" s="95">
        <v>0</v>
      </c>
    </row>
    <row r="550" spans="1:9" ht="14.1" customHeight="1" x14ac:dyDescent="0.2">
      <c r="A550" s="95" t="s">
        <v>1827</v>
      </c>
      <c r="B550" s="95">
        <v>27</v>
      </c>
      <c r="C550" s="95" t="s">
        <v>485</v>
      </c>
      <c r="D550" s="95">
        <v>2012</v>
      </c>
      <c r="E550" s="95">
        <v>1.61</v>
      </c>
      <c r="F550" s="95" t="s">
        <v>815</v>
      </c>
      <c r="G550" s="95">
        <v>0</v>
      </c>
      <c r="H550" s="95" t="s">
        <v>815</v>
      </c>
      <c r="I550" s="95">
        <v>0</v>
      </c>
    </row>
    <row r="551" spans="1:9" ht="14.1" customHeight="1" x14ac:dyDescent="0.2">
      <c r="A551" s="95" t="s">
        <v>1828</v>
      </c>
      <c r="B551" s="95">
        <v>27</v>
      </c>
      <c r="C551" s="95" t="s">
        <v>489</v>
      </c>
      <c r="D551" s="95">
        <v>2012</v>
      </c>
      <c r="E551" s="95">
        <v>5</v>
      </c>
      <c r="F551" s="95" t="s">
        <v>815</v>
      </c>
      <c r="G551" s="95">
        <v>0</v>
      </c>
      <c r="H551" s="95" t="s">
        <v>815</v>
      </c>
      <c r="I551" s="95">
        <v>0</v>
      </c>
    </row>
    <row r="552" spans="1:9" ht="14.1" customHeight="1" x14ac:dyDescent="0.2">
      <c r="A552" s="95" t="s">
        <v>1829</v>
      </c>
      <c r="B552" s="95">
        <v>28</v>
      </c>
      <c r="C552" s="95" t="s">
        <v>518</v>
      </c>
      <c r="D552" s="95">
        <v>2012</v>
      </c>
      <c r="E552" s="95">
        <v>500000</v>
      </c>
      <c r="F552" s="95" t="s">
        <v>3075</v>
      </c>
      <c r="G552" s="95">
        <v>0</v>
      </c>
      <c r="H552" s="95" t="s">
        <v>3075</v>
      </c>
      <c r="I552" s="95">
        <v>0</v>
      </c>
    </row>
    <row r="553" spans="1:9" ht="14.1" customHeight="1" x14ac:dyDescent="0.2">
      <c r="A553" s="95" t="s">
        <v>1830</v>
      </c>
      <c r="B553" s="95">
        <v>28</v>
      </c>
      <c r="C553" s="95" t="s">
        <v>524</v>
      </c>
      <c r="D553" s="95">
        <v>2012</v>
      </c>
      <c r="E553" s="95">
        <v>869981</v>
      </c>
      <c r="F553" s="95" t="s">
        <v>558</v>
      </c>
      <c r="G553" s="95">
        <v>0</v>
      </c>
      <c r="H553" s="95" t="s">
        <v>558</v>
      </c>
      <c r="I553" s="95">
        <v>0</v>
      </c>
    </row>
    <row r="554" spans="1:9" ht="14.1" customHeight="1" x14ac:dyDescent="0.2">
      <c r="A554" s="95" t="s">
        <v>1831</v>
      </c>
      <c r="B554" s="95">
        <v>28</v>
      </c>
      <c r="C554" s="95" t="s">
        <v>528</v>
      </c>
      <c r="D554" s="95">
        <v>2012</v>
      </c>
      <c r="E554" s="95">
        <v>155074</v>
      </c>
      <c r="F554" s="95" t="s">
        <v>905</v>
      </c>
      <c r="G554" s="95">
        <v>0</v>
      </c>
      <c r="H554" s="95" t="s">
        <v>905</v>
      </c>
      <c r="I554" s="95">
        <v>0</v>
      </c>
    </row>
    <row r="555" spans="1:9" ht="14.1" customHeight="1" x14ac:dyDescent="0.2">
      <c r="A555" s="95" t="s">
        <v>1832</v>
      </c>
      <c r="B555" s="95">
        <v>28</v>
      </c>
      <c r="C555" s="95" t="s">
        <v>536</v>
      </c>
      <c r="D555" s="95">
        <v>2012</v>
      </c>
      <c r="E555" s="95">
        <v>46125</v>
      </c>
      <c r="F555" s="95" t="s">
        <v>560</v>
      </c>
      <c r="G555" s="95">
        <v>0</v>
      </c>
      <c r="H555" s="95" t="s">
        <v>560</v>
      </c>
      <c r="I555" s="95">
        <v>0</v>
      </c>
    </row>
    <row r="556" spans="1:9" ht="14.1" customHeight="1" x14ac:dyDescent="0.2">
      <c r="A556" s="95" t="s">
        <v>1833</v>
      </c>
      <c r="B556" s="95">
        <v>28</v>
      </c>
      <c r="C556" s="95" t="s">
        <v>540</v>
      </c>
      <c r="D556" s="95">
        <v>2012</v>
      </c>
      <c r="E556" s="95">
        <v>21574</v>
      </c>
      <c r="F556" s="95" t="s">
        <v>904</v>
      </c>
      <c r="G556" s="95" t="s">
        <v>573</v>
      </c>
      <c r="H556" s="95" t="s">
        <v>904</v>
      </c>
      <c r="I556" s="95" t="s">
        <v>816</v>
      </c>
    </row>
    <row r="557" spans="1:9" ht="14.1" customHeight="1" x14ac:dyDescent="0.2">
      <c r="A557" s="95" t="s">
        <v>1834</v>
      </c>
      <c r="B557" s="95">
        <v>28</v>
      </c>
      <c r="C557" s="95" t="s">
        <v>546</v>
      </c>
      <c r="D557" s="95">
        <v>2012</v>
      </c>
      <c r="E557" s="95">
        <v>49925</v>
      </c>
      <c r="F557" s="95" t="s">
        <v>589</v>
      </c>
      <c r="G557" s="95">
        <v>0</v>
      </c>
      <c r="H557" s="95" t="s">
        <v>589</v>
      </c>
      <c r="I557" s="95">
        <v>0</v>
      </c>
    </row>
    <row r="558" spans="1:9" ht="14.1" customHeight="1" x14ac:dyDescent="0.2">
      <c r="A558" s="95" t="s">
        <v>1835</v>
      </c>
      <c r="B558" s="95">
        <v>28</v>
      </c>
      <c r="C558" s="95" t="s">
        <v>488</v>
      </c>
      <c r="D558" s="95">
        <v>2012</v>
      </c>
      <c r="E558" s="95">
        <v>335859</v>
      </c>
      <c r="F558" s="95" t="s">
        <v>815</v>
      </c>
      <c r="G558" s="95">
        <v>0</v>
      </c>
      <c r="H558" s="95" t="s">
        <v>815</v>
      </c>
      <c r="I558" s="95">
        <v>0</v>
      </c>
    </row>
    <row r="559" spans="1:9" ht="14.1" customHeight="1" x14ac:dyDescent="0.2">
      <c r="A559" s="95" t="s">
        <v>1836</v>
      </c>
      <c r="B559" s="95">
        <v>28</v>
      </c>
      <c r="C559" s="95" t="s">
        <v>482</v>
      </c>
      <c r="D559" s="95">
        <v>2012</v>
      </c>
      <c r="E559" s="95">
        <v>37566</v>
      </c>
      <c r="F559" s="95" t="s">
        <v>815</v>
      </c>
      <c r="G559" s="95" t="s">
        <v>573</v>
      </c>
      <c r="H559" s="95" t="s">
        <v>815</v>
      </c>
      <c r="I559" s="95" t="s">
        <v>816</v>
      </c>
    </row>
    <row r="560" spans="1:9" ht="14.1" customHeight="1" x14ac:dyDescent="0.2">
      <c r="A560" s="95" t="s">
        <v>1837</v>
      </c>
      <c r="B560" s="95">
        <v>28</v>
      </c>
      <c r="C560" s="95" t="s">
        <v>481</v>
      </c>
      <c r="D560" s="95">
        <v>2012</v>
      </c>
      <c r="E560" s="95">
        <v>1075000</v>
      </c>
      <c r="F560" s="95" t="s">
        <v>815</v>
      </c>
      <c r="G560" s="95">
        <v>0</v>
      </c>
      <c r="H560" s="95" t="s">
        <v>815</v>
      </c>
      <c r="I560" s="95">
        <v>0</v>
      </c>
    </row>
    <row r="561" spans="1:9" ht="14.1" customHeight="1" x14ac:dyDescent="0.2">
      <c r="A561" s="95" t="s">
        <v>1838</v>
      </c>
      <c r="B561" s="95">
        <v>28</v>
      </c>
      <c r="C561" s="95" t="s">
        <v>489</v>
      </c>
      <c r="D561" s="95">
        <v>2012</v>
      </c>
      <c r="E561" s="95">
        <v>35000</v>
      </c>
      <c r="F561" s="95" t="s">
        <v>815</v>
      </c>
      <c r="G561" s="95" t="s">
        <v>573</v>
      </c>
      <c r="H561" s="95" t="s">
        <v>815</v>
      </c>
      <c r="I561" s="95" t="s">
        <v>816</v>
      </c>
    </row>
    <row r="562" spans="1:9" ht="14.1" customHeight="1" x14ac:dyDescent="0.2">
      <c r="A562" s="95" t="s">
        <v>1839</v>
      </c>
      <c r="B562" s="95">
        <v>29</v>
      </c>
      <c r="C562" s="95" t="s">
        <v>518</v>
      </c>
      <c r="D562" s="95">
        <v>2012</v>
      </c>
      <c r="E562" s="95">
        <v>70979.64</v>
      </c>
      <c r="F562" s="95" t="s">
        <v>653</v>
      </c>
      <c r="G562" s="95">
        <v>0</v>
      </c>
      <c r="H562" s="95" t="s">
        <v>653</v>
      </c>
      <c r="I562" s="95">
        <v>0</v>
      </c>
    </row>
    <row r="563" spans="1:9" ht="14.1" customHeight="1" x14ac:dyDescent="0.2">
      <c r="A563" s="95" t="s">
        <v>1840</v>
      </c>
      <c r="B563" s="95">
        <v>29</v>
      </c>
      <c r="C563" s="95" t="s">
        <v>520</v>
      </c>
      <c r="D563" s="95">
        <v>2012</v>
      </c>
      <c r="E563" s="95">
        <v>312.94</v>
      </c>
      <c r="F563" s="95" t="s">
        <v>653</v>
      </c>
      <c r="G563" s="95">
        <v>0</v>
      </c>
      <c r="H563" s="95" t="s">
        <v>653</v>
      </c>
      <c r="I563" s="95">
        <v>0</v>
      </c>
    </row>
    <row r="564" spans="1:9" ht="14.1" customHeight="1" x14ac:dyDescent="0.2">
      <c r="A564" s="95" t="s">
        <v>1841</v>
      </c>
      <c r="B564" s="95">
        <v>29</v>
      </c>
      <c r="C564" s="95" t="s">
        <v>522</v>
      </c>
      <c r="D564" s="95">
        <v>2012</v>
      </c>
      <c r="E564" s="95">
        <v>6359.51</v>
      </c>
      <c r="F564" s="95" t="s">
        <v>653</v>
      </c>
      <c r="G564" s="95">
        <v>0</v>
      </c>
      <c r="H564" s="95" t="s">
        <v>653</v>
      </c>
      <c r="I564" s="95">
        <v>0</v>
      </c>
    </row>
    <row r="565" spans="1:9" ht="14.1" customHeight="1" x14ac:dyDescent="0.2">
      <c r="A565" s="95" t="s">
        <v>1842</v>
      </c>
      <c r="B565" s="95">
        <v>29</v>
      </c>
      <c r="C565" s="95" t="s">
        <v>524</v>
      </c>
      <c r="D565" s="95">
        <v>2012</v>
      </c>
      <c r="E565" s="95">
        <v>281459.8</v>
      </c>
      <c r="F565" s="95" t="s">
        <v>653</v>
      </c>
      <c r="G565" s="95">
        <v>0</v>
      </c>
      <c r="H565" s="95" t="s">
        <v>653</v>
      </c>
      <c r="I565" s="95">
        <v>0</v>
      </c>
    </row>
    <row r="566" spans="1:9" ht="14.1" customHeight="1" x14ac:dyDescent="0.2">
      <c r="A566" s="95" t="s">
        <v>1843</v>
      </c>
      <c r="B566" s="95">
        <v>29</v>
      </c>
      <c r="C566" s="95" t="s">
        <v>526</v>
      </c>
      <c r="D566" s="95">
        <v>2012</v>
      </c>
      <c r="E566" s="95">
        <v>3119.047</v>
      </c>
      <c r="F566" s="95" t="s">
        <v>906</v>
      </c>
      <c r="G566" s="95">
        <v>0</v>
      </c>
      <c r="H566" s="95" t="s">
        <v>906</v>
      </c>
      <c r="I566" s="95">
        <v>0</v>
      </c>
    </row>
    <row r="567" spans="1:9" ht="14.1" customHeight="1" x14ac:dyDescent="0.2">
      <c r="A567" s="95" t="s">
        <v>1844</v>
      </c>
      <c r="B567" s="95">
        <v>29</v>
      </c>
      <c r="C567" s="95" t="s">
        <v>528</v>
      </c>
      <c r="D567" s="95">
        <v>2012</v>
      </c>
      <c r="E567" s="95">
        <v>35897.910000000003</v>
      </c>
      <c r="F567" s="95" t="s">
        <v>653</v>
      </c>
      <c r="G567" s="95" t="s">
        <v>565</v>
      </c>
      <c r="H567" s="95" t="s">
        <v>653</v>
      </c>
      <c r="I567" s="95" t="s">
        <v>802</v>
      </c>
    </row>
    <row r="568" spans="1:9" ht="14.1" customHeight="1" x14ac:dyDescent="0.2">
      <c r="A568" s="95" t="s">
        <v>1845</v>
      </c>
      <c r="B568" s="95">
        <v>29</v>
      </c>
      <c r="C568" s="95" t="s">
        <v>530</v>
      </c>
      <c r="D568" s="95">
        <v>2012</v>
      </c>
      <c r="E568" s="95">
        <v>17854.099999999999</v>
      </c>
      <c r="F568" s="95" t="s">
        <v>653</v>
      </c>
      <c r="G568" s="95" t="s">
        <v>565</v>
      </c>
      <c r="H568" s="95" t="s">
        <v>653</v>
      </c>
      <c r="I568" s="95" t="s">
        <v>802</v>
      </c>
    </row>
    <row r="569" spans="1:9" ht="14.1" customHeight="1" x14ac:dyDescent="0.2">
      <c r="A569" s="95" t="s">
        <v>1846</v>
      </c>
      <c r="B569" s="95">
        <v>29</v>
      </c>
      <c r="C569" s="95" t="s">
        <v>532</v>
      </c>
      <c r="D569" s="95">
        <v>2012</v>
      </c>
      <c r="E569" s="95">
        <v>545.35</v>
      </c>
      <c r="F569" s="95" t="s">
        <v>509</v>
      </c>
      <c r="G569" s="95" t="s">
        <v>565</v>
      </c>
      <c r="H569" s="95" t="s">
        <v>509</v>
      </c>
      <c r="I569" s="95" t="s">
        <v>802</v>
      </c>
    </row>
    <row r="570" spans="1:9" ht="14.1" customHeight="1" x14ac:dyDescent="0.2">
      <c r="A570" s="95" t="s">
        <v>1847</v>
      </c>
      <c r="B570" s="95">
        <v>29</v>
      </c>
      <c r="C570" s="95" t="s">
        <v>534</v>
      </c>
      <c r="D570" s="95">
        <v>2012</v>
      </c>
      <c r="E570" s="95">
        <v>1618.88</v>
      </c>
      <c r="F570" s="95" t="s">
        <v>653</v>
      </c>
      <c r="G570" s="95" t="s">
        <v>565</v>
      </c>
      <c r="H570" s="95" t="s">
        <v>653</v>
      </c>
      <c r="I570" s="95" t="s">
        <v>802</v>
      </c>
    </row>
    <row r="571" spans="1:9" ht="14.1" customHeight="1" x14ac:dyDescent="0.2">
      <c r="A571" s="95" t="s">
        <v>1848</v>
      </c>
      <c r="B571" s="95">
        <v>29</v>
      </c>
      <c r="C571" s="95" t="s">
        <v>536</v>
      </c>
      <c r="D571" s="95">
        <v>2012</v>
      </c>
      <c r="E571" s="95">
        <v>1799.65</v>
      </c>
      <c r="F571" s="95" t="s">
        <v>653</v>
      </c>
      <c r="G571" s="95" t="s">
        <v>565</v>
      </c>
      <c r="H571" s="95" t="s">
        <v>653</v>
      </c>
      <c r="I571" s="95" t="s">
        <v>802</v>
      </c>
    </row>
    <row r="572" spans="1:9" ht="14.1" customHeight="1" x14ac:dyDescent="0.2">
      <c r="A572" s="95" t="s">
        <v>1849</v>
      </c>
      <c r="B572" s="95">
        <v>29</v>
      </c>
      <c r="C572" s="95" t="s">
        <v>538</v>
      </c>
      <c r="D572" s="95">
        <v>2012</v>
      </c>
      <c r="E572" s="95">
        <v>25861.21</v>
      </c>
      <c r="F572" s="95" t="s">
        <v>653</v>
      </c>
      <c r="G572" s="95" t="s">
        <v>565</v>
      </c>
      <c r="H572" s="95" t="s">
        <v>653</v>
      </c>
      <c r="I572" s="95" t="s">
        <v>802</v>
      </c>
    </row>
    <row r="573" spans="1:9" ht="14.1" customHeight="1" x14ac:dyDescent="0.2">
      <c r="A573" s="95" t="s">
        <v>1850</v>
      </c>
      <c r="B573" s="95">
        <v>29</v>
      </c>
      <c r="C573" s="95" t="s">
        <v>540</v>
      </c>
      <c r="D573" s="95">
        <v>2012</v>
      </c>
      <c r="E573" s="95">
        <v>8071.38</v>
      </c>
      <c r="F573" s="95" t="s">
        <v>653</v>
      </c>
      <c r="G573" s="95" t="s">
        <v>565</v>
      </c>
      <c r="H573" s="95" t="s">
        <v>653</v>
      </c>
      <c r="I573" s="95" t="s">
        <v>802</v>
      </c>
    </row>
    <row r="574" spans="1:9" ht="14.1" customHeight="1" x14ac:dyDescent="0.2">
      <c r="A574" s="95" t="s">
        <v>1851</v>
      </c>
      <c r="B574" s="95">
        <v>29</v>
      </c>
      <c r="C574" s="95" t="s">
        <v>542</v>
      </c>
      <c r="D574" s="95">
        <v>2012</v>
      </c>
      <c r="E574" s="95">
        <v>821.69</v>
      </c>
      <c r="F574" s="95" t="s">
        <v>653</v>
      </c>
      <c r="G574" s="95" t="s">
        <v>565</v>
      </c>
      <c r="H574" s="95" t="s">
        <v>653</v>
      </c>
      <c r="I574" s="95" t="s">
        <v>802</v>
      </c>
    </row>
    <row r="575" spans="1:9" ht="14.1" customHeight="1" x14ac:dyDescent="0.2">
      <c r="A575" s="95" t="s">
        <v>1852</v>
      </c>
      <c r="B575" s="95">
        <v>29</v>
      </c>
      <c r="C575" s="95" t="s">
        <v>544</v>
      </c>
      <c r="D575" s="95">
        <v>2012</v>
      </c>
      <c r="E575" s="95">
        <v>2920.17</v>
      </c>
      <c r="F575" s="95" t="s">
        <v>653</v>
      </c>
      <c r="G575" s="95" t="s">
        <v>565</v>
      </c>
      <c r="H575" s="95" t="s">
        <v>653</v>
      </c>
      <c r="I575" s="95" t="s">
        <v>802</v>
      </c>
    </row>
    <row r="576" spans="1:9" ht="14.1" customHeight="1" x14ac:dyDescent="0.2">
      <c r="A576" s="95" t="s">
        <v>1853</v>
      </c>
      <c r="B576" s="95">
        <v>29</v>
      </c>
      <c r="C576" s="95" t="s">
        <v>546</v>
      </c>
      <c r="D576" s="95">
        <v>2012</v>
      </c>
      <c r="E576" s="95">
        <v>4500.6400000000003</v>
      </c>
      <c r="F576" s="95" t="s">
        <v>653</v>
      </c>
      <c r="G576" s="95">
        <v>0</v>
      </c>
      <c r="H576" s="95" t="s">
        <v>653</v>
      </c>
      <c r="I576" s="95">
        <v>0</v>
      </c>
    </row>
    <row r="577" spans="1:9" ht="14.1" customHeight="1" x14ac:dyDescent="0.2">
      <c r="A577" s="95" t="s">
        <v>1854</v>
      </c>
      <c r="B577" s="95">
        <v>29</v>
      </c>
      <c r="C577" s="95" t="s">
        <v>548</v>
      </c>
      <c r="D577" s="95">
        <v>2012</v>
      </c>
      <c r="E577" s="95">
        <v>8889.84</v>
      </c>
      <c r="F577" s="95" t="s">
        <v>653</v>
      </c>
      <c r="G577" s="95" t="s">
        <v>565</v>
      </c>
      <c r="H577" s="95" t="s">
        <v>653</v>
      </c>
      <c r="I577" s="95" t="s">
        <v>802</v>
      </c>
    </row>
    <row r="578" spans="1:9" ht="14.1" customHeight="1" x14ac:dyDescent="0.2">
      <c r="A578" s="95" t="s">
        <v>1855</v>
      </c>
      <c r="B578" s="95">
        <v>29</v>
      </c>
      <c r="C578" s="95" t="s">
        <v>483</v>
      </c>
      <c r="D578" s="95">
        <v>2012</v>
      </c>
      <c r="E578" s="95">
        <v>201</v>
      </c>
      <c r="F578" s="95" t="s">
        <v>653</v>
      </c>
      <c r="G578" s="95" t="s">
        <v>565</v>
      </c>
      <c r="H578" s="95" t="s">
        <v>653</v>
      </c>
      <c r="I578" s="95" t="s">
        <v>802</v>
      </c>
    </row>
    <row r="579" spans="1:9" ht="14.1" customHeight="1" x14ac:dyDescent="0.2">
      <c r="A579" s="95" t="s">
        <v>1856</v>
      </c>
      <c r="B579" s="95">
        <v>29</v>
      </c>
      <c r="C579" s="95" t="s">
        <v>488</v>
      </c>
      <c r="D579" s="95">
        <v>2012</v>
      </c>
      <c r="E579" s="95">
        <v>44420.75</v>
      </c>
      <c r="F579" s="95" t="s">
        <v>653</v>
      </c>
      <c r="G579" s="95">
        <v>0</v>
      </c>
      <c r="H579" s="95" t="s">
        <v>653</v>
      </c>
      <c r="I579" s="95">
        <v>0</v>
      </c>
    </row>
    <row r="580" spans="1:9" ht="14.1" customHeight="1" x14ac:dyDescent="0.2">
      <c r="A580" s="95" t="s">
        <v>1857</v>
      </c>
      <c r="B580" s="95">
        <v>29</v>
      </c>
      <c r="C580" s="95" t="s">
        <v>487</v>
      </c>
      <c r="D580" s="95">
        <v>2012</v>
      </c>
      <c r="E580" s="95">
        <v>5652.78</v>
      </c>
      <c r="F580" s="95" t="s">
        <v>653</v>
      </c>
      <c r="G580" s="95">
        <v>0</v>
      </c>
      <c r="H580" s="95" t="s">
        <v>653</v>
      </c>
      <c r="I580" s="95">
        <v>0</v>
      </c>
    </row>
    <row r="581" spans="1:9" ht="14.1" customHeight="1" x14ac:dyDescent="0.2">
      <c r="A581" s="95" t="s">
        <v>1858</v>
      </c>
      <c r="B581" s="95">
        <v>29</v>
      </c>
      <c r="C581" s="95" t="s">
        <v>486</v>
      </c>
      <c r="D581" s="95">
        <v>2012</v>
      </c>
      <c r="E581" s="95">
        <v>3866.37</v>
      </c>
      <c r="F581" s="95" t="s">
        <v>653</v>
      </c>
      <c r="G581" s="95">
        <v>0</v>
      </c>
      <c r="H581" s="95" t="s">
        <v>653</v>
      </c>
      <c r="I581" s="95">
        <v>0</v>
      </c>
    </row>
    <row r="582" spans="1:9" ht="14.1" customHeight="1" x14ac:dyDescent="0.2">
      <c r="A582" s="95" t="s">
        <v>1859</v>
      </c>
      <c r="B582" s="95">
        <v>29</v>
      </c>
      <c r="C582" s="95" t="s">
        <v>482</v>
      </c>
      <c r="D582" s="95">
        <v>2012</v>
      </c>
      <c r="E582" s="95">
        <v>8468.0300000000007</v>
      </c>
      <c r="F582" s="95" t="s">
        <v>653</v>
      </c>
      <c r="G582" s="95">
        <v>0</v>
      </c>
      <c r="H582" s="95" t="s">
        <v>653</v>
      </c>
      <c r="I582" s="95">
        <v>0</v>
      </c>
    </row>
    <row r="583" spans="1:9" ht="14.1" customHeight="1" x14ac:dyDescent="0.2">
      <c r="A583" s="95" t="s">
        <v>1860</v>
      </c>
      <c r="B583" s="95">
        <v>29</v>
      </c>
      <c r="C583" s="95" t="s">
        <v>490</v>
      </c>
      <c r="D583" s="95">
        <v>2012</v>
      </c>
      <c r="E583" s="95">
        <v>3648.92</v>
      </c>
      <c r="F583" s="95" t="s">
        <v>653</v>
      </c>
      <c r="G583" s="95" t="s">
        <v>565</v>
      </c>
      <c r="H583" s="95" t="s">
        <v>653</v>
      </c>
      <c r="I583" s="95" t="s">
        <v>802</v>
      </c>
    </row>
    <row r="584" spans="1:9" ht="14.1" customHeight="1" x14ac:dyDescent="0.2">
      <c r="A584" s="95" t="s">
        <v>1861</v>
      </c>
      <c r="B584" s="95">
        <v>29</v>
      </c>
      <c r="C584" s="95" t="s">
        <v>481</v>
      </c>
      <c r="D584" s="95">
        <v>2012</v>
      </c>
      <c r="E584" s="95">
        <v>106330.29</v>
      </c>
      <c r="F584" s="95" t="s">
        <v>653</v>
      </c>
      <c r="G584" s="95">
        <v>0</v>
      </c>
      <c r="H584" s="95" t="s">
        <v>653</v>
      </c>
      <c r="I584" s="95">
        <v>0</v>
      </c>
    </row>
    <row r="585" spans="1:9" ht="14.1" customHeight="1" x14ac:dyDescent="0.2">
      <c r="A585" s="95" t="s">
        <v>1862</v>
      </c>
      <c r="B585" s="95">
        <v>29</v>
      </c>
      <c r="C585" s="95" t="s">
        <v>484</v>
      </c>
      <c r="D585" s="95">
        <v>2012</v>
      </c>
      <c r="E585" s="95">
        <v>2757.48</v>
      </c>
      <c r="F585" s="95" t="s">
        <v>653</v>
      </c>
      <c r="G585" s="95">
        <v>0</v>
      </c>
      <c r="H585" s="95" t="s">
        <v>653</v>
      </c>
      <c r="I585" s="95">
        <v>0</v>
      </c>
    </row>
    <row r="586" spans="1:9" ht="14.1" customHeight="1" x14ac:dyDescent="0.2">
      <c r="A586" s="95" t="s">
        <v>1863</v>
      </c>
      <c r="B586" s="95">
        <v>29</v>
      </c>
      <c r="C586" s="95" t="s">
        <v>485</v>
      </c>
      <c r="D586" s="95">
        <v>2012</v>
      </c>
      <c r="E586" s="95">
        <v>4436.8500000000004</v>
      </c>
      <c r="F586" s="95" t="s">
        <v>653</v>
      </c>
      <c r="G586" s="95">
        <v>0</v>
      </c>
      <c r="H586" s="95" t="s">
        <v>653</v>
      </c>
      <c r="I586" s="95">
        <v>0</v>
      </c>
    </row>
    <row r="587" spans="1:9" ht="14.1" customHeight="1" x14ac:dyDescent="0.2">
      <c r="A587" s="95" t="s">
        <v>1864</v>
      </c>
      <c r="B587" s="95">
        <v>29</v>
      </c>
      <c r="C587" s="95" t="s">
        <v>489</v>
      </c>
      <c r="D587" s="95">
        <v>2012</v>
      </c>
      <c r="E587" s="95">
        <v>3584.46</v>
      </c>
      <c r="F587" s="95" t="s">
        <v>653</v>
      </c>
      <c r="G587" s="95" t="s">
        <v>565</v>
      </c>
      <c r="H587" s="95" t="s">
        <v>653</v>
      </c>
      <c r="I587" s="95" t="s">
        <v>802</v>
      </c>
    </row>
    <row r="588" spans="1:9" ht="14.1" customHeight="1" x14ac:dyDescent="0.2">
      <c r="A588" s="95" t="s">
        <v>1865</v>
      </c>
      <c r="B588" s="95">
        <v>30</v>
      </c>
      <c r="C588" s="95" t="s">
        <v>518</v>
      </c>
      <c r="D588" s="95">
        <v>2012</v>
      </c>
      <c r="E588" s="95">
        <v>38533.370000000003</v>
      </c>
      <c r="F588" s="95" t="s">
        <v>653</v>
      </c>
      <c r="G588" s="95">
        <v>0</v>
      </c>
      <c r="H588" s="95" t="s">
        <v>653</v>
      </c>
      <c r="I588" s="95">
        <v>0</v>
      </c>
    </row>
    <row r="589" spans="1:9" ht="14.1" customHeight="1" x14ac:dyDescent="0.2">
      <c r="A589" s="95" t="s">
        <v>1866</v>
      </c>
      <c r="B589" s="95">
        <v>30</v>
      </c>
      <c r="C589" s="95" t="s">
        <v>520</v>
      </c>
      <c r="D589" s="95">
        <v>2012</v>
      </c>
      <c r="E589" s="95">
        <v>641.41999999999996</v>
      </c>
      <c r="F589" s="95" t="s">
        <v>653</v>
      </c>
      <c r="G589" s="95">
        <v>0</v>
      </c>
      <c r="H589" s="95" t="s">
        <v>653</v>
      </c>
      <c r="I589" s="95">
        <v>0</v>
      </c>
    </row>
    <row r="590" spans="1:9" ht="14.1" customHeight="1" x14ac:dyDescent="0.2">
      <c r="A590" s="95" t="s">
        <v>1867</v>
      </c>
      <c r="B590" s="95">
        <v>30</v>
      </c>
      <c r="C590" s="95" t="s">
        <v>522</v>
      </c>
      <c r="D590" s="95">
        <v>2012</v>
      </c>
      <c r="E590" s="95">
        <v>6775.43</v>
      </c>
      <c r="F590" s="95" t="s">
        <v>653</v>
      </c>
      <c r="G590" s="95">
        <v>0</v>
      </c>
      <c r="H590" s="95" t="s">
        <v>653</v>
      </c>
      <c r="I590" s="95">
        <v>0</v>
      </c>
    </row>
    <row r="591" spans="1:9" ht="14.1" customHeight="1" x14ac:dyDescent="0.2">
      <c r="A591" s="95" t="s">
        <v>1868</v>
      </c>
      <c r="B591" s="95">
        <v>30</v>
      </c>
      <c r="C591" s="95" t="s">
        <v>524</v>
      </c>
      <c r="D591" s="95">
        <v>2012</v>
      </c>
      <c r="E591" s="95">
        <v>241473.94</v>
      </c>
      <c r="F591" s="95" t="s">
        <v>653</v>
      </c>
      <c r="G591" s="95">
        <v>0</v>
      </c>
      <c r="H591" s="95" t="s">
        <v>653</v>
      </c>
      <c r="I591" s="95">
        <v>0</v>
      </c>
    </row>
    <row r="592" spans="1:9" ht="14.1" customHeight="1" x14ac:dyDescent="0.2">
      <c r="A592" s="95" t="s">
        <v>1869</v>
      </c>
      <c r="B592" s="95">
        <v>30</v>
      </c>
      <c r="C592" s="95" t="s">
        <v>526</v>
      </c>
      <c r="D592" s="95">
        <v>2012</v>
      </c>
      <c r="E592" s="95">
        <v>1662.498</v>
      </c>
      <c r="F592" s="95" t="s">
        <v>906</v>
      </c>
      <c r="G592" s="95">
        <v>0</v>
      </c>
      <c r="H592" s="95" t="s">
        <v>906</v>
      </c>
      <c r="I592" s="95">
        <v>0</v>
      </c>
    </row>
    <row r="593" spans="1:9" ht="14.1" customHeight="1" x14ac:dyDescent="0.2">
      <c r="A593" s="95" t="s">
        <v>1870</v>
      </c>
      <c r="B593" s="95">
        <v>30</v>
      </c>
      <c r="C593" s="95" t="s">
        <v>528</v>
      </c>
      <c r="D593" s="95">
        <v>2012</v>
      </c>
      <c r="E593" s="95">
        <v>23749.98</v>
      </c>
      <c r="F593" s="95" t="s">
        <v>653</v>
      </c>
      <c r="G593" s="95" t="s">
        <v>565</v>
      </c>
      <c r="H593" s="95" t="s">
        <v>653</v>
      </c>
      <c r="I593" s="95" t="s">
        <v>802</v>
      </c>
    </row>
    <row r="594" spans="1:9" ht="14.1" customHeight="1" x14ac:dyDescent="0.2">
      <c r="A594" s="95" t="s">
        <v>1871</v>
      </c>
      <c r="B594" s="95">
        <v>30</v>
      </c>
      <c r="C594" s="95" t="s">
        <v>530</v>
      </c>
      <c r="D594" s="95">
        <v>2012</v>
      </c>
      <c r="E594" s="95">
        <v>20197.87</v>
      </c>
      <c r="F594" s="95" t="s">
        <v>653</v>
      </c>
      <c r="G594" s="95" t="s">
        <v>565</v>
      </c>
      <c r="H594" s="95" t="s">
        <v>653</v>
      </c>
      <c r="I594" s="95" t="s">
        <v>802</v>
      </c>
    </row>
    <row r="595" spans="1:9" ht="14.1" customHeight="1" x14ac:dyDescent="0.2">
      <c r="A595" s="95" t="s">
        <v>1872</v>
      </c>
      <c r="B595" s="95">
        <v>30</v>
      </c>
      <c r="C595" s="95" t="s">
        <v>532</v>
      </c>
      <c r="D595" s="95">
        <v>2012</v>
      </c>
      <c r="E595" s="95">
        <v>766.99</v>
      </c>
      <c r="F595" s="95" t="s">
        <v>509</v>
      </c>
      <c r="G595" s="95" t="s">
        <v>565</v>
      </c>
      <c r="H595" s="95" t="s">
        <v>509</v>
      </c>
      <c r="I595" s="95" t="s">
        <v>802</v>
      </c>
    </row>
    <row r="596" spans="1:9" ht="14.1" customHeight="1" x14ac:dyDescent="0.2">
      <c r="A596" s="95" t="s">
        <v>1873</v>
      </c>
      <c r="B596" s="95">
        <v>30</v>
      </c>
      <c r="C596" s="95" t="s">
        <v>534</v>
      </c>
      <c r="D596" s="95">
        <v>2012</v>
      </c>
      <c r="E596" s="95">
        <v>1050.8699999999999</v>
      </c>
      <c r="F596" s="95" t="s">
        <v>653</v>
      </c>
      <c r="G596" s="95" t="s">
        <v>565</v>
      </c>
      <c r="H596" s="95" t="s">
        <v>653</v>
      </c>
      <c r="I596" s="95" t="s">
        <v>802</v>
      </c>
    </row>
    <row r="597" spans="1:9" ht="14.1" customHeight="1" x14ac:dyDescent="0.2">
      <c r="A597" s="95" t="s">
        <v>1874</v>
      </c>
      <c r="B597" s="95">
        <v>30</v>
      </c>
      <c r="C597" s="95" t="s">
        <v>536</v>
      </c>
      <c r="D597" s="95">
        <v>2012</v>
      </c>
      <c r="E597" s="95">
        <v>3633.05</v>
      </c>
      <c r="F597" s="95" t="s">
        <v>653</v>
      </c>
      <c r="G597" s="95" t="s">
        <v>565</v>
      </c>
      <c r="H597" s="95" t="s">
        <v>653</v>
      </c>
      <c r="I597" s="95" t="s">
        <v>802</v>
      </c>
    </row>
    <row r="598" spans="1:9" ht="14.1" customHeight="1" x14ac:dyDescent="0.2">
      <c r="A598" s="95" t="s">
        <v>1875</v>
      </c>
      <c r="B598" s="95">
        <v>30</v>
      </c>
      <c r="C598" s="95" t="s">
        <v>538</v>
      </c>
      <c r="D598" s="95">
        <v>2012</v>
      </c>
      <c r="E598" s="95">
        <v>7779.88</v>
      </c>
      <c r="F598" s="95" t="s">
        <v>653</v>
      </c>
      <c r="G598" s="95" t="s">
        <v>565</v>
      </c>
      <c r="H598" s="95" t="s">
        <v>653</v>
      </c>
      <c r="I598" s="95" t="s">
        <v>802</v>
      </c>
    </row>
    <row r="599" spans="1:9" ht="14.1" customHeight="1" x14ac:dyDescent="0.2">
      <c r="A599" s="95" t="s">
        <v>1876</v>
      </c>
      <c r="B599" s="95">
        <v>30</v>
      </c>
      <c r="C599" s="95" t="s">
        <v>540</v>
      </c>
      <c r="D599" s="95">
        <v>2012</v>
      </c>
      <c r="E599" s="95">
        <v>3510.51</v>
      </c>
      <c r="F599" s="95" t="s">
        <v>653</v>
      </c>
      <c r="G599" s="95" t="s">
        <v>565</v>
      </c>
      <c r="H599" s="95" t="s">
        <v>653</v>
      </c>
      <c r="I599" s="95" t="s">
        <v>802</v>
      </c>
    </row>
    <row r="600" spans="1:9" ht="14.1" customHeight="1" x14ac:dyDescent="0.2">
      <c r="A600" s="95" t="s">
        <v>1877</v>
      </c>
      <c r="B600" s="95">
        <v>30</v>
      </c>
      <c r="C600" s="95" t="s">
        <v>542</v>
      </c>
      <c r="D600" s="95">
        <v>2012</v>
      </c>
      <c r="E600" s="95">
        <v>1020.55</v>
      </c>
      <c r="F600" s="95" t="s">
        <v>653</v>
      </c>
      <c r="G600" s="95" t="s">
        <v>565</v>
      </c>
      <c r="H600" s="95" t="s">
        <v>653</v>
      </c>
      <c r="I600" s="95" t="s">
        <v>802</v>
      </c>
    </row>
    <row r="601" spans="1:9" ht="14.1" customHeight="1" x14ac:dyDescent="0.2">
      <c r="A601" s="95" t="s">
        <v>1878</v>
      </c>
      <c r="B601" s="95">
        <v>30</v>
      </c>
      <c r="C601" s="95" t="s">
        <v>544</v>
      </c>
      <c r="D601" s="95">
        <v>2012</v>
      </c>
      <c r="E601" s="95">
        <v>3890.28</v>
      </c>
      <c r="F601" s="95" t="s">
        <v>653</v>
      </c>
      <c r="G601" s="95" t="s">
        <v>565</v>
      </c>
      <c r="H601" s="95" t="s">
        <v>653</v>
      </c>
      <c r="I601" s="95" t="s">
        <v>802</v>
      </c>
    </row>
    <row r="602" spans="1:9" ht="14.1" customHeight="1" x14ac:dyDescent="0.2">
      <c r="A602" s="95" t="s">
        <v>1879</v>
      </c>
      <c r="B602" s="95">
        <v>30</v>
      </c>
      <c r="C602" s="95" t="s">
        <v>546</v>
      </c>
      <c r="D602" s="95">
        <v>2012</v>
      </c>
      <c r="E602" s="95">
        <v>3548.9</v>
      </c>
      <c r="F602" s="95" t="s">
        <v>653</v>
      </c>
      <c r="G602" s="95">
        <v>0</v>
      </c>
      <c r="H602" s="95" t="s">
        <v>653</v>
      </c>
      <c r="I602" s="95">
        <v>0</v>
      </c>
    </row>
    <row r="603" spans="1:9" ht="14.1" customHeight="1" x14ac:dyDescent="0.2">
      <c r="A603" s="95" t="s">
        <v>1880</v>
      </c>
      <c r="B603" s="95">
        <v>30</v>
      </c>
      <c r="C603" s="95" t="s">
        <v>548</v>
      </c>
      <c r="D603" s="95">
        <v>2012</v>
      </c>
      <c r="E603" s="95">
        <v>72480.850000000006</v>
      </c>
      <c r="F603" s="95" t="s">
        <v>653</v>
      </c>
      <c r="G603" s="95" t="s">
        <v>565</v>
      </c>
      <c r="H603" s="95" t="s">
        <v>653</v>
      </c>
      <c r="I603" s="95" t="s">
        <v>802</v>
      </c>
    </row>
    <row r="604" spans="1:9" ht="14.1" customHeight="1" x14ac:dyDescent="0.2">
      <c r="A604" s="95" t="s">
        <v>1881</v>
      </c>
      <c r="B604" s="95">
        <v>30</v>
      </c>
      <c r="C604" s="95" t="s">
        <v>483</v>
      </c>
      <c r="D604" s="95">
        <v>2012</v>
      </c>
      <c r="E604" s="95">
        <v>962.99</v>
      </c>
      <c r="F604" s="95" t="s">
        <v>653</v>
      </c>
      <c r="G604" s="95" t="s">
        <v>565</v>
      </c>
      <c r="H604" s="95" t="s">
        <v>653</v>
      </c>
      <c r="I604" s="95" t="s">
        <v>802</v>
      </c>
    </row>
    <row r="605" spans="1:9" ht="14.1" customHeight="1" x14ac:dyDescent="0.2">
      <c r="A605" s="95" t="s">
        <v>1882</v>
      </c>
      <c r="B605" s="95">
        <v>30</v>
      </c>
      <c r="C605" s="95" t="s">
        <v>488</v>
      </c>
      <c r="D605" s="95">
        <v>2012</v>
      </c>
      <c r="E605" s="95">
        <v>26585.31</v>
      </c>
      <c r="F605" s="95" t="s">
        <v>653</v>
      </c>
      <c r="G605" s="95" t="s">
        <v>565</v>
      </c>
      <c r="H605" s="95" t="s">
        <v>653</v>
      </c>
      <c r="I605" s="95" t="s">
        <v>802</v>
      </c>
    </row>
    <row r="606" spans="1:9" ht="14.1" customHeight="1" x14ac:dyDescent="0.2">
      <c r="A606" s="95" t="s">
        <v>1883</v>
      </c>
      <c r="B606" s="95">
        <v>30</v>
      </c>
      <c r="C606" s="95" t="s">
        <v>487</v>
      </c>
      <c r="D606" s="95">
        <v>2012</v>
      </c>
      <c r="E606" s="95">
        <v>5583.84</v>
      </c>
      <c r="F606" s="95" t="s">
        <v>653</v>
      </c>
      <c r="G606" s="95">
        <v>0</v>
      </c>
      <c r="H606" s="95" t="s">
        <v>653</v>
      </c>
      <c r="I606" s="95">
        <v>0</v>
      </c>
    </row>
    <row r="607" spans="1:9" ht="14.1" customHeight="1" x14ac:dyDescent="0.2">
      <c r="A607" s="95" t="s">
        <v>1884</v>
      </c>
      <c r="B607" s="95">
        <v>30</v>
      </c>
      <c r="C607" s="95" t="s">
        <v>486</v>
      </c>
      <c r="D607" s="95">
        <v>2012</v>
      </c>
      <c r="E607" s="95">
        <v>3436.5</v>
      </c>
      <c r="F607" s="95" t="s">
        <v>653</v>
      </c>
      <c r="G607" s="95">
        <v>0</v>
      </c>
      <c r="H607" s="95" t="s">
        <v>653</v>
      </c>
      <c r="I607" s="95">
        <v>0</v>
      </c>
    </row>
    <row r="608" spans="1:9" ht="14.1" customHeight="1" x14ac:dyDescent="0.2">
      <c r="A608" s="95" t="s">
        <v>1885</v>
      </c>
      <c r="B608" s="95">
        <v>30</v>
      </c>
      <c r="C608" s="95" t="s">
        <v>482</v>
      </c>
      <c r="D608" s="95">
        <v>2012</v>
      </c>
      <c r="E608" s="95">
        <v>6731.72</v>
      </c>
      <c r="F608" s="95" t="s">
        <v>653</v>
      </c>
      <c r="G608" s="95">
        <v>0</v>
      </c>
      <c r="H608" s="95" t="s">
        <v>653</v>
      </c>
      <c r="I608" s="95">
        <v>0</v>
      </c>
    </row>
    <row r="609" spans="1:9" ht="14.1" customHeight="1" x14ac:dyDescent="0.2">
      <c r="A609" s="95" t="s">
        <v>1886</v>
      </c>
      <c r="B609" s="95">
        <v>30</v>
      </c>
      <c r="C609" s="95" t="s">
        <v>490</v>
      </c>
      <c r="D609" s="95">
        <v>2012</v>
      </c>
      <c r="E609" s="95">
        <v>3599.66</v>
      </c>
      <c r="F609" s="95" t="s">
        <v>653</v>
      </c>
      <c r="G609" s="95">
        <v>0</v>
      </c>
      <c r="H609" s="95" t="s">
        <v>653</v>
      </c>
      <c r="I609" s="95">
        <v>0</v>
      </c>
    </row>
    <row r="610" spans="1:9" ht="14.1" customHeight="1" x14ac:dyDescent="0.2">
      <c r="A610" s="95" t="s">
        <v>1887</v>
      </c>
      <c r="B610" s="95">
        <v>30</v>
      </c>
      <c r="C610" s="95" t="s">
        <v>481</v>
      </c>
      <c r="D610" s="95">
        <v>2012</v>
      </c>
      <c r="E610" s="95">
        <v>260445.43</v>
      </c>
      <c r="F610" s="95" t="s">
        <v>653</v>
      </c>
      <c r="G610" s="95">
        <v>0</v>
      </c>
      <c r="H610" s="95" t="s">
        <v>653</v>
      </c>
      <c r="I610" s="95">
        <v>0</v>
      </c>
    </row>
    <row r="611" spans="1:9" ht="14.1" customHeight="1" x14ac:dyDescent="0.2">
      <c r="A611" s="95" t="s">
        <v>1888</v>
      </c>
      <c r="B611" s="95">
        <v>30</v>
      </c>
      <c r="C611" s="95" t="s">
        <v>484</v>
      </c>
      <c r="D611" s="95">
        <v>2012</v>
      </c>
      <c r="E611" s="95">
        <v>1614.93</v>
      </c>
      <c r="F611" s="95" t="s">
        <v>653</v>
      </c>
      <c r="G611" s="95">
        <v>0</v>
      </c>
      <c r="H611" s="95" t="s">
        <v>653</v>
      </c>
      <c r="I611" s="95">
        <v>0</v>
      </c>
    </row>
    <row r="612" spans="1:9" ht="14.1" customHeight="1" x14ac:dyDescent="0.2">
      <c r="A612" s="95" t="s">
        <v>1889</v>
      </c>
      <c r="B612" s="95">
        <v>30</v>
      </c>
      <c r="C612" s="95" t="s">
        <v>485</v>
      </c>
      <c r="D612" s="95">
        <v>2012</v>
      </c>
      <c r="E612" s="95">
        <v>4560.1899999999996</v>
      </c>
      <c r="F612" s="95" t="s">
        <v>653</v>
      </c>
      <c r="G612" s="95">
        <v>0</v>
      </c>
      <c r="H612" s="95" t="s">
        <v>653</v>
      </c>
      <c r="I612" s="95">
        <v>0</v>
      </c>
    </row>
    <row r="613" spans="1:9" ht="14.1" customHeight="1" x14ac:dyDescent="0.2">
      <c r="A613" s="95" t="s">
        <v>1890</v>
      </c>
      <c r="B613" s="95">
        <v>30</v>
      </c>
      <c r="C613" s="95" t="s">
        <v>489</v>
      </c>
      <c r="D613" s="95">
        <v>2012</v>
      </c>
      <c r="E613" s="95">
        <v>5208.08</v>
      </c>
      <c r="F613" s="95" t="s">
        <v>653</v>
      </c>
      <c r="G613" s="95" t="s">
        <v>565</v>
      </c>
      <c r="H613" s="95" t="s">
        <v>653</v>
      </c>
      <c r="I613" s="95" t="s">
        <v>802</v>
      </c>
    </row>
    <row r="614" spans="1:9" ht="14.1" customHeight="1" x14ac:dyDescent="0.2">
      <c r="A614" s="95" t="s">
        <v>1891</v>
      </c>
      <c r="B614" s="95">
        <v>31</v>
      </c>
      <c r="C614" s="95" t="s">
        <v>518</v>
      </c>
      <c r="D614" s="95">
        <v>2012</v>
      </c>
      <c r="E614" s="95">
        <v>1.2584342111729701</v>
      </c>
      <c r="F614" s="95" t="s">
        <v>615</v>
      </c>
      <c r="G614" s="95" t="s">
        <v>907</v>
      </c>
      <c r="H614" s="95" t="s">
        <v>615</v>
      </c>
      <c r="I614" s="95" t="s">
        <v>908</v>
      </c>
    </row>
    <row r="615" spans="1:9" ht="14.1" customHeight="1" x14ac:dyDescent="0.2">
      <c r="A615" s="95" t="s">
        <v>1892</v>
      </c>
      <c r="B615" s="95">
        <v>31</v>
      </c>
      <c r="C615" s="95" t="s">
        <v>520</v>
      </c>
      <c r="D615" s="95">
        <v>2012</v>
      </c>
      <c r="E615" s="95">
        <v>1.25</v>
      </c>
      <c r="F615" s="95" t="s">
        <v>909</v>
      </c>
      <c r="G615" s="95" t="s">
        <v>910</v>
      </c>
      <c r="H615" s="95" t="s">
        <v>909</v>
      </c>
      <c r="I615" s="95" t="s">
        <v>911</v>
      </c>
    </row>
    <row r="616" spans="1:9" ht="14.1" customHeight="1" x14ac:dyDescent="0.2">
      <c r="A616" s="95" t="s">
        <v>1893</v>
      </c>
      <c r="B616" s="95">
        <v>31</v>
      </c>
      <c r="C616" s="95" t="s">
        <v>522</v>
      </c>
      <c r="D616" s="95">
        <v>2012</v>
      </c>
      <c r="E616" s="95">
        <v>0.53</v>
      </c>
      <c r="F616" s="95" t="s">
        <v>615</v>
      </c>
      <c r="G616" s="95" t="s">
        <v>845</v>
      </c>
      <c r="H616" s="95" t="s">
        <v>615</v>
      </c>
      <c r="I616" s="95" t="s">
        <v>857</v>
      </c>
    </row>
    <row r="617" spans="1:9" ht="14.1" customHeight="1" x14ac:dyDescent="0.2">
      <c r="A617" s="95" t="s">
        <v>1894</v>
      </c>
      <c r="B617" s="95">
        <v>31</v>
      </c>
      <c r="C617" s="95" t="s">
        <v>524</v>
      </c>
      <c r="D617" s="95">
        <v>2012</v>
      </c>
      <c r="E617" s="95">
        <v>1.0715057682367799</v>
      </c>
      <c r="F617" s="95" t="s">
        <v>615</v>
      </c>
      <c r="G617" s="95" t="s">
        <v>912</v>
      </c>
      <c r="H617" s="95" t="s">
        <v>615</v>
      </c>
      <c r="I617" s="95" t="s">
        <v>913</v>
      </c>
    </row>
    <row r="618" spans="1:9" ht="14.1" customHeight="1" x14ac:dyDescent="0.2">
      <c r="A618" s="95" t="s">
        <v>1895</v>
      </c>
      <c r="B618" s="95">
        <v>31</v>
      </c>
      <c r="C618" s="95" t="s">
        <v>526</v>
      </c>
      <c r="D618" s="95">
        <v>2012</v>
      </c>
      <c r="E618" s="95">
        <v>5.2</v>
      </c>
      <c r="F618" s="95" t="s">
        <v>906</v>
      </c>
      <c r="G618" s="95">
        <v>0</v>
      </c>
      <c r="H618" s="95" t="s">
        <v>906</v>
      </c>
      <c r="I618" s="95">
        <v>0</v>
      </c>
    </row>
    <row r="619" spans="1:9" ht="14.1" customHeight="1" x14ac:dyDescent="0.2">
      <c r="A619" s="95" t="s">
        <v>1896</v>
      </c>
      <c r="B619" s="95">
        <v>31</v>
      </c>
      <c r="C619" s="95" t="s">
        <v>528</v>
      </c>
      <c r="D619" s="95">
        <v>2012</v>
      </c>
      <c r="E619" s="95">
        <v>1.4747966997564499</v>
      </c>
      <c r="F619" s="95" t="s">
        <v>615</v>
      </c>
      <c r="G619" s="95" t="s">
        <v>914</v>
      </c>
      <c r="H619" s="95" t="s">
        <v>615</v>
      </c>
      <c r="I619" s="95" t="s">
        <v>915</v>
      </c>
    </row>
    <row r="620" spans="1:9" ht="14.1" customHeight="1" x14ac:dyDescent="0.2">
      <c r="A620" s="95" t="s">
        <v>1897</v>
      </c>
      <c r="B620" s="95">
        <v>31</v>
      </c>
      <c r="C620" s="95" t="s">
        <v>530</v>
      </c>
      <c r="D620" s="95">
        <v>2012</v>
      </c>
      <c r="E620" s="95">
        <v>0.26937813705288699</v>
      </c>
      <c r="F620" s="95" t="s">
        <v>615</v>
      </c>
      <c r="G620" s="95" t="s">
        <v>916</v>
      </c>
      <c r="H620" s="95" t="s">
        <v>615</v>
      </c>
      <c r="I620" s="95" t="s">
        <v>917</v>
      </c>
    </row>
    <row r="621" spans="1:9" ht="14.1" customHeight="1" x14ac:dyDescent="0.2">
      <c r="A621" s="95" t="s">
        <v>1898</v>
      </c>
      <c r="B621" s="95">
        <v>31</v>
      </c>
      <c r="C621" s="95" t="s">
        <v>532</v>
      </c>
      <c r="D621" s="95">
        <v>2012</v>
      </c>
      <c r="E621" s="95">
        <v>1.05</v>
      </c>
      <c r="F621" s="95" t="s">
        <v>909</v>
      </c>
      <c r="G621" s="95" t="s">
        <v>918</v>
      </c>
      <c r="H621" s="95" t="s">
        <v>909</v>
      </c>
      <c r="I621" s="95" t="s">
        <v>919</v>
      </c>
    </row>
    <row r="622" spans="1:9" ht="14.1" customHeight="1" x14ac:dyDescent="0.2">
      <c r="A622" s="95" t="s">
        <v>1899</v>
      </c>
      <c r="B622" s="95">
        <v>31</v>
      </c>
      <c r="C622" s="95" t="s">
        <v>534</v>
      </c>
      <c r="D622" s="95">
        <v>2012</v>
      </c>
      <c r="E622" s="95">
        <v>1.03</v>
      </c>
      <c r="F622" s="95" t="s">
        <v>909</v>
      </c>
      <c r="G622" s="95" t="s">
        <v>918</v>
      </c>
      <c r="H622" s="95" t="s">
        <v>909</v>
      </c>
      <c r="I622" s="95" t="s">
        <v>919</v>
      </c>
    </row>
    <row r="623" spans="1:9" ht="14.1" customHeight="1" x14ac:dyDescent="0.2">
      <c r="A623" s="95" t="s">
        <v>1900</v>
      </c>
      <c r="B623" s="95">
        <v>31</v>
      </c>
      <c r="C623" s="95" t="s">
        <v>536</v>
      </c>
      <c r="D623" s="95">
        <v>2012</v>
      </c>
      <c r="E623" s="95">
        <v>1.19</v>
      </c>
      <c r="F623" s="95" t="s">
        <v>909</v>
      </c>
      <c r="G623" s="95" t="s">
        <v>918</v>
      </c>
      <c r="H623" s="95" t="s">
        <v>909</v>
      </c>
      <c r="I623" s="95" t="s">
        <v>919</v>
      </c>
    </row>
    <row r="624" spans="1:9" ht="14.1" customHeight="1" x14ac:dyDescent="0.2">
      <c r="A624" s="95" t="s">
        <v>1901</v>
      </c>
      <c r="B624" s="95">
        <v>31</v>
      </c>
      <c r="C624" s="95" t="s">
        <v>538</v>
      </c>
      <c r="D624" s="95">
        <v>2012</v>
      </c>
      <c r="E624" s="95">
        <v>1.3383999669489399</v>
      </c>
      <c r="F624" s="95" t="s">
        <v>615</v>
      </c>
      <c r="G624" s="95" t="s">
        <v>845</v>
      </c>
      <c r="H624" s="95" t="s">
        <v>615</v>
      </c>
      <c r="I624" s="95" t="s">
        <v>920</v>
      </c>
    </row>
    <row r="625" spans="1:9" ht="14.1" customHeight="1" x14ac:dyDescent="0.2">
      <c r="A625" s="95" t="s">
        <v>1902</v>
      </c>
      <c r="B625" s="95">
        <v>31</v>
      </c>
      <c r="C625" s="95" t="s">
        <v>540</v>
      </c>
      <c r="D625" s="95">
        <v>2012</v>
      </c>
      <c r="E625" s="95">
        <v>1.49525102008005</v>
      </c>
      <c r="F625" s="95" t="s">
        <v>615</v>
      </c>
      <c r="G625" s="95" t="s">
        <v>921</v>
      </c>
      <c r="H625" s="95" t="s">
        <v>615</v>
      </c>
      <c r="I625" s="95" t="s">
        <v>922</v>
      </c>
    </row>
    <row r="626" spans="1:9" ht="14.1" customHeight="1" x14ac:dyDescent="0.2">
      <c r="A626" s="95" t="s">
        <v>1903</v>
      </c>
      <c r="B626" s="95">
        <v>31</v>
      </c>
      <c r="C626" s="95" t="s">
        <v>542</v>
      </c>
      <c r="D626" s="95">
        <v>2012</v>
      </c>
      <c r="E626" s="95">
        <v>1.52</v>
      </c>
      <c r="F626" s="95" t="s">
        <v>909</v>
      </c>
      <c r="G626" s="95" t="s">
        <v>918</v>
      </c>
      <c r="H626" s="95" t="s">
        <v>909</v>
      </c>
      <c r="I626" s="95" t="s">
        <v>919</v>
      </c>
    </row>
    <row r="627" spans="1:9" ht="14.1" customHeight="1" x14ac:dyDescent="0.2">
      <c r="A627" s="95" t="s">
        <v>1904</v>
      </c>
      <c r="B627" s="95">
        <v>31</v>
      </c>
      <c r="C627" s="95" t="s">
        <v>546</v>
      </c>
      <c r="D627" s="95">
        <v>2012</v>
      </c>
      <c r="E627" s="95">
        <v>1.9512193271044</v>
      </c>
      <c r="F627" s="95" t="s">
        <v>615</v>
      </c>
      <c r="G627" s="95" t="s">
        <v>845</v>
      </c>
      <c r="H627" s="95" t="s">
        <v>615</v>
      </c>
      <c r="I627" s="95" t="s">
        <v>857</v>
      </c>
    </row>
    <row r="628" spans="1:9" ht="14.1" customHeight="1" x14ac:dyDescent="0.2">
      <c r="A628" s="95" t="s">
        <v>1905</v>
      </c>
      <c r="B628" s="95">
        <v>31</v>
      </c>
      <c r="C628" s="95" t="s">
        <v>548</v>
      </c>
      <c r="D628" s="95">
        <v>2012</v>
      </c>
      <c r="E628" s="95">
        <v>1.1190637166903701E-2</v>
      </c>
      <c r="F628" s="95" t="s">
        <v>615</v>
      </c>
      <c r="G628" s="95" t="s">
        <v>616</v>
      </c>
      <c r="H628" s="95" t="s">
        <v>615</v>
      </c>
      <c r="I628" s="95" t="s">
        <v>923</v>
      </c>
    </row>
    <row r="629" spans="1:9" ht="14.1" customHeight="1" x14ac:dyDescent="0.2">
      <c r="A629" s="95" t="s">
        <v>1906</v>
      </c>
      <c r="B629" s="95">
        <v>31</v>
      </c>
      <c r="C629" s="95" t="s">
        <v>483</v>
      </c>
      <c r="D629" s="95">
        <v>2012</v>
      </c>
      <c r="E629" s="95">
        <v>1.585</v>
      </c>
      <c r="F629" s="95" t="s">
        <v>1273</v>
      </c>
      <c r="G629" s="95">
        <v>0</v>
      </c>
      <c r="H629" s="95" t="s">
        <v>1273</v>
      </c>
      <c r="I629" s="95">
        <v>0</v>
      </c>
    </row>
    <row r="630" spans="1:9" ht="14.1" customHeight="1" x14ac:dyDescent="0.2">
      <c r="A630" s="95" t="s">
        <v>1907</v>
      </c>
      <c r="B630" s="95">
        <v>31</v>
      </c>
      <c r="C630" s="95" t="s">
        <v>488</v>
      </c>
      <c r="D630" s="95">
        <v>2012</v>
      </c>
      <c r="E630" s="95">
        <v>1.19</v>
      </c>
      <c r="F630" s="95" t="s">
        <v>1273</v>
      </c>
      <c r="G630" s="95">
        <v>0</v>
      </c>
      <c r="H630" s="95" t="s">
        <v>1273</v>
      </c>
      <c r="I630" s="95">
        <v>0</v>
      </c>
    </row>
    <row r="631" spans="1:9" ht="14.1" customHeight="1" x14ac:dyDescent="0.2">
      <c r="A631" s="95" t="s">
        <v>1908</v>
      </c>
      <c r="B631" s="95">
        <v>31</v>
      </c>
      <c r="C631" s="95" t="s">
        <v>487</v>
      </c>
      <c r="D631" s="95">
        <v>2012</v>
      </c>
      <c r="E631" s="95">
        <v>1.36</v>
      </c>
      <c r="F631" s="95" t="s">
        <v>1273</v>
      </c>
      <c r="G631" s="95">
        <v>0</v>
      </c>
      <c r="H631" s="95" t="s">
        <v>1273</v>
      </c>
      <c r="I631" s="95">
        <v>0</v>
      </c>
    </row>
    <row r="632" spans="1:9" ht="14.1" customHeight="1" x14ac:dyDescent="0.2">
      <c r="A632" s="95" t="s">
        <v>1909</v>
      </c>
      <c r="B632" s="95">
        <v>31</v>
      </c>
      <c r="C632" s="95" t="s">
        <v>486</v>
      </c>
      <c r="D632" s="95">
        <v>2012</v>
      </c>
      <c r="E632" s="95">
        <v>0.89</v>
      </c>
      <c r="F632" s="95" t="s">
        <v>1273</v>
      </c>
      <c r="G632" s="95" t="s">
        <v>572</v>
      </c>
      <c r="H632" s="95" t="s">
        <v>1273</v>
      </c>
      <c r="I632" s="95" t="s">
        <v>814</v>
      </c>
    </row>
    <row r="633" spans="1:9" ht="14.1" customHeight="1" x14ac:dyDescent="0.2">
      <c r="A633" s="95" t="s">
        <v>1910</v>
      </c>
      <c r="B633" s="95">
        <v>31</v>
      </c>
      <c r="C633" s="95" t="s">
        <v>482</v>
      </c>
      <c r="D633" s="95">
        <v>2012</v>
      </c>
      <c r="E633" s="95">
        <v>1.04</v>
      </c>
      <c r="F633" s="95" t="s">
        <v>1273</v>
      </c>
      <c r="G633" s="95">
        <v>0</v>
      </c>
      <c r="H633" s="95" t="s">
        <v>1273</v>
      </c>
      <c r="I633" s="95">
        <v>0</v>
      </c>
    </row>
    <row r="634" spans="1:9" ht="14.1" customHeight="1" x14ac:dyDescent="0.2">
      <c r="A634" s="95" t="s">
        <v>1911</v>
      </c>
      <c r="B634" s="95">
        <v>31</v>
      </c>
      <c r="C634" s="95" t="s">
        <v>490</v>
      </c>
      <c r="D634" s="95">
        <v>2012</v>
      </c>
      <c r="E634" s="95">
        <v>1.1499999999999999</v>
      </c>
      <c r="F634" s="95" t="s">
        <v>1273</v>
      </c>
      <c r="G634" s="95">
        <v>0</v>
      </c>
      <c r="H634" s="95" t="s">
        <v>1273</v>
      </c>
      <c r="I634" s="95">
        <v>0</v>
      </c>
    </row>
    <row r="635" spans="1:9" ht="14.1" customHeight="1" x14ac:dyDescent="0.2">
      <c r="A635" s="95" t="s">
        <v>1912</v>
      </c>
      <c r="B635" s="95">
        <v>31</v>
      </c>
      <c r="C635" s="95" t="s">
        <v>481</v>
      </c>
      <c r="D635" s="95">
        <v>2012</v>
      </c>
      <c r="E635" s="95">
        <v>0.85</v>
      </c>
      <c r="F635" s="95" t="s">
        <v>1273</v>
      </c>
      <c r="G635" s="95">
        <v>0</v>
      </c>
      <c r="H635" s="95" t="s">
        <v>1273</v>
      </c>
      <c r="I635" s="95">
        <v>0</v>
      </c>
    </row>
    <row r="636" spans="1:9" ht="14.1" customHeight="1" x14ac:dyDescent="0.2">
      <c r="A636" s="95" t="s">
        <v>1913</v>
      </c>
      <c r="B636" s="95">
        <v>31</v>
      </c>
      <c r="C636" s="95" t="s">
        <v>484</v>
      </c>
      <c r="D636" s="95">
        <v>2012</v>
      </c>
      <c r="E636" s="95">
        <v>1.19</v>
      </c>
      <c r="F636" s="95" t="s">
        <v>1273</v>
      </c>
      <c r="G636" s="95">
        <v>0</v>
      </c>
      <c r="H636" s="95" t="s">
        <v>1273</v>
      </c>
      <c r="I636" s="95">
        <v>0</v>
      </c>
    </row>
    <row r="637" spans="1:9" ht="14.1" customHeight="1" x14ac:dyDescent="0.2">
      <c r="A637" s="95" t="s">
        <v>1914</v>
      </c>
      <c r="B637" s="95">
        <v>31</v>
      </c>
      <c r="C637" s="95" t="s">
        <v>485</v>
      </c>
      <c r="D637" s="95">
        <v>2012</v>
      </c>
      <c r="E637" s="95">
        <v>1.02</v>
      </c>
      <c r="F637" s="95" t="s">
        <v>1273</v>
      </c>
      <c r="G637" s="95">
        <v>0</v>
      </c>
      <c r="H637" s="95" t="s">
        <v>1273</v>
      </c>
      <c r="I637" s="95">
        <v>0</v>
      </c>
    </row>
    <row r="638" spans="1:9" ht="14.1" customHeight="1" x14ac:dyDescent="0.2">
      <c r="A638" s="95" t="s">
        <v>1915</v>
      </c>
      <c r="B638" s="95">
        <v>31</v>
      </c>
      <c r="C638" s="95" t="s">
        <v>489</v>
      </c>
      <c r="D638" s="95">
        <v>2012</v>
      </c>
      <c r="E638" s="95">
        <v>1.35</v>
      </c>
      <c r="F638" s="95" t="s">
        <v>815</v>
      </c>
      <c r="G638" s="95">
        <v>0</v>
      </c>
      <c r="H638" s="95" t="s">
        <v>815</v>
      </c>
      <c r="I638" s="95">
        <v>0</v>
      </c>
    </row>
    <row r="639" spans="1:9" ht="14.1" customHeight="1" x14ac:dyDescent="0.2">
      <c r="A639" s="95" t="s">
        <v>1916</v>
      </c>
      <c r="B639" s="95">
        <v>32</v>
      </c>
      <c r="C639" s="95" t="s">
        <v>518</v>
      </c>
      <c r="D639" s="95">
        <v>2012</v>
      </c>
      <c r="E639" s="95">
        <v>1.4601380499469501</v>
      </c>
      <c r="F639" s="95" t="s">
        <v>615</v>
      </c>
      <c r="G639" s="95">
        <v>0</v>
      </c>
      <c r="H639" s="95" t="s">
        <v>615</v>
      </c>
      <c r="I639" s="95">
        <v>0</v>
      </c>
    </row>
    <row r="640" spans="1:9" ht="14.1" customHeight="1" x14ac:dyDescent="0.2">
      <c r="A640" s="95" t="s">
        <v>1917</v>
      </c>
      <c r="B640" s="95">
        <v>32</v>
      </c>
      <c r="C640" s="95" t="s">
        <v>520</v>
      </c>
      <c r="D640" s="95">
        <v>2012</v>
      </c>
      <c r="E640" s="95">
        <v>1.5</v>
      </c>
      <c r="F640" s="95" t="s">
        <v>909</v>
      </c>
      <c r="G640" s="95" t="s">
        <v>565</v>
      </c>
      <c r="H640" s="95" t="s">
        <v>909</v>
      </c>
      <c r="I640" s="95" t="s">
        <v>802</v>
      </c>
    </row>
    <row r="641" spans="1:9" ht="14.1" customHeight="1" x14ac:dyDescent="0.2">
      <c r="A641" s="95" t="s">
        <v>1918</v>
      </c>
      <c r="B641" s="95">
        <v>32</v>
      </c>
      <c r="C641" s="95" t="s">
        <v>522</v>
      </c>
      <c r="D641" s="95">
        <v>2012</v>
      </c>
      <c r="E641" s="95">
        <v>0.54409095254778705</v>
      </c>
      <c r="F641" s="95" t="s">
        <v>615</v>
      </c>
      <c r="G641" s="95">
        <v>0</v>
      </c>
      <c r="H641" s="95" t="s">
        <v>615</v>
      </c>
      <c r="I641" s="95">
        <v>0</v>
      </c>
    </row>
    <row r="642" spans="1:9" ht="14.1" customHeight="1" x14ac:dyDescent="0.2">
      <c r="A642" s="95" t="s">
        <v>1919</v>
      </c>
      <c r="B642" s="95">
        <v>32</v>
      </c>
      <c r="C642" s="95" t="s">
        <v>524</v>
      </c>
      <c r="D642" s="95">
        <v>2012</v>
      </c>
      <c r="E642" s="95">
        <v>1.4256544696776501</v>
      </c>
      <c r="F642" s="95" t="s">
        <v>615</v>
      </c>
      <c r="G642" s="95">
        <v>0</v>
      </c>
      <c r="H642" s="95" t="s">
        <v>615</v>
      </c>
      <c r="I642" s="95">
        <v>0</v>
      </c>
    </row>
    <row r="643" spans="1:9" ht="14.1" customHeight="1" x14ac:dyDescent="0.2">
      <c r="A643" s="95" t="s">
        <v>1920</v>
      </c>
      <c r="B643" s="95">
        <v>32</v>
      </c>
      <c r="C643" s="95" t="s">
        <v>526</v>
      </c>
      <c r="D643" s="95">
        <v>2012</v>
      </c>
      <c r="E643" s="95">
        <v>5.46</v>
      </c>
      <c r="F643" s="95" t="s">
        <v>906</v>
      </c>
      <c r="G643" s="95">
        <v>0</v>
      </c>
      <c r="H643" s="95" t="s">
        <v>906</v>
      </c>
      <c r="I643" s="95">
        <v>0</v>
      </c>
    </row>
    <row r="644" spans="1:9" ht="14.1" customHeight="1" x14ac:dyDescent="0.2">
      <c r="A644" s="95" t="s">
        <v>1921</v>
      </c>
      <c r="B644" s="95">
        <v>32</v>
      </c>
      <c r="C644" s="95" t="s">
        <v>528</v>
      </c>
      <c r="D644" s="95">
        <v>2012</v>
      </c>
      <c r="E644" s="95">
        <v>1.7733010343837201</v>
      </c>
      <c r="F644" s="95" t="s">
        <v>615</v>
      </c>
      <c r="G644" s="95" t="s">
        <v>565</v>
      </c>
      <c r="H644" s="95" t="s">
        <v>615</v>
      </c>
      <c r="I644" s="95" t="s">
        <v>802</v>
      </c>
    </row>
    <row r="645" spans="1:9" ht="14.1" customHeight="1" x14ac:dyDescent="0.2">
      <c r="A645" s="95" t="s">
        <v>1922</v>
      </c>
      <c r="B645" s="95">
        <v>32</v>
      </c>
      <c r="C645" s="95" t="s">
        <v>530</v>
      </c>
      <c r="D645" s="95">
        <v>2012</v>
      </c>
      <c r="E645" s="95">
        <v>0.383050668357373</v>
      </c>
      <c r="F645" s="95" t="s">
        <v>615</v>
      </c>
      <c r="G645" s="95">
        <v>0</v>
      </c>
      <c r="H645" s="95" t="s">
        <v>615</v>
      </c>
      <c r="I645" s="95">
        <v>0</v>
      </c>
    </row>
    <row r="646" spans="1:9" ht="14.1" customHeight="1" x14ac:dyDescent="0.2">
      <c r="A646" s="95" t="s">
        <v>1923</v>
      </c>
      <c r="B646" s="95">
        <v>32</v>
      </c>
      <c r="C646" s="95" t="s">
        <v>532</v>
      </c>
      <c r="D646" s="95">
        <v>2012</v>
      </c>
      <c r="E646" s="95">
        <v>1.08</v>
      </c>
      <c r="F646" s="95" t="s">
        <v>909</v>
      </c>
      <c r="G646" s="95">
        <v>0</v>
      </c>
      <c r="H646" s="95" t="s">
        <v>909</v>
      </c>
      <c r="I646" s="95">
        <v>0</v>
      </c>
    </row>
    <row r="647" spans="1:9" ht="14.1" customHeight="1" x14ac:dyDescent="0.2">
      <c r="A647" s="95" t="s">
        <v>1924</v>
      </c>
      <c r="B647" s="95">
        <v>32</v>
      </c>
      <c r="C647" s="95" t="s">
        <v>534</v>
      </c>
      <c r="D647" s="95">
        <v>2012</v>
      </c>
      <c r="E647" s="95">
        <v>1.25</v>
      </c>
      <c r="F647" s="95" t="s">
        <v>909</v>
      </c>
      <c r="G647" s="95">
        <v>0</v>
      </c>
      <c r="H647" s="95" t="s">
        <v>909</v>
      </c>
      <c r="I647" s="95">
        <v>0</v>
      </c>
    </row>
    <row r="648" spans="1:9" ht="14.1" customHeight="1" x14ac:dyDescent="0.2">
      <c r="A648" s="95" t="s">
        <v>1925</v>
      </c>
      <c r="B648" s="95">
        <v>32</v>
      </c>
      <c r="C648" s="95" t="s">
        <v>536</v>
      </c>
      <c r="D648" s="95">
        <v>2012</v>
      </c>
      <c r="E648" s="95">
        <v>1.2</v>
      </c>
      <c r="F648" s="95" t="s">
        <v>909</v>
      </c>
      <c r="G648" s="95">
        <v>0</v>
      </c>
      <c r="H648" s="95" t="s">
        <v>909</v>
      </c>
      <c r="I648" s="95">
        <v>0</v>
      </c>
    </row>
    <row r="649" spans="1:9" ht="14.1" customHeight="1" x14ac:dyDescent="0.2">
      <c r="A649" s="95" t="s">
        <v>1926</v>
      </c>
      <c r="B649" s="95">
        <v>32</v>
      </c>
      <c r="C649" s="95" t="s">
        <v>538</v>
      </c>
      <c r="D649" s="95">
        <v>2012</v>
      </c>
      <c r="E649" s="95">
        <v>1.3922916644345</v>
      </c>
      <c r="F649" s="95" t="s">
        <v>615</v>
      </c>
      <c r="G649" s="95">
        <v>0</v>
      </c>
      <c r="H649" s="95" t="s">
        <v>615</v>
      </c>
      <c r="I649" s="95">
        <v>0</v>
      </c>
    </row>
    <row r="650" spans="1:9" ht="14.1" customHeight="1" x14ac:dyDescent="0.2">
      <c r="A650" s="95" t="s">
        <v>1927</v>
      </c>
      <c r="B650" s="95">
        <v>32</v>
      </c>
      <c r="C650" s="95" t="s">
        <v>540</v>
      </c>
      <c r="D650" s="95">
        <v>2012</v>
      </c>
      <c r="E650" s="95">
        <v>1.5993633210365299</v>
      </c>
      <c r="F650" s="95" t="s">
        <v>615</v>
      </c>
      <c r="G650" s="95" t="s">
        <v>565</v>
      </c>
      <c r="H650" s="95" t="s">
        <v>615</v>
      </c>
      <c r="I650" s="95" t="s">
        <v>802</v>
      </c>
    </row>
    <row r="651" spans="1:9" ht="14.1" customHeight="1" x14ac:dyDescent="0.2">
      <c r="A651" s="95" t="s">
        <v>1928</v>
      </c>
      <c r="B651" s="95">
        <v>32</v>
      </c>
      <c r="C651" s="95" t="s">
        <v>542</v>
      </c>
      <c r="D651" s="95">
        <v>2012</v>
      </c>
      <c r="E651" s="95">
        <v>1.57</v>
      </c>
      <c r="F651" s="95" t="s">
        <v>909</v>
      </c>
      <c r="G651" s="95">
        <v>0</v>
      </c>
      <c r="H651" s="95" t="s">
        <v>909</v>
      </c>
      <c r="I651" s="95">
        <v>0</v>
      </c>
    </row>
    <row r="652" spans="1:9" ht="14.1" customHeight="1" x14ac:dyDescent="0.2">
      <c r="A652" s="95" t="s">
        <v>1929</v>
      </c>
      <c r="B652" s="95">
        <v>32</v>
      </c>
      <c r="C652" s="95" t="s">
        <v>546</v>
      </c>
      <c r="D652" s="95">
        <v>2012</v>
      </c>
      <c r="E652" s="95">
        <v>2.0102454577494502</v>
      </c>
      <c r="F652" s="95" t="s">
        <v>615</v>
      </c>
      <c r="G652" s="95">
        <v>0</v>
      </c>
      <c r="H652" s="95" t="s">
        <v>615</v>
      </c>
      <c r="I652" s="95">
        <v>0</v>
      </c>
    </row>
    <row r="653" spans="1:9" ht="14.1" customHeight="1" x14ac:dyDescent="0.2">
      <c r="A653" s="95" t="s">
        <v>1930</v>
      </c>
      <c r="B653" s="95">
        <v>32</v>
      </c>
      <c r="C653" s="95" t="s">
        <v>548</v>
      </c>
      <c r="D653" s="95">
        <v>2012</v>
      </c>
      <c r="E653" s="95">
        <v>1.6319679201734501E-2</v>
      </c>
      <c r="F653" s="95" t="s">
        <v>615</v>
      </c>
      <c r="G653" s="95">
        <v>0</v>
      </c>
      <c r="H653" s="95" t="s">
        <v>615</v>
      </c>
      <c r="I653" s="95">
        <v>0</v>
      </c>
    </row>
    <row r="654" spans="1:9" ht="14.1" customHeight="1" x14ac:dyDescent="0.2">
      <c r="A654" s="95" t="s">
        <v>1931</v>
      </c>
      <c r="B654" s="95">
        <v>32</v>
      </c>
      <c r="C654" s="95" t="s">
        <v>483</v>
      </c>
      <c r="D654" s="95">
        <v>2012</v>
      </c>
      <c r="E654" s="95">
        <v>1.7382529237255699</v>
      </c>
      <c r="F654" s="95" t="s">
        <v>815</v>
      </c>
      <c r="G654" s="95" t="s">
        <v>565</v>
      </c>
      <c r="H654" s="95" t="s">
        <v>815</v>
      </c>
      <c r="I654" s="95" t="s">
        <v>802</v>
      </c>
    </row>
    <row r="655" spans="1:9" ht="14.1" customHeight="1" x14ac:dyDescent="0.2">
      <c r="A655" s="95" t="s">
        <v>1932</v>
      </c>
      <c r="B655" s="95">
        <v>32</v>
      </c>
      <c r="C655" s="95" t="s">
        <v>488</v>
      </c>
      <c r="D655" s="95">
        <v>2012</v>
      </c>
      <c r="E655" s="95">
        <v>1.3097656528619099</v>
      </c>
      <c r="F655" s="95" t="s">
        <v>815</v>
      </c>
      <c r="G655" s="95">
        <v>0</v>
      </c>
      <c r="H655" s="95" t="s">
        <v>815</v>
      </c>
      <c r="I655" s="95">
        <v>0</v>
      </c>
    </row>
    <row r="656" spans="1:9" ht="14.1" customHeight="1" x14ac:dyDescent="0.2">
      <c r="A656" s="95" t="s">
        <v>1933</v>
      </c>
      <c r="B656" s="95">
        <v>32</v>
      </c>
      <c r="C656" s="95" t="s">
        <v>487</v>
      </c>
      <c r="D656" s="95">
        <v>2012</v>
      </c>
      <c r="E656" s="95">
        <v>1.57</v>
      </c>
      <c r="F656" s="95" t="s">
        <v>815</v>
      </c>
      <c r="G656" s="95">
        <v>0</v>
      </c>
      <c r="H656" s="95" t="s">
        <v>815</v>
      </c>
      <c r="I656" s="95">
        <v>0</v>
      </c>
    </row>
    <row r="657" spans="1:9" ht="14.1" customHeight="1" x14ac:dyDescent="0.2">
      <c r="A657" s="95" t="s">
        <v>1934</v>
      </c>
      <c r="B657" s="95">
        <v>32</v>
      </c>
      <c r="C657" s="95" t="s">
        <v>486</v>
      </c>
      <c r="D657" s="95">
        <v>2012</v>
      </c>
      <c r="E657" s="95">
        <v>0.92</v>
      </c>
      <c r="F657" s="95" t="s">
        <v>815</v>
      </c>
      <c r="G657" s="95">
        <v>0</v>
      </c>
      <c r="H657" s="95" t="s">
        <v>815</v>
      </c>
      <c r="I657" s="95">
        <v>0</v>
      </c>
    </row>
    <row r="658" spans="1:9" ht="14.1" customHeight="1" x14ac:dyDescent="0.2">
      <c r="A658" s="95" t="s">
        <v>1935</v>
      </c>
      <c r="B658" s="95">
        <v>32</v>
      </c>
      <c r="C658" s="95" t="s">
        <v>482</v>
      </c>
      <c r="D658" s="95">
        <v>2012</v>
      </c>
      <c r="E658" s="95">
        <v>1.1399999999999999</v>
      </c>
      <c r="F658" s="95" t="s">
        <v>815</v>
      </c>
      <c r="G658" s="95">
        <v>0</v>
      </c>
      <c r="H658" s="95" t="s">
        <v>815</v>
      </c>
      <c r="I658" s="95">
        <v>0</v>
      </c>
    </row>
    <row r="659" spans="1:9" ht="14.1" customHeight="1" x14ac:dyDescent="0.2">
      <c r="A659" s="95" t="s">
        <v>1936</v>
      </c>
      <c r="B659" s="95">
        <v>32</v>
      </c>
      <c r="C659" s="95" t="s">
        <v>490</v>
      </c>
      <c r="D659" s="95">
        <v>2012</v>
      </c>
      <c r="E659" s="95">
        <v>1.25</v>
      </c>
      <c r="F659" s="95" t="s">
        <v>815</v>
      </c>
      <c r="G659" s="95">
        <v>0</v>
      </c>
      <c r="H659" s="95" t="s">
        <v>815</v>
      </c>
      <c r="I659" s="95">
        <v>0</v>
      </c>
    </row>
    <row r="660" spans="1:9" ht="14.1" customHeight="1" x14ac:dyDescent="0.2">
      <c r="A660" s="95" t="s">
        <v>1937</v>
      </c>
      <c r="B660" s="95">
        <v>32</v>
      </c>
      <c r="C660" s="95" t="s">
        <v>481</v>
      </c>
      <c r="D660" s="95">
        <v>2012</v>
      </c>
      <c r="E660" s="95">
        <v>0.86</v>
      </c>
      <c r="F660" s="95" t="s">
        <v>815</v>
      </c>
      <c r="G660" s="95">
        <v>0</v>
      </c>
      <c r="H660" s="95" t="s">
        <v>815</v>
      </c>
      <c r="I660" s="95">
        <v>0</v>
      </c>
    </row>
    <row r="661" spans="1:9" ht="14.1" customHeight="1" x14ac:dyDescent="0.2">
      <c r="A661" s="95" t="s">
        <v>1938</v>
      </c>
      <c r="B661" s="95">
        <v>32</v>
      </c>
      <c r="C661" s="95" t="s">
        <v>484</v>
      </c>
      <c r="D661" s="95">
        <v>2012</v>
      </c>
      <c r="E661" s="95">
        <v>1.23</v>
      </c>
      <c r="F661" s="95" t="s">
        <v>815</v>
      </c>
      <c r="G661" s="95">
        <v>0</v>
      </c>
      <c r="H661" s="95" t="s">
        <v>815</v>
      </c>
      <c r="I661" s="95">
        <v>0</v>
      </c>
    </row>
    <row r="662" spans="1:9" ht="14.1" customHeight="1" x14ac:dyDescent="0.2">
      <c r="A662" s="95" t="s">
        <v>1939</v>
      </c>
      <c r="B662" s="95">
        <v>32</v>
      </c>
      <c r="C662" s="95" t="s">
        <v>485</v>
      </c>
      <c r="D662" s="95">
        <v>2012</v>
      </c>
      <c r="E662" s="95">
        <v>1.05</v>
      </c>
      <c r="F662" s="95" t="s">
        <v>815</v>
      </c>
      <c r="G662" s="95">
        <v>0</v>
      </c>
      <c r="H662" s="95" t="s">
        <v>815</v>
      </c>
      <c r="I662" s="95">
        <v>0</v>
      </c>
    </row>
    <row r="663" spans="1:9" ht="14.1" customHeight="1" x14ac:dyDescent="0.2">
      <c r="A663" s="95" t="s">
        <v>1940</v>
      </c>
      <c r="B663" s="95">
        <v>32</v>
      </c>
      <c r="C663" s="95" t="s">
        <v>489</v>
      </c>
      <c r="D663" s="95">
        <v>2012</v>
      </c>
      <c r="E663" s="95">
        <v>1.58</v>
      </c>
      <c r="F663" s="95" t="s">
        <v>815</v>
      </c>
      <c r="G663" s="95">
        <v>0</v>
      </c>
      <c r="H663" s="95" t="s">
        <v>815</v>
      </c>
      <c r="I663" s="95">
        <v>0</v>
      </c>
    </row>
    <row r="664" spans="1:9" ht="14.1" customHeight="1" x14ac:dyDescent="0.2">
      <c r="A664" s="95" t="s">
        <v>1941</v>
      </c>
      <c r="B664" s="95">
        <v>33</v>
      </c>
      <c r="C664" s="95" t="s">
        <v>518</v>
      </c>
      <c r="D664" s="95">
        <v>2012</v>
      </c>
      <c r="E664" s="95">
        <v>51157190</v>
      </c>
      <c r="F664" s="95" t="s">
        <v>653</v>
      </c>
      <c r="G664" s="95" t="s">
        <v>890</v>
      </c>
      <c r="H664" s="95" t="s">
        <v>653</v>
      </c>
      <c r="I664" s="95" t="s">
        <v>891</v>
      </c>
    </row>
    <row r="665" spans="1:9" ht="14.1" customHeight="1" x14ac:dyDescent="0.2">
      <c r="A665" s="95" t="s">
        <v>1942</v>
      </c>
      <c r="B665" s="95">
        <v>33</v>
      </c>
      <c r="C665" s="95" t="s">
        <v>520</v>
      </c>
      <c r="D665" s="95">
        <v>2012</v>
      </c>
      <c r="E665" s="95">
        <v>410900</v>
      </c>
      <c r="F665" s="95" t="s">
        <v>653</v>
      </c>
      <c r="G665" s="95" t="s">
        <v>924</v>
      </c>
      <c r="H665" s="95" t="s">
        <v>653</v>
      </c>
      <c r="I665" s="95" t="s">
        <v>925</v>
      </c>
    </row>
    <row r="666" spans="1:9" ht="14.1" customHeight="1" x14ac:dyDescent="0.2">
      <c r="A666" s="95" t="s">
        <v>1943</v>
      </c>
      <c r="B666" s="95">
        <v>33</v>
      </c>
      <c r="C666" s="95" t="s">
        <v>522</v>
      </c>
      <c r="D666" s="95">
        <v>2012</v>
      </c>
      <c r="E666" s="95">
        <v>6168610</v>
      </c>
      <c r="F666" s="95" t="s">
        <v>653</v>
      </c>
      <c r="G666" s="95" t="s">
        <v>890</v>
      </c>
      <c r="H666" s="95" t="s">
        <v>653</v>
      </c>
      <c r="I666" s="95" t="s">
        <v>891</v>
      </c>
    </row>
    <row r="667" spans="1:9" ht="14.1" customHeight="1" x14ac:dyDescent="0.2">
      <c r="A667" s="95" t="s">
        <v>1944</v>
      </c>
      <c r="B667" s="95">
        <v>33</v>
      </c>
      <c r="C667" s="95" t="s">
        <v>524</v>
      </c>
      <c r="D667" s="95">
        <v>2012</v>
      </c>
      <c r="E667" s="95">
        <v>206775060</v>
      </c>
      <c r="F667" s="95" t="s">
        <v>653</v>
      </c>
      <c r="G667" s="95" t="s">
        <v>926</v>
      </c>
      <c r="H667" s="95" t="s">
        <v>653</v>
      </c>
      <c r="I667" s="95" t="s">
        <v>927</v>
      </c>
    </row>
    <row r="668" spans="1:9" ht="14.1" customHeight="1" x14ac:dyDescent="0.2">
      <c r="A668" s="95" t="s">
        <v>1945</v>
      </c>
      <c r="B668" s="95">
        <v>33</v>
      </c>
      <c r="C668" s="95" t="s">
        <v>526</v>
      </c>
      <c r="D668" s="95">
        <v>2012</v>
      </c>
      <c r="E668" s="95">
        <v>660448</v>
      </c>
      <c r="F668" s="95" t="s">
        <v>928</v>
      </c>
      <c r="G668" s="95">
        <v>0</v>
      </c>
      <c r="H668" s="95" t="s">
        <v>928</v>
      </c>
      <c r="I668" s="95">
        <v>0</v>
      </c>
    </row>
    <row r="669" spans="1:9" ht="14.1" customHeight="1" x14ac:dyDescent="0.2">
      <c r="A669" s="95" t="s">
        <v>1946</v>
      </c>
      <c r="B669" s="95">
        <v>33</v>
      </c>
      <c r="C669" s="95" t="s">
        <v>528</v>
      </c>
      <c r="D669" s="95">
        <v>2012</v>
      </c>
      <c r="E669" s="95">
        <v>30725490</v>
      </c>
      <c r="F669" s="95" t="s">
        <v>653</v>
      </c>
      <c r="G669" s="95" t="s">
        <v>907</v>
      </c>
      <c r="H669" s="95" t="s">
        <v>653</v>
      </c>
      <c r="I669" s="95" t="s">
        <v>929</v>
      </c>
    </row>
    <row r="670" spans="1:9" ht="14.1" customHeight="1" x14ac:dyDescent="0.2">
      <c r="A670" s="95" t="s">
        <v>1947</v>
      </c>
      <c r="B670" s="95">
        <v>33</v>
      </c>
      <c r="C670" s="95" t="s">
        <v>530</v>
      </c>
      <c r="D670" s="95">
        <v>2012</v>
      </c>
      <c r="E670" s="95">
        <v>18795540</v>
      </c>
      <c r="F670" s="95" t="s">
        <v>653</v>
      </c>
      <c r="G670" s="95" t="s">
        <v>924</v>
      </c>
      <c r="H670" s="95" t="s">
        <v>653</v>
      </c>
      <c r="I670" s="95" t="s">
        <v>930</v>
      </c>
    </row>
    <row r="671" spans="1:9" ht="14.1" customHeight="1" x14ac:dyDescent="0.2">
      <c r="A671" s="95" t="s">
        <v>1948</v>
      </c>
      <c r="B671" s="95">
        <v>33</v>
      </c>
      <c r="C671" s="95" t="s">
        <v>532</v>
      </c>
      <c r="D671" s="95">
        <v>2012</v>
      </c>
      <c r="E671" s="95">
        <v>606470</v>
      </c>
      <c r="F671" s="95" t="s">
        <v>653</v>
      </c>
      <c r="G671" s="95" t="s">
        <v>565</v>
      </c>
      <c r="H671" s="95" t="s">
        <v>653</v>
      </c>
      <c r="I671" s="95" t="s">
        <v>802</v>
      </c>
    </row>
    <row r="672" spans="1:9" ht="14.1" customHeight="1" x14ac:dyDescent="0.2">
      <c r="A672" s="95" t="s">
        <v>1949</v>
      </c>
      <c r="B672" s="95">
        <v>33</v>
      </c>
      <c r="C672" s="95" t="s">
        <v>534</v>
      </c>
      <c r="D672" s="95">
        <v>2012</v>
      </c>
      <c r="E672" s="95">
        <v>1214890</v>
      </c>
      <c r="F672" s="95" t="s">
        <v>653</v>
      </c>
      <c r="G672" s="95" t="s">
        <v>931</v>
      </c>
      <c r="H672" s="95" t="s">
        <v>653</v>
      </c>
      <c r="I672" s="95" t="s">
        <v>932</v>
      </c>
    </row>
    <row r="673" spans="1:9" ht="14.1" customHeight="1" x14ac:dyDescent="0.2">
      <c r="A673" s="95" t="s">
        <v>1950</v>
      </c>
      <c r="B673" s="95">
        <v>33</v>
      </c>
      <c r="C673" s="95" t="s">
        <v>536</v>
      </c>
      <c r="D673" s="95">
        <v>2012</v>
      </c>
      <c r="E673" s="95">
        <v>3784330</v>
      </c>
      <c r="F673" s="95" t="s">
        <v>653</v>
      </c>
      <c r="G673" s="95" t="s">
        <v>933</v>
      </c>
      <c r="H673" s="95" t="s">
        <v>653</v>
      </c>
      <c r="I673" s="95" t="s">
        <v>934</v>
      </c>
    </row>
    <row r="674" spans="1:9" ht="14.1" customHeight="1" x14ac:dyDescent="0.2">
      <c r="A674" s="95" t="s">
        <v>1951</v>
      </c>
      <c r="B674" s="95">
        <v>33</v>
      </c>
      <c r="C674" s="95" t="s">
        <v>538</v>
      </c>
      <c r="D674" s="95">
        <v>2012</v>
      </c>
      <c r="E674" s="95">
        <v>16765970</v>
      </c>
      <c r="F674" s="95" t="s">
        <v>653</v>
      </c>
      <c r="G674" s="95" t="s">
        <v>890</v>
      </c>
      <c r="H674" s="95" t="s">
        <v>653</v>
      </c>
      <c r="I674" s="95" t="s">
        <v>935</v>
      </c>
    </row>
    <row r="675" spans="1:9" ht="14.1" customHeight="1" x14ac:dyDescent="0.2">
      <c r="A675" s="95" t="s">
        <v>1952</v>
      </c>
      <c r="B675" s="95">
        <v>33</v>
      </c>
      <c r="C675" s="95" t="s">
        <v>540</v>
      </c>
      <c r="D675" s="95">
        <v>2012</v>
      </c>
      <c r="E675" s="95">
        <v>5159170</v>
      </c>
      <c r="F675" s="95" t="s">
        <v>653</v>
      </c>
      <c r="G675" s="95" t="s">
        <v>924</v>
      </c>
      <c r="H675" s="95" t="s">
        <v>653</v>
      </c>
      <c r="I675" s="95" t="s">
        <v>930</v>
      </c>
    </row>
    <row r="676" spans="1:9" ht="14.1" customHeight="1" x14ac:dyDescent="0.2">
      <c r="A676" s="95" t="s">
        <v>1953</v>
      </c>
      <c r="B676" s="95">
        <v>33</v>
      </c>
      <c r="C676" s="95" t="s">
        <v>542</v>
      </c>
      <c r="D676" s="95">
        <v>2012</v>
      </c>
      <c r="E676" s="95">
        <v>941630</v>
      </c>
      <c r="F676" s="95" t="s">
        <v>653</v>
      </c>
      <c r="G676" s="95" t="s">
        <v>936</v>
      </c>
      <c r="H676" s="95" t="s">
        <v>653</v>
      </c>
      <c r="I676" s="95" t="s">
        <v>937</v>
      </c>
    </row>
    <row r="677" spans="1:9" ht="14.1" customHeight="1" x14ac:dyDescent="0.2">
      <c r="A677" s="95" t="s">
        <v>1954</v>
      </c>
      <c r="B677" s="95">
        <v>33</v>
      </c>
      <c r="C677" s="95" t="s">
        <v>544</v>
      </c>
      <c r="D677" s="95">
        <v>2012</v>
      </c>
      <c r="E677" s="95">
        <v>3289830</v>
      </c>
      <c r="F677" s="95" t="s">
        <v>653</v>
      </c>
      <c r="G677" s="95" t="s">
        <v>938</v>
      </c>
      <c r="H677" s="95" t="s">
        <v>653</v>
      </c>
      <c r="I677" s="95" t="s">
        <v>932</v>
      </c>
    </row>
    <row r="678" spans="1:9" ht="14.1" customHeight="1" x14ac:dyDescent="0.2">
      <c r="A678" s="95" t="s">
        <v>1955</v>
      </c>
      <c r="B678" s="95">
        <v>33</v>
      </c>
      <c r="C678" s="95" t="s">
        <v>546</v>
      </c>
      <c r="D678" s="95">
        <v>2012</v>
      </c>
      <c r="E678" s="95">
        <v>3514660</v>
      </c>
      <c r="F678" s="95" t="s">
        <v>653</v>
      </c>
      <c r="G678" s="95" t="s">
        <v>939</v>
      </c>
      <c r="H678" s="95" t="s">
        <v>653</v>
      </c>
      <c r="I678" s="95" t="s">
        <v>940</v>
      </c>
    </row>
    <row r="679" spans="1:9" ht="14.1" customHeight="1" x14ac:dyDescent="0.2">
      <c r="A679" s="95" t="s">
        <v>1956</v>
      </c>
      <c r="B679" s="95">
        <v>33</v>
      </c>
      <c r="C679" s="95" t="s">
        <v>548</v>
      </c>
      <c r="D679" s="95">
        <v>2012</v>
      </c>
      <c r="E679" s="95">
        <v>33492230</v>
      </c>
      <c r="F679" s="95" t="s">
        <v>653</v>
      </c>
      <c r="G679" s="95" t="s">
        <v>565</v>
      </c>
      <c r="H679" s="95" t="s">
        <v>653</v>
      </c>
      <c r="I679" s="95" t="s">
        <v>802</v>
      </c>
    </row>
    <row r="680" spans="1:9" ht="14.1" customHeight="1" x14ac:dyDescent="0.2">
      <c r="A680" s="95" t="s">
        <v>1957</v>
      </c>
      <c r="B680" s="95">
        <v>33</v>
      </c>
      <c r="C680" s="95" t="s">
        <v>483</v>
      </c>
      <c r="D680" s="95">
        <v>2012</v>
      </c>
      <c r="E680" s="95">
        <v>525410</v>
      </c>
      <c r="F680" s="95" t="s">
        <v>653</v>
      </c>
      <c r="G680" s="95" t="s">
        <v>565</v>
      </c>
      <c r="H680" s="95" t="s">
        <v>653</v>
      </c>
      <c r="I680" s="95" t="s">
        <v>802</v>
      </c>
    </row>
    <row r="681" spans="1:9" ht="14.1" customHeight="1" x14ac:dyDescent="0.2">
      <c r="A681" s="95" t="s">
        <v>1958</v>
      </c>
      <c r="B681" s="95">
        <v>33</v>
      </c>
      <c r="C681" s="95" t="s">
        <v>488</v>
      </c>
      <c r="D681" s="95">
        <v>2012</v>
      </c>
      <c r="E681" s="95">
        <v>33360410</v>
      </c>
      <c r="F681" s="95" t="s">
        <v>653</v>
      </c>
      <c r="G681" s="95">
        <v>0</v>
      </c>
      <c r="H681" s="95" t="s">
        <v>653</v>
      </c>
      <c r="I681" s="95">
        <v>0</v>
      </c>
    </row>
    <row r="682" spans="1:9" ht="14.1" customHeight="1" x14ac:dyDescent="0.2">
      <c r="A682" s="95" t="s">
        <v>1959</v>
      </c>
      <c r="B682" s="95">
        <v>33</v>
      </c>
      <c r="C682" s="95" t="s">
        <v>487</v>
      </c>
      <c r="D682" s="95">
        <v>2012</v>
      </c>
      <c r="E682" s="95">
        <v>5448750</v>
      </c>
      <c r="F682" s="95" t="s">
        <v>653</v>
      </c>
      <c r="G682" s="95" t="s">
        <v>565</v>
      </c>
      <c r="H682" s="95" t="s">
        <v>653</v>
      </c>
      <c r="I682" s="95" t="s">
        <v>802</v>
      </c>
    </row>
    <row r="683" spans="1:9" ht="14.1" customHeight="1" x14ac:dyDescent="0.2">
      <c r="A683" s="95" t="s">
        <v>1960</v>
      </c>
      <c r="B683" s="95">
        <v>33</v>
      </c>
      <c r="C683" s="95" t="s">
        <v>486</v>
      </c>
      <c r="D683" s="95">
        <v>2012</v>
      </c>
      <c r="E683" s="95">
        <v>3542460</v>
      </c>
      <c r="F683" s="95" t="s">
        <v>653</v>
      </c>
      <c r="G683" s="95" t="s">
        <v>565</v>
      </c>
      <c r="H683" s="95" t="s">
        <v>653</v>
      </c>
      <c r="I683" s="95" t="s">
        <v>802</v>
      </c>
    </row>
    <row r="684" spans="1:9" ht="14.1" customHeight="1" x14ac:dyDescent="0.2">
      <c r="A684" s="95" t="s">
        <v>1961</v>
      </c>
      <c r="B684" s="95">
        <v>33</v>
      </c>
      <c r="C684" s="95" t="s">
        <v>482</v>
      </c>
      <c r="D684" s="95">
        <v>2012</v>
      </c>
      <c r="E684" s="95">
        <v>6726000</v>
      </c>
      <c r="F684" s="95" t="s">
        <v>653</v>
      </c>
      <c r="G684" s="95" t="s">
        <v>565</v>
      </c>
      <c r="H684" s="95" t="s">
        <v>653</v>
      </c>
      <c r="I684" s="95" t="s">
        <v>802</v>
      </c>
    </row>
    <row r="685" spans="1:9" ht="14.1" customHeight="1" x14ac:dyDescent="0.2">
      <c r="A685" s="95" t="s">
        <v>1962</v>
      </c>
      <c r="B685" s="95">
        <v>33</v>
      </c>
      <c r="C685" s="95" t="s">
        <v>490</v>
      </c>
      <c r="D685" s="95">
        <v>2012</v>
      </c>
      <c r="E685" s="95">
        <v>3142220</v>
      </c>
      <c r="F685" s="95" t="s">
        <v>653</v>
      </c>
      <c r="G685" s="95" t="s">
        <v>565</v>
      </c>
      <c r="H685" s="95" t="s">
        <v>653</v>
      </c>
      <c r="I685" s="95" t="s">
        <v>802</v>
      </c>
    </row>
    <row r="686" spans="1:9" ht="14.1" customHeight="1" x14ac:dyDescent="0.2">
      <c r="A686" s="95" t="s">
        <v>1963</v>
      </c>
      <c r="B686" s="95">
        <v>33</v>
      </c>
      <c r="C686" s="95" t="s">
        <v>481</v>
      </c>
      <c r="D686" s="95">
        <v>2012</v>
      </c>
      <c r="E686" s="95">
        <v>166367730</v>
      </c>
      <c r="F686" s="95" t="s">
        <v>653</v>
      </c>
      <c r="G686" s="95">
        <v>0</v>
      </c>
      <c r="H686" s="95" t="s">
        <v>653</v>
      </c>
      <c r="I686" s="95">
        <v>0</v>
      </c>
    </row>
    <row r="687" spans="1:9" ht="14.1" customHeight="1" x14ac:dyDescent="0.2">
      <c r="A687" s="95" t="s">
        <v>1964</v>
      </c>
      <c r="B687" s="95">
        <v>33</v>
      </c>
      <c r="C687" s="95" t="s">
        <v>484</v>
      </c>
      <c r="D687" s="95">
        <v>2012</v>
      </c>
      <c r="E687" s="95">
        <v>1972450</v>
      </c>
      <c r="F687" s="95" t="s">
        <v>653</v>
      </c>
      <c r="G687" s="95" t="s">
        <v>565</v>
      </c>
      <c r="H687" s="95" t="s">
        <v>653</v>
      </c>
      <c r="I687" s="95" t="s">
        <v>802</v>
      </c>
    </row>
    <row r="688" spans="1:9" ht="14.1" customHeight="1" x14ac:dyDescent="0.2">
      <c r="A688" s="95" t="s">
        <v>1965</v>
      </c>
      <c r="B688" s="95">
        <v>33</v>
      </c>
      <c r="C688" s="95" t="s">
        <v>485</v>
      </c>
      <c r="D688" s="95">
        <v>2012</v>
      </c>
      <c r="E688" s="95">
        <v>5288720</v>
      </c>
      <c r="F688" s="95" t="s">
        <v>653</v>
      </c>
      <c r="G688" s="95" t="s">
        <v>565</v>
      </c>
      <c r="H688" s="95" t="s">
        <v>653</v>
      </c>
      <c r="I688" s="95" t="s">
        <v>802</v>
      </c>
    </row>
    <row r="689" spans="1:9" ht="14.1" customHeight="1" x14ac:dyDescent="0.2">
      <c r="A689" s="95" t="s">
        <v>1966</v>
      </c>
      <c r="B689" s="95">
        <v>33</v>
      </c>
      <c r="C689" s="95" t="s">
        <v>489</v>
      </c>
      <c r="D689" s="95">
        <v>2012</v>
      </c>
      <c r="E689" s="95">
        <v>4170530</v>
      </c>
      <c r="F689" s="95" t="s">
        <v>653</v>
      </c>
      <c r="G689" s="95" t="s">
        <v>565</v>
      </c>
      <c r="H689" s="95" t="s">
        <v>653</v>
      </c>
      <c r="I689" s="95" t="s">
        <v>802</v>
      </c>
    </row>
    <row r="690" spans="1:9" ht="14.1" customHeight="1" x14ac:dyDescent="0.2">
      <c r="A690" s="95" t="s">
        <v>1967</v>
      </c>
      <c r="B690" s="95">
        <v>34</v>
      </c>
      <c r="C690" s="95" t="s">
        <v>518</v>
      </c>
      <c r="D690" s="95">
        <v>2012</v>
      </c>
      <c r="E690" s="95">
        <v>335105</v>
      </c>
      <c r="F690" s="95" t="s">
        <v>825</v>
      </c>
      <c r="G690" s="95">
        <v>0</v>
      </c>
      <c r="H690" s="95" t="s">
        <v>825</v>
      </c>
      <c r="I690" s="95">
        <v>0</v>
      </c>
    </row>
    <row r="691" spans="1:9" ht="14.1" customHeight="1" x14ac:dyDescent="0.2">
      <c r="A691" s="95" t="s">
        <v>1968</v>
      </c>
      <c r="B691" s="95">
        <v>34</v>
      </c>
      <c r="C691" s="95" t="s">
        <v>524</v>
      </c>
      <c r="D691" s="95">
        <v>2012</v>
      </c>
      <c r="E691" s="95">
        <v>1152306</v>
      </c>
      <c r="F691" s="95" t="s">
        <v>941</v>
      </c>
      <c r="G691" s="95">
        <v>0</v>
      </c>
      <c r="H691" s="95" t="s">
        <v>941</v>
      </c>
      <c r="I691" s="95">
        <v>0</v>
      </c>
    </row>
    <row r="692" spans="1:9" ht="14.1" customHeight="1" x14ac:dyDescent="0.2">
      <c r="A692" s="95" t="s">
        <v>1969</v>
      </c>
      <c r="B692" s="95">
        <v>34</v>
      </c>
      <c r="C692" s="95" t="s">
        <v>540</v>
      </c>
      <c r="D692" s="95">
        <v>2012</v>
      </c>
      <c r="E692" s="95">
        <v>8119.9519700000001</v>
      </c>
      <c r="F692" s="95" t="s">
        <v>587</v>
      </c>
      <c r="G692" s="95">
        <v>0</v>
      </c>
      <c r="H692" s="95" t="s">
        <v>587</v>
      </c>
      <c r="I692" s="95">
        <v>0</v>
      </c>
    </row>
    <row r="693" spans="1:9" ht="14.1" customHeight="1" x14ac:dyDescent="0.2">
      <c r="A693" s="95" t="s">
        <v>1970</v>
      </c>
      <c r="B693" s="95">
        <v>34</v>
      </c>
      <c r="C693" s="95" t="s">
        <v>546</v>
      </c>
      <c r="D693" s="95">
        <v>2012</v>
      </c>
      <c r="E693" s="95">
        <v>6306.4</v>
      </c>
      <c r="F693" s="95" t="s">
        <v>589</v>
      </c>
      <c r="G693" s="95" t="s">
        <v>573</v>
      </c>
      <c r="H693" s="95" t="s">
        <v>589</v>
      </c>
      <c r="I693" s="95" t="s">
        <v>816</v>
      </c>
    </row>
    <row r="694" spans="1:9" ht="14.1" customHeight="1" x14ac:dyDescent="0.2">
      <c r="A694" s="95" t="s">
        <v>1971</v>
      </c>
      <c r="B694" s="95">
        <v>34</v>
      </c>
      <c r="C694" s="95" t="s">
        <v>483</v>
      </c>
      <c r="D694" s="95">
        <v>2012</v>
      </c>
      <c r="E694" s="95">
        <v>284.52</v>
      </c>
      <c r="F694" s="95" t="s">
        <v>815</v>
      </c>
      <c r="G694" s="95" t="s">
        <v>573</v>
      </c>
      <c r="H694" s="95" t="s">
        <v>815</v>
      </c>
      <c r="I694" s="95" t="s">
        <v>816</v>
      </c>
    </row>
    <row r="695" spans="1:9" ht="14.1" customHeight="1" x14ac:dyDescent="0.2">
      <c r="A695" s="95" t="s">
        <v>1972</v>
      </c>
      <c r="B695" s="95">
        <v>34</v>
      </c>
      <c r="C695" s="95" t="s">
        <v>488</v>
      </c>
      <c r="D695" s="95">
        <v>2012</v>
      </c>
      <c r="E695" s="95">
        <v>65688</v>
      </c>
      <c r="F695" s="95" t="s">
        <v>942</v>
      </c>
      <c r="G695" s="95">
        <v>0</v>
      </c>
      <c r="H695" s="95" t="s">
        <v>942</v>
      </c>
      <c r="I695" s="95">
        <v>0</v>
      </c>
    </row>
    <row r="696" spans="1:9" ht="14.1" customHeight="1" x14ac:dyDescent="0.2">
      <c r="A696" s="95" t="s">
        <v>1973</v>
      </c>
      <c r="B696" s="95">
        <v>34</v>
      </c>
      <c r="C696" s="95" t="s">
        <v>487</v>
      </c>
      <c r="D696" s="95">
        <v>2012</v>
      </c>
      <c r="E696" s="95">
        <v>5513.45</v>
      </c>
      <c r="F696" s="95" t="s">
        <v>815</v>
      </c>
      <c r="G696" s="95" t="s">
        <v>573</v>
      </c>
      <c r="H696" s="95" t="s">
        <v>815</v>
      </c>
      <c r="I696" s="95" t="s">
        <v>816</v>
      </c>
    </row>
    <row r="697" spans="1:9" ht="14.1" customHeight="1" x14ac:dyDescent="0.2">
      <c r="A697" s="95" t="s">
        <v>1974</v>
      </c>
      <c r="B697" s="95">
        <v>34</v>
      </c>
      <c r="C697" s="95" t="s">
        <v>486</v>
      </c>
      <c r="D697" s="95">
        <v>2012</v>
      </c>
      <c r="E697" s="95">
        <v>3068.2</v>
      </c>
      <c r="F697" s="95" t="s">
        <v>815</v>
      </c>
      <c r="G697" s="95" t="s">
        <v>573</v>
      </c>
      <c r="H697" s="95" t="s">
        <v>815</v>
      </c>
      <c r="I697" s="95" t="s">
        <v>816</v>
      </c>
    </row>
    <row r="698" spans="1:9" ht="14.1" customHeight="1" x14ac:dyDescent="0.2">
      <c r="A698" s="95" t="s">
        <v>1975</v>
      </c>
      <c r="B698" s="95">
        <v>34</v>
      </c>
      <c r="C698" s="95" t="s">
        <v>482</v>
      </c>
      <c r="D698" s="95">
        <v>2012</v>
      </c>
      <c r="E698" s="95">
        <v>7285.8</v>
      </c>
      <c r="F698" s="95" t="s">
        <v>815</v>
      </c>
      <c r="G698" s="95" t="s">
        <v>573</v>
      </c>
      <c r="H698" s="95" t="s">
        <v>815</v>
      </c>
      <c r="I698" s="95" t="s">
        <v>816</v>
      </c>
    </row>
    <row r="699" spans="1:9" ht="14.1" customHeight="1" x14ac:dyDescent="0.2">
      <c r="A699" s="95" t="s">
        <v>1976</v>
      </c>
      <c r="B699" s="95">
        <v>34</v>
      </c>
      <c r="C699" s="95" t="s">
        <v>490</v>
      </c>
      <c r="D699" s="95">
        <v>2012</v>
      </c>
      <c r="E699" s="95">
        <v>1217.8</v>
      </c>
      <c r="F699" s="95" t="s">
        <v>815</v>
      </c>
      <c r="G699" s="95">
        <v>0</v>
      </c>
      <c r="H699" s="95" t="s">
        <v>815</v>
      </c>
      <c r="I699" s="95">
        <v>0</v>
      </c>
    </row>
    <row r="700" spans="1:9" ht="14.1" customHeight="1" x14ac:dyDescent="0.2">
      <c r="A700" s="95" t="s">
        <v>1977</v>
      </c>
      <c r="B700" s="95">
        <v>34</v>
      </c>
      <c r="C700" s="95" t="s">
        <v>481</v>
      </c>
      <c r="D700" s="95">
        <v>2012</v>
      </c>
      <c r="E700" s="95">
        <v>233464</v>
      </c>
      <c r="F700" s="95" t="s">
        <v>3073</v>
      </c>
      <c r="G700" s="95">
        <v>0</v>
      </c>
      <c r="H700" s="95" t="s">
        <v>3073</v>
      </c>
      <c r="I700" s="95">
        <v>0</v>
      </c>
    </row>
    <row r="701" spans="1:9" ht="14.1" customHeight="1" x14ac:dyDescent="0.2">
      <c r="A701" s="95" t="s">
        <v>1978</v>
      </c>
      <c r="B701" s="95">
        <v>34</v>
      </c>
      <c r="C701" s="95" t="s">
        <v>484</v>
      </c>
      <c r="D701" s="95">
        <v>2012</v>
      </c>
      <c r="E701" s="95">
        <v>630.34</v>
      </c>
      <c r="F701" s="95" t="s">
        <v>815</v>
      </c>
      <c r="G701" s="95" t="s">
        <v>573</v>
      </c>
      <c r="H701" s="95" t="s">
        <v>815</v>
      </c>
      <c r="I701" s="95" t="s">
        <v>816</v>
      </c>
    </row>
    <row r="702" spans="1:9" ht="14.1" customHeight="1" x14ac:dyDescent="0.2">
      <c r="A702" s="95" t="s">
        <v>1979</v>
      </c>
      <c r="B702" s="95">
        <v>34</v>
      </c>
      <c r="C702" s="95" t="s">
        <v>485</v>
      </c>
      <c r="D702" s="95">
        <v>2012</v>
      </c>
      <c r="E702" s="95">
        <v>833.36</v>
      </c>
      <c r="F702" s="95" t="s">
        <v>815</v>
      </c>
      <c r="G702" s="95" t="s">
        <v>573</v>
      </c>
      <c r="H702" s="95" t="s">
        <v>815</v>
      </c>
      <c r="I702" s="95" t="s">
        <v>816</v>
      </c>
    </row>
    <row r="703" spans="1:9" ht="14.1" customHeight="1" x14ac:dyDescent="0.2">
      <c r="A703" s="95" t="s">
        <v>1980</v>
      </c>
      <c r="B703" s="95">
        <v>35</v>
      </c>
      <c r="C703" s="95" t="s">
        <v>518</v>
      </c>
      <c r="D703" s="95">
        <v>2012</v>
      </c>
      <c r="E703" s="95">
        <v>670211000</v>
      </c>
      <c r="F703" s="95" t="s">
        <v>825</v>
      </c>
      <c r="G703" s="95">
        <v>0</v>
      </c>
      <c r="H703" s="95" t="s">
        <v>825</v>
      </c>
      <c r="I703" s="95">
        <v>0</v>
      </c>
    </row>
    <row r="704" spans="1:9" ht="14.1" customHeight="1" x14ac:dyDescent="0.2">
      <c r="A704" s="95" t="s">
        <v>1981</v>
      </c>
      <c r="B704" s="95">
        <v>35</v>
      </c>
      <c r="C704" s="95" t="s">
        <v>524</v>
      </c>
      <c r="D704" s="95">
        <v>2012</v>
      </c>
      <c r="E704" s="95">
        <v>1665873710</v>
      </c>
      <c r="F704" s="95" t="s">
        <v>943</v>
      </c>
      <c r="G704" s="95" t="s">
        <v>573</v>
      </c>
      <c r="H704" s="95" t="s">
        <v>943</v>
      </c>
      <c r="I704" s="95" t="s">
        <v>816</v>
      </c>
    </row>
    <row r="705" spans="1:9" ht="14.1" customHeight="1" x14ac:dyDescent="0.2">
      <c r="A705" s="95" t="s">
        <v>1982</v>
      </c>
      <c r="B705" s="95">
        <v>35</v>
      </c>
      <c r="C705" s="95" t="s">
        <v>528</v>
      </c>
      <c r="D705" s="95">
        <v>2012</v>
      </c>
      <c r="E705" s="95">
        <v>500744230</v>
      </c>
      <c r="F705" s="95" t="s">
        <v>905</v>
      </c>
      <c r="G705" s="95" t="s">
        <v>944</v>
      </c>
      <c r="H705" s="95" t="s">
        <v>905</v>
      </c>
      <c r="I705" s="95" t="s">
        <v>945</v>
      </c>
    </row>
    <row r="706" spans="1:9" ht="14.1" customHeight="1" x14ac:dyDescent="0.2">
      <c r="A706" s="95" t="s">
        <v>1983</v>
      </c>
      <c r="B706" s="95">
        <v>35</v>
      </c>
      <c r="C706" s="95" t="s">
        <v>540</v>
      </c>
      <c r="D706" s="95">
        <v>2012</v>
      </c>
      <c r="E706" s="95">
        <v>39315970</v>
      </c>
      <c r="F706" s="95" t="s">
        <v>587</v>
      </c>
      <c r="G706" s="95" t="s">
        <v>573</v>
      </c>
      <c r="H706" s="95" t="s">
        <v>587</v>
      </c>
      <c r="I706" s="95" t="s">
        <v>816</v>
      </c>
    </row>
    <row r="707" spans="1:9" ht="14.1" customHeight="1" x14ac:dyDescent="0.2">
      <c r="A707" s="95" t="s">
        <v>1984</v>
      </c>
      <c r="B707" s="95">
        <v>35</v>
      </c>
      <c r="C707" s="95" t="s">
        <v>546</v>
      </c>
      <c r="D707" s="95">
        <v>2012</v>
      </c>
      <c r="E707" s="95">
        <v>30408158</v>
      </c>
      <c r="F707" s="95" t="s">
        <v>589</v>
      </c>
      <c r="G707" s="95" t="s">
        <v>573</v>
      </c>
      <c r="H707" s="95" t="s">
        <v>589</v>
      </c>
      <c r="I707" s="95" t="s">
        <v>816</v>
      </c>
    </row>
    <row r="708" spans="1:9" ht="14.1" customHeight="1" x14ac:dyDescent="0.2">
      <c r="A708" s="95" t="s">
        <v>1985</v>
      </c>
      <c r="B708" s="95">
        <v>35</v>
      </c>
      <c r="C708" s="95" t="s">
        <v>483</v>
      </c>
      <c r="D708" s="95">
        <v>2012</v>
      </c>
      <c r="E708" s="95">
        <v>2071774</v>
      </c>
      <c r="F708" s="95" t="s">
        <v>815</v>
      </c>
      <c r="G708" s="95" t="s">
        <v>573</v>
      </c>
      <c r="H708" s="95" t="s">
        <v>815</v>
      </c>
      <c r="I708" s="95" t="s">
        <v>816</v>
      </c>
    </row>
    <row r="709" spans="1:9" ht="14.1" customHeight="1" x14ac:dyDescent="0.2">
      <c r="A709" s="95" t="s">
        <v>1986</v>
      </c>
      <c r="B709" s="95">
        <v>35</v>
      </c>
      <c r="C709" s="95" t="s">
        <v>488</v>
      </c>
      <c r="D709" s="95">
        <v>2012</v>
      </c>
      <c r="E709" s="95">
        <v>199369000</v>
      </c>
      <c r="F709" s="95" t="s">
        <v>836</v>
      </c>
      <c r="G709" s="95">
        <v>0</v>
      </c>
      <c r="H709" s="95" t="s">
        <v>836</v>
      </c>
      <c r="I709" s="95">
        <v>0</v>
      </c>
    </row>
    <row r="710" spans="1:9" ht="14.1" customHeight="1" x14ac:dyDescent="0.2">
      <c r="A710" s="95" t="s">
        <v>1987</v>
      </c>
      <c r="B710" s="95">
        <v>35</v>
      </c>
      <c r="C710" s="95" t="s">
        <v>487</v>
      </c>
      <c r="D710" s="95">
        <v>2012</v>
      </c>
      <c r="E710" s="95">
        <v>2272</v>
      </c>
      <c r="F710" s="95" t="s">
        <v>3081</v>
      </c>
      <c r="G710" s="95">
        <v>0</v>
      </c>
      <c r="H710" s="95" t="s">
        <v>3081</v>
      </c>
      <c r="I710" s="95">
        <v>0</v>
      </c>
    </row>
    <row r="711" spans="1:9" ht="14.1" customHeight="1" x14ac:dyDescent="0.2">
      <c r="A711" s="95" t="s">
        <v>1988</v>
      </c>
      <c r="B711" s="95">
        <v>35</v>
      </c>
      <c r="C711" s="95" t="s">
        <v>486</v>
      </c>
      <c r="D711" s="95">
        <v>2012</v>
      </c>
      <c r="E711" s="95">
        <v>10128102</v>
      </c>
      <c r="F711" s="95" t="s">
        <v>815</v>
      </c>
      <c r="G711" s="95" t="s">
        <v>573</v>
      </c>
      <c r="H711" s="95" t="s">
        <v>815</v>
      </c>
      <c r="I711" s="95" t="s">
        <v>816</v>
      </c>
    </row>
    <row r="712" spans="1:9" ht="14.1" customHeight="1" x14ac:dyDescent="0.2">
      <c r="A712" s="95" t="s">
        <v>1989</v>
      </c>
      <c r="B712" s="95">
        <v>35</v>
      </c>
      <c r="C712" s="95" t="s">
        <v>482</v>
      </c>
      <c r="D712" s="95">
        <v>2012</v>
      </c>
      <c r="E712" s="95">
        <v>24104520</v>
      </c>
      <c r="F712" s="95" t="s">
        <v>815</v>
      </c>
      <c r="G712" s="95" t="s">
        <v>573</v>
      </c>
      <c r="H712" s="95" t="s">
        <v>815</v>
      </c>
      <c r="I712" s="95" t="s">
        <v>816</v>
      </c>
    </row>
    <row r="713" spans="1:9" ht="14.1" customHeight="1" x14ac:dyDescent="0.2">
      <c r="A713" s="95" t="s">
        <v>1990</v>
      </c>
      <c r="B713" s="95">
        <v>35</v>
      </c>
      <c r="C713" s="95" t="s">
        <v>490</v>
      </c>
      <c r="D713" s="95">
        <v>2012</v>
      </c>
      <c r="E713" s="95">
        <v>7886290</v>
      </c>
      <c r="F713" s="95" t="s">
        <v>815</v>
      </c>
      <c r="G713" s="95">
        <v>0</v>
      </c>
      <c r="H713" s="95" t="s">
        <v>815</v>
      </c>
      <c r="I713" s="95">
        <v>0</v>
      </c>
    </row>
    <row r="714" spans="1:9" ht="14.1" customHeight="1" x14ac:dyDescent="0.2">
      <c r="A714" s="95" t="s">
        <v>1991</v>
      </c>
      <c r="B714" s="95">
        <v>35</v>
      </c>
      <c r="C714" s="95" t="s">
        <v>481</v>
      </c>
      <c r="D714" s="95">
        <v>2012</v>
      </c>
      <c r="E714" s="95">
        <v>498147000</v>
      </c>
      <c r="F714" s="95" t="s">
        <v>3073</v>
      </c>
      <c r="G714" s="95">
        <v>0</v>
      </c>
      <c r="H714" s="95" t="s">
        <v>3073</v>
      </c>
      <c r="I714" s="95">
        <v>0</v>
      </c>
    </row>
    <row r="715" spans="1:9" ht="14.1" customHeight="1" x14ac:dyDescent="0.2">
      <c r="A715" s="95" t="s">
        <v>1992</v>
      </c>
      <c r="B715" s="95">
        <v>35</v>
      </c>
      <c r="C715" s="95" t="s">
        <v>484</v>
      </c>
      <c r="D715" s="95">
        <v>2012</v>
      </c>
      <c r="E715" s="95">
        <v>5899806.7000000002</v>
      </c>
      <c r="F715" s="95" t="s">
        <v>815</v>
      </c>
      <c r="G715" s="95">
        <v>0</v>
      </c>
      <c r="H715" s="95" t="s">
        <v>815</v>
      </c>
      <c r="I715" s="95">
        <v>0</v>
      </c>
    </row>
    <row r="716" spans="1:9" ht="14.1" customHeight="1" x14ac:dyDescent="0.2">
      <c r="A716" s="95" t="s">
        <v>1993</v>
      </c>
      <c r="B716" s="95">
        <v>35</v>
      </c>
      <c r="C716" s="95" t="s">
        <v>485</v>
      </c>
      <c r="D716" s="95">
        <v>2012</v>
      </c>
      <c r="E716" s="95">
        <v>8006276</v>
      </c>
      <c r="F716" s="95" t="s">
        <v>815</v>
      </c>
      <c r="G716" s="95" t="s">
        <v>573</v>
      </c>
      <c r="H716" s="95" t="s">
        <v>815</v>
      </c>
      <c r="I716" s="95" t="s">
        <v>816</v>
      </c>
    </row>
    <row r="717" spans="1:9" ht="14.1" customHeight="1" x14ac:dyDescent="0.2">
      <c r="A717" s="95" t="s">
        <v>1994</v>
      </c>
      <c r="B717" s="95">
        <v>36</v>
      </c>
      <c r="C717" s="95" t="s">
        <v>518</v>
      </c>
      <c r="D717" s="95">
        <v>2012</v>
      </c>
      <c r="E717" s="95">
        <v>500</v>
      </c>
      <c r="F717" s="95" t="s">
        <v>3076</v>
      </c>
      <c r="G717" s="95">
        <v>0</v>
      </c>
      <c r="H717" s="95" t="s">
        <v>3076</v>
      </c>
      <c r="I717" s="95">
        <v>0</v>
      </c>
    </row>
    <row r="718" spans="1:9" ht="14.1" customHeight="1" x14ac:dyDescent="0.2">
      <c r="A718" s="95" t="s">
        <v>1995</v>
      </c>
      <c r="B718" s="95">
        <v>36</v>
      </c>
      <c r="C718" s="95" t="s">
        <v>524</v>
      </c>
      <c r="D718" s="95">
        <v>2012</v>
      </c>
      <c r="E718" s="95">
        <v>691.71269891761494</v>
      </c>
      <c r="F718" s="95" t="s">
        <v>943</v>
      </c>
      <c r="G718" s="95">
        <v>0</v>
      </c>
      <c r="H718" s="95" t="s">
        <v>943</v>
      </c>
      <c r="I718" s="95">
        <v>0</v>
      </c>
    </row>
    <row r="719" spans="1:9" ht="14.1" customHeight="1" x14ac:dyDescent="0.2">
      <c r="A719" s="95" t="s">
        <v>1996</v>
      </c>
      <c r="B719" s="95">
        <v>36</v>
      </c>
      <c r="C719" s="95" t="s">
        <v>532</v>
      </c>
      <c r="D719" s="95">
        <v>2012</v>
      </c>
      <c r="E719" s="95">
        <v>9</v>
      </c>
      <c r="F719" s="95" t="s">
        <v>509</v>
      </c>
      <c r="G719" s="95">
        <v>0</v>
      </c>
      <c r="H719" s="95" t="s">
        <v>509</v>
      </c>
      <c r="I719" s="95">
        <v>0</v>
      </c>
    </row>
    <row r="720" spans="1:9" ht="14.1" customHeight="1" x14ac:dyDescent="0.2">
      <c r="A720" s="95" t="s">
        <v>1997</v>
      </c>
      <c r="B720" s="95">
        <v>36</v>
      </c>
      <c r="C720" s="95" t="s">
        <v>540</v>
      </c>
      <c r="D720" s="95">
        <v>2012</v>
      </c>
      <c r="E720" s="95">
        <v>206.53062788480099</v>
      </c>
      <c r="F720" s="95" t="s">
        <v>946</v>
      </c>
      <c r="G720" s="95" t="s">
        <v>573</v>
      </c>
      <c r="H720" s="95" t="s">
        <v>946</v>
      </c>
      <c r="I720" s="95" t="s">
        <v>816</v>
      </c>
    </row>
    <row r="721" spans="1:9" ht="14.1" customHeight="1" x14ac:dyDescent="0.2">
      <c r="A721" s="95" t="s">
        <v>1998</v>
      </c>
      <c r="B721" s="95">
        <v>36</v>
      </c>
      <c r="C721" s="95" t="s">
        <v>546</v>
      </c>
      <c r="D721" s="95">
        <v>2012</v>
      </c>
      <c r="E721" s="95">
        <v>207</v>
      </c>
      <c r="F721" s="95" t="s">
        <v>589</v>
      </c>
      <c r="G721" s="95">
        <v>0</v>
      </c>
      <c r="H721" s="95" t="s">
        <v>589</v>
      </c>
      <c r="I721" s="95">
        <v>0</v>
      </c>
    </row>
    <row r="722" spans="1:9" ht="14.1" customHeight="1" x14ac:dyDescent="0.2">
      <c r="A722" s="95" t="s">
        <v>1999</v>
      </c>
      <c r="B722" s="95">
        <v>36</v>
      </c>
      <c r="C722" s="95" t="s">
        <v>483</v>
      </c>
      <c r="D722" s="95">
        <v>2012</v>
      </c>
      <c r="E722" s="95">
        <v>137</v>
      </c>
      <c r="F722" s="95" t="s">
        <v>815</v>
      </c>
      <c r="G722" s="95">
        <v>0</v>
      </c>
      <c r="H722" s="95" t="s">
        <v>815</v>
      </c>
      <c r="I722" s="95">
        <v>0</v>
      </c>
    </row>
    <row r="723" spans="1:9" ht="14.1" customHeight="1" x14ac:dyDescent="0.2">
      <c r="A723" s="95" t="s">
        <v>2000</v>
      </c>
      <c r="B723" s="95">
        <v>36</v>
      </c>
      <c r="C723" s="95" t="s">
        <v>488</v>
      </c>
      <c r="D723" s="95">
        <v>2012</v>
      </c>
      <c r="E723" s="95">
        <v>397</v>
      </c>
      <c r="F723" s="95" t="s">
        <v>942</v>
      </c>
      <c r="G723" s="95">
        <v>0</v>
      </c>
      <c r="H723" s="95" t="s">
        <v>942</v>
      </c>
      <c r="I723" s="95">
        <v>0</v>
      </c>
    </row>
    <row r="724" spans="1:9" ht="14.1" customHeight="1" x14ac:dyDescent="0.2">
      <c r="A724" s="95" t="s">
        <v>2001</v>
      </c>
      <c r="B724" s="95">
        <v>36</v>
      </c>
      <c r="C724" s="95" t="s">
        <v>487</v>
      </c>
      <c r="D724" s="95">
        <v>2012</v>
      </c>
      <c r="E724" s="95">
        <v>224.15</v>
      </c>
      <c r="F724" s="95" t="s">
        <v>815</v>
      </c>
      <c r="G724" s="95">
        <v>0</v>
      </c>
      <c r="H724" s="95" t="s">
        <v>815</v>
      </c>
      <c r="I724" s="95">
        <v>0</v>
      </c>
    </row>
    <row r="725" spans="1:9" ht="14.1" customHeight="1" x14ac:dyDescent="0.2">
      <c r="A725" s="95" t="s">
        <v>2002</v>
      </c>
      <c r="B725" s="95">
        <v>36</v>
      </c>
      <c r="C725" s="95" t="s">
        <v>486</v>
      </c>
      <c r="D725" s="95">
        <v>2012</v>
      </c>
      <c r="E725" s="95">
        <v>302.89999999999998</v>
      </c>
      <c r="F725" s="95" t="s">
        <v>815</v>
      </c>
      <c r="G725" s="95">
        <v>0</v>
      </c>
      <c r="H725" s="95" t="s">
        <v>815</v>
      </c>
      <c r="I725" s="95">
        <v>0</v>
      </c>
    </row>
    <row r="726" spans="1:9" ht="14.1" customHeight="1" x14ac:dyDescent="0.2">
      <c r="A726" s="95" t="s">
        <v>2003</v>
      </c>
      <c r="B726" s="95">
        <v>36</v>
      </c>
      <c r="C726" s="95" t="s">
        <v>482</v>
      </c>
      <c r="D726" s="95">
        <v>2012</v>
      </c>
      <c r="E726" s="95">
        <v>302</v>
      </c>
      <c r="F726" s="95" t="s">
        <v>815</v>
      </c>
      <c r="G726" s="95">
        <v>0</v>
      </c>
      <c r="H726" s="95" t="s">
        <v>815</v>
      </c>
      <c r="I726" s="95">
        <v>0</v>
      </c>
    </row>
    <row r="727" spans="1:9" ht="14.1" customHeight="1" x14ac:dyDescent="0.2">
      <c r="A727" s="95" t="s">
        <v>2004</v>
      </c>
      <c r="B727" s="95">
        <v>36</v>
      </c>
      <c r="C727" s="95" t="s">
        <v>490</v>
      </c>
      <c r="D727" s="95">
        <v>2012</v>
      </c>
      <c r="E727" s="95">
        <v>154.4</v>
      </c>
      <c r="F727" s="95" t="s">
        <v>815</v>
      </c>
      <c r="G727" s="95">
        <v>0</v>
      </c>
      <c r="H727" s="95" t="s">
        <v>815</v>
      </c>
      <c r="I727" s="95">
        <v>0</v>
      </c>
    </row>
    <row r="728" spans="1:9" ht="14.1" customHeight="1" x14ac:dyDescent="0.2">
      <c r="A728" s="95" t="s">
        <v>2005</v>
      </c>
      <c r="B728" s="95">
        <v>36</v>
      </c>
      <c r="C728" s="95" t="s">
        <v>481</v>
      </c>
      <c r="D728" s="95">
        <v>2012</v>
      </c>
      <c r="E728" s="95">
        <v>408</v>
      </c>
      <c r="F728" s="95" t="s">
        <v>947</v>
      </c>
      <c r="G728" s="95">
        <v>0</v>
      </c>
      <c r="H728" s="95" t="s">
        <v>947</v>
      </c>
      <c r="I728" s="95">
        <v>0</v>
      </c>
    </row>
    <row r="729" spans="1:9" ht="14.1" customHeight="1" x14ac:dyDescent="0.2">
      <c r="A729" s="95" t="s">
        <v>2006</v>
      </c>
      <c r="B729" s="95">
        <v>36</v>
      </c>
      <c r="C729" s="95" t="s">
        <v>484</v>
      </c>
      <c r="D729" s="95">
        <v>2012</v>
      </c>
      <c r="E729" s="95">
        <v>401</v>
      </c>
      <c r="F729" s="95" t="s">
        <v>815</v>
      </c>
      <c r="G729" s="95">
        <v>0</v>
      </c>
      <c r="H729" s="95" t="s">
        <v>815</v>
      </c>
      <c r="I729" s="95">
        <v>0</v>
      </c>
    </row>
    <row r="730" spans="1:9" ht="14.1" customHeight="1" x14ac:dyDescent="0.2">
      <c r="A730" s="95" t="s">
        <v>2007</v>
      </c>
      <c r="B730" s="95">
        <v>36</v>
      </c>
      <c r="C730" s="95" t="s">
        <v>485</v>
      </c>
      <c r="D730" s="95">
        <v>2012</v>
      </c>
      <c r="E730" s="95">
        <v>143.47999999999999</v>
      </c>
      <c r="F730" s="95" t="s">
        <v>815</v>
      </c>
      <c r="G730" s="95">
        <v>0</v>
      </c>
      <c r="H730" s="95" t="s">
        <v>815</v>
      </c>
      <c r="I730" s="95">
        <v>0</v>
      </c>
    </row>
    <row r="731" spans="1:9" ht="14.1" customHeight="1" x14ac:dyDescent="0.2">
      <c r="A731" s="95" t="s">
        <v>2008</v>
      </c>
      <c r="B731" s="95">
        <v>37</v>
      </c>
      <c r="C731" s="95" t="s">
        <v>524</v>
      </c>
      <c r="D731" s="95">
        <v>2012</v>
      </c>
      <c r="E731" s="95">
        <v>131000000000</v>
      </c>
      <c r="F731" s="95">
        <v>0</v>
      </c>
      <c r="G731" s="95">
        <v>0</v>
      </c>
      <c r="H731" s="95">
        <v>0</v>
      </c>
      <c r="I731" s="95">
        <v>0</v>
      </c>
    </row>
    <row r="732" spans="1:9" ht="14.1" customHeight="1" x14ac:dyDescent="0.2">
      <c r="A732" s="95" t="s">
        <v>2009</v>
      </c>
      <c r="B732" s="95">
        <v>37</v>
      </c>
      <c r="C732" s="95" t="s">
        <v>540</v>
      </c>
      <c r="D732" s="95">
        <v>2012</v>
      </c>
      <c r="E732" s="95">
        <v>942150738</v>
      </c>
      <c r="F732" s="95" t="s">
        <v>894</v>
      </c>
      <c r="G732" s="95" t="s">
        <v>573</v>
      </c>
      <c r="H732" s="95" t="s">
        <v>894</v>
      </c>
      <c r="I732" s="95" t="s">
        <v>816</v>
      </c>
    </row>
    <row r="733" spans="1:9" ht="14.1" customHeight="1" x14ac:dyDescent="0.2">
      <c r="A733" s="95" t="s">
        <v>2010</v>
      </c>
      <c r="B733" s="95">
        <v>37</v>
      </c>
      <c r="C733" s="95" t="s">
        <v>546</v>
      </c>
      <c r="D733" s="95">
        <v>2012</v>
      </c>
      <c r="E733" s="95">
        <v>61700</v>
      </c>
      <c r="F733" s="95" t="s">
        <v>589</v>
      </c>
      <c r="G733" s="95" t="s">
        <v>573</v>
      </c>
      <c r="H733" s="95" t="s">
        <v>589</v>
      </c>
      <c r="I733" s="95" t="s">
        <v>816</v>
      </c>
    </row>
    <row r="734" spans="1:9" ht="14.1" customHeight="1" x14ac:dyDescent="0.2">
      <c r="A734" s="95" t="s">
        <v>2011</v>
      </c>
      <c r="B734" s="95">
        <v>37</v>
      </c>
      <c r="C734" s="95" t="s">
        <v>483</v>
      </c>
      <c r="D734" s="95">
        <v>2012</v>
      </c>
      <c r="E734" s="95">
        <v>11854995</v>
      </c>
      <c r="F734" s="95" t="s">
        <v>815</v>
      </c>
      <c r="G734" s="95">
        <v>0</v>
      </c>
      <c r="H734" s="95" t="s">
        <v>815</v>
      </c>
      <c r="I734" s="95">
        <v>0</v>
      </c>
    </row>
    <row r="735" spans="1:9" ht="14.1" customHeight="1" x14ac:dyDescent="0.2">
      <c r="A735" s="95" t="s">
        <v>2012</v>
      </c>
      <c r="B735" s="95">
        <v>37</v>
      </c>
      <c r="C735" s="95" t="s">
        <v>488</v>
      </c>
      <c r="D735" s="95">
        <v>2012</v>
      </c>
      <c r="E735" s="95">
        <v>19375000000</v>
      </c>
      <c r="F735" s="95" t="s">
        <v>815</v>
      </c>
      <c r="G735" s="95">
        <v>0</v>
      </c>
      <c r="H735" s="95" t="s">
        <v>815</v>
      </c>
      <c r="I735" s="95">
        <v>0</v>
      </c>
    </row>
    <row r="736" spans="1:9" ht="14.1" customHeight="1" x14ac:dyDescent="0.2">
      <c r="A736" s="95" t="s">
        <v>2013</v>
      </c>
      <c r="B736" s="95">
        <v>37</v>
      </c>
      <c r="C736" s="95" t="s">
        <v>487</v>
      </c>
      <c r="D736" s="95">
        <v>2012</v>
      </c>
      <c r="E736" s="95">
        <v>169180104</v>
      </c>
      <c r="F736" s="95" t="s">
        <v>815</v>
      </c>
      <c r="G736" s="95">
        <v>0</v>
      </c>
      <c r="H736" s="95" t="s">
        <v>815</v>
      </c>
      <c r="I736" s="95">
        <v>0</v>
      </c>
    </row>
    <row r="737" spans="1:9" ht="14.1" customHeight="1" x14ac:dyDescent="0.2">
      <c r="A737" s="95" t="s">
        <v>2014</v>
      </c>
      <c r="B737" s="95">
        <v>37</v>
      </c>
      <c r="C737" s="95" t="s">
        <v>486</v>
      </c>
      <c r="D737" s="95">
        <v>2012</v>
      </c>
      <c r="E737" s="95">
        <v>161483531</v>
      </c>
      <c r="F737" s="95" t="s">
        <v>815</v>
      </c>
      <c r="G737" s="95">
        <v>0</v>
      </c>
      <c r="H737" s="95" t="s">
        <v>815</v>
      </c>
      <c r="I737" s="95">
        <v>0</v>
      </c>
    </row>
    <row r="738" spans="1:9" ht="14.1" customHeight="1" x14ac:dyDescent="0.2">
      <c r="A738" s="95" t="s">
        <v>2015</v>
      </c>
      <c r="B738" s="95">
        <v>37</v>
      </c>
      <c r="C738" s="95" t="s">
        <v>482</v>
      </c>
      <c r="D738" s="95">
        <v>2012</v>
      </c>
      <c r="E738" s="95">
        <v>364288575</v>
      </c>
      <c r="F738" s="95" t="s">
        <v>815</v>
      </c>
      <c r="G738" s="95">
        <v>0</v>
      </c>
      <c r="H738" s="95" t="s">
        <v>815</v>
      </c>
      <c r="I738" s="95">
        <v>0</v>
      </c>
    </row>
    <row r="739" spans="1:9" ht="14.1" customHeight="1" x14ac:dyDescent="0.2">
      <c r="A739" s="95" t="s">
        <v>2016</v>
      </c>
      <c r="B739" s="95">
        <v>37</v>
      </c>
      <c r="C739" s="95" t="s">
        <v>490</v>
      </c>
      <c r="D739" s="95">
        <v>2012</v>
      </c>
      <c r="E739" s="95">
        <v>67656667</v>
      </c>
      <c r="F739" s="95" t="s">
        <v>815</v>
      </c>
      <c r="G739" s="95">
        <v>0</v>
      </c>
      <c r="H739" s="95" t="s">
        <v>815</v>
      </c>
      <c r="I739" s="95">
        <v>0</v>
      </c>
    </row>
    <row r="740" spans="1:9" ht="14.1" customHeight="1" x14ac:dyDescent="0.2">
      <c r="A740" s="95" t="s">
        <v>2017</v>
      </c>
      <c r="B740" s="95">
        <v>37</v>
      </c>
      <c r="C740" s="95" t="s">
        <v>481</v>
      </c>
      <c r="D740" s="95">
        <v>2012</v>
      </c>
      <c r="E740" s="95">
        <v>49000000000</v>
      </c>
      <c r="F740" s="95" t="s">
        <v>815</v>
      </c>
      <c r="G740" s="95">
        <v>0</v>
      </c>
      <c r="H740" s="95" t="s">
        <v>815</v>
      </c>
      <c r="I740" s="95">
        <v>0</v>
      </c>
    </row>
    <row r="741" spans="1:9" ht="14.1" customHeight="1" x14ac:dyDescent="0.2">
      <c r="A741" s="95" t="s">
        <v>2018</v>
      </c>
      <c r="B741" s="95">
        <v>37</v>
      </c>
      <c r="C741" s="95" t="s">
        <v>484</v>
      </c>
      <c r="D741" s="95">
        <v>2012</v>
      </c>
      <c r="E741" s="95">
        <v>33175774</v>
      </c>
      <c r="F741" s="95" t="s">
        <v>815</v>
      </c>
      <c r="G741" s="95">
        <v>0</v>
      </c>
      <c r="H741" s="95" t="s">
        <v>815</v>
      </c>
      <c r="I741" s="95">
        <v>0</v>
      </c>
    </row>
    <row r="742" spans="1:9" ht="14.1" customHeight="1" x14ac:dyDescent="0.2">
      <c r="A742" s="95" t="s">
        <v>2019</v>
      </c>
      <c r="B742" s="95">
        <v>37</v>
      </c>
      <c r="C742" s="95" t="s">
        <v>485</v>
      </c>
      <c r="D742" s="95">
        <v>2012</v>
      </c>
      <c r="E742" s="95">
        <v>57436588</v>
      </c>
      <c r="F742" s="95" t="s">
        <v>815</v>
      </c>
      <c r="G742" s="95">
        <v>0</v>
      </c>
      <c r="H742" s="95" t="s">
        <v>815</v>
      </c>
      <c r="I742" s="95">
        <v>0</v>
      </c>
    </row>
    <row r="743" spans="1:9" ht="14.1" customHeight="1" x14ac:dyDescent="0.2">
      <c r="A743" s="95" t="s">
        <v>2020</v>
      </c>
      <c r="B743" s="95">
        <v>39</v>
      </c>
      <c r="C743" s="95" t="s">
        <v>518</v>
      </c>
      <c r="D743" s="95">
        <v>2012</v>
      </c>
      <c r="E743" s="95">
        <v>116000</v>
      </c>
      <c r="F743" s="95" t="s">
        <v>1279</v>
      </c>
      <c r="G743" s="95" t="s">
        <v>573</v>
      </c>
      <c r="H743" s="95" t="s">
        <v>1279</v>
      </c>
      <c r="I743" s="95" t="s">
        <v>816</v>
      </c>
    </row>
    <row r="744" spans="1:9" ht="14.1" customHeight="1" x14ac:dyDescent="0.2">
      <c r="A744" s="95" t="s">
        <v>2021</v>
      </c>
      <c r="B744" s="95">
        <v>39</v>
      </c>
      <c r="C744" s="95" t="s">
        <v>524</v>
      </c>
      <c r="D744" s="95">
        <v>2012</v>
      </c>
      <c r="E744" s="95">
        <v>56120.666666666701</v>
      </c>
      <c r="F744" s="95" t="s">
        <v>948</v>
      </c>
      <c r="G744" s="95">
        <v>0</v>
      </c>
      <c r="H744" s="95" t="s">
        <v>948</v>
      </c>
      <c r="I744" s="95">
        <v>0</v>
      </c>
    </row>
    <row r="745" spans="1:9" ht="14.1" customHeight="1" x14ac:dyDescent="0.2">
      <c r="A745" s="95" t="s">
        <v>2022</v>
      </c>
      <c r="B745" s="95">
        <v>39</v>
      </c>
      <c r="C745" s="95" t="s">
        <v>530</v>
      </c>
      <c r="D745" s="95">
        <v>2012</v>
      </c>
      <c r="E745" s="95">
        <v>80000</v>
      </c>
      <c r="F745" s="95" t="s">
        <v>788</v>
      </c>
      <c r="G745" s="95" t="s">
        <v>572</v>
      </c>
      <c r="H745" s="95" t="s">
        <v>788</v>
      </c>
      <c r="I745" s="95" t="s">
        <v>814</v>
      </c>
    </row>
    <row r="746" spans="1:9" ht="14.1" customHeight="1" x14ac:dyDescent="0.2">
      <c r="A746" s="95" t="s">
        <v>2023</v>
      </c>
      <c r="B746" s="95">
        <v>39</v>
      </c>
      <c r="C746" s="95" t="s">
        <v>532</v>
      </c>
      <c r="D746" s="95">
        <v>2012</v>
      </c>
      <c r="E746" s="95">
        <v>42280</v>
      </c>
      <c r="F746" s="95" t="s">
        <v>509</v>
      </c>
      <c r="G746" s="95" t="s">
        <v>586</v>
      </c>
      <c r="H746" s="95" t="s">
        <v>509</v>
      </c>
      <c r="I746" s="95" t="s">
        <v>841</v>
      </c>
    </row>
    <row r="747" spans="1:9" ht="14.1" customHeight="1" x14ac:dyDescent="0.2">
      <c r="A747" s="95" t="s">
        <v>2024</v>
      </c>
      <c r="B747" s="95">
        <v>39</v>
      </c>
      <c r="C747" s="95" t="s">
        <v>538</v>
      </c>
      <c r="D747" s="95">
        <v>2012</v>
      </c>
      <c r="E747" s="95">
        <v>60000</v>
      </c>
      <c r="F747" s="95" t="s">
        <v>561</v>
      </c>
      <c r="G747" s="95">
        <v>0</v>
      </c>
      <c r="H747" s="95" t="s">
        <v>561</v>
      </c>
      <c r="I747" s="95">
        <v>0</v>
      </c>
    </row>
    <row r="748" spans="1:9" ht="14.1" customHeight="1" x14ac:dyDescent="0.2">
      <c r="A748" s="95" t="s">
        <v>2025</v>
      </c>
      <c r="B748" s="95">
        <v>39</v>
      </c>
      <c r="C748" s="95" t="s">
        <v>540</v>
      </c>
      <c r="D748" s="95">
        <v>2012</v>
      </c>
      <c r="E748" s="95">
        <v>61758</v>
      </c>
      <c r="F748" s="95" t="s">
        <v>587</v>
      </c>
      <c r="G748" s="95" t="s">
        <v>573</v>
      </c>
      <c r="H748" s="95" t="s">
        <v>587</v>
      </c>
      <c r="I748" s="95" t="s">
        <v>816</v>
      </c>
    </row>
    <row r="749" spans="1:9" ht="14.1" customHeight="1" x14ac:dyDescent="0.2">
      <c r="A749" s="95" t="s">
        <v>2026</v>
      </c>
      <c r="B749" s="95">
        <v>39</v>
      </c>
      <c r="C749" s="95" t="s">
        <v>546</v>
      </c>
      <c r="D749" s="95">
        <v>2012</v>
      </c>
      <c r="E749" s="95">
        <v>24887</v>
      </c>
      <c r="F749" s="95" t="s">
        <v>589</v>
      </c>
      <c r="G749" s="95" t="s">
        <v>573</v>
      </c>
      <c r="H749" s="95" t="s">
        <v>589</v>
      </c>
      <c r="I749" s="95" t="s">
        <v>816</v>
      </c>
    </row>
    <row r="750" spans="1:9" ht="14.1" customHeight="1" x14ac:dyDescent="0.2">
      <c r="A750" s="95" t="s">
        <v>2027</v>
      </c>
      <c r="B750" s="95">
        <v>39</v>
      </c>
      <c r="C750" s="95" t="s">
        <v>483</v>
      </c>
      <c r="D750" s="95">
        <v>2012</v>
      </c>
      <c r="E750" s="95">
        <v>15000</v>
      </c>
      <c r="F750" s="95" t="s">
        <v>815</v>
      </c>
      <c r="G750" s="95" t="s">
        <v>617</v>
      </c>
      <c r="H750" s="95" t="s">
        <v>815</v>
      </c>
      <c r="I750" s="95" t="s">
        <v>949</v>
      </c>
    </row>
    <row r="751" spans="1:9" ht="14.1" customHeight="1" x14ac:dyDescent="0.2">
      <c r="A751" s="95" t="s">
        <v>2028</v>
      </c>
      <c r="B751" s="95">
        <v>39</v>
      </c>
      <c r="C751" s="95" t="s">
        <v>488</v>
      </c>
      <c r="D751" s="95">
        <v>2012</v>
      </c>
      <c r="E751" s="95">
        <v>64584</v>
      </c>
      <c r="F751" s="95" t="s">
        <v>566</v>
      </c>
      <c r="G751" s="95">
        <v>0</v>
      </c>
      <c r="H751" s="95" t="s">
        <v>566</v>
      </c>
      <c r="I751" s="95">
        <v>0</v>
      </c>
    </row>
    <row r="752" spans="1:9" ht="14.1" customHeight="1" x14ac:dyDescent="0.2">
      <c r="A752" s="95" t="s">
        <v>2029</v>
      </c>
      <c r="B752" s="95">
        <v>39</v>
      </c>
      <c r="C752" s="95" t="s">
        <v>487</v>
      </c>
      <c r="D752" s="95">
        <v>2012</v>
      </c>
      <c r="E752" s="95">
        <v>30000</v>
      </c>
      <c r="F752" s="95" t="s">
        <v>1273</v>
      </c>
      <c r="G752" s="95">
        <v>0</v>
      </c>
      <c r="H752" s="95" t="s">
        <v>1273</v>
      </c>
      <c r="I752" s="95">
        <v>0</v>
      </c>
    </row>
    <row r="753" spans="1:9" ht="14.1" customHeight="1" x14ac:dyDescent="0.2">
      <c r="A753" s="95" t="s">
        <v>2030</v>
      </c>
      <c r="B753" s="95">
        <v>39</v>
      </c>
      <c r="C753" s="95" t="s">
        <v>486</v>
      </c>
      <c r="D753" s="95">
        <v>2012</v>
      </c>
      <c r="E753" s="95">
        <v>42000</v>
      </c>
      <c r="F753" s="95" t="s">
        <v>1273</v>
      </c>
      <c r="G753" s="95">
        <v>0</v>
      </c>
      <c r="H753" s="95" t="s">
        <v>1273</v>
      </c>
      <c r="I753" s="95">
        <v>0</v>
      </c>
    </row>
    <row r="754" spans="1:9" ht="14.1" customHeight="1" x14ac:dyDescent="0.2">
      <c r="A754" s="95" t="s">
        <v>2031</v>
      </c>
      <c r="B754" s="95">
        <v>39</v>
      </c>
      <c r="C754" s="95" t="s">
        <v>482</v>
      </c>
      <c r="D754" s="95">
        <v>2012</v>
      </c>
      <c r="E754" s="95">
        <v>50666.67</v>
      </c>
      <c r="F754" s="95" t="s">
        <v>1273</v>
      </c>
      <c r="G754" s="95">
        <v>0</v>
      </c>
      <c r="H754" s="95" t="s">
        <v>1273</v>
      </c>
      <c r="I754" s="95">
        <v>0</v>
      </c>
    </row>
    <row r="755" spans="1:9" ht="14.1" customHeight="1" x14ac:dyDescent="0.2">
      <c r="A755" s="95" t="s">
        <v>2032</v>
      </c>
      <c r="B755" s="95">
        <v>39</v>
      </c>
      <c r="C755" s="95" t="s">
        <v>490</v>
      </c>
      <c r="D755" s="95">
        <v>2012</v>
      </c>
      <c r="E755" s="95">
        <v>38000</v>
      </c>
      <c r="F755" s="95" t="s">
        <v>1273</v>
      </c>
      <c r="G755" s="95">
        <v>0</v>
      </c>
      <c r="H755" s="95" t="s">
        <v>1273</v>
      </c>
      <c r="I755" s="95">
        <v>0</v>
      </c>
    </row>
    <row r="756" spans="1:9" ht="14.1" customHeight="1" x14ac:dyDescent="0.2">
      <c r="A756" s="95" t="s">
        <v>2033</v>
      </c>
      <c r="B756" s="95">
        <v>39</v>
      </c>
      <c r="C756" s="95" t="s">
        <v>481</v>
      </c>
      <c r="D756" s="95">
        <v>2012</v>
      </c>
      <c r="E756" s="95">
        <v>72667.468430547204</v>
      </c>
      <c r="F756" s="95" t="s">
        <v>815</v>
      </c>
      <c r="G756" s="95" t="s">
        <v>618</v>
      </c>
      <c r="H756" s="95" t="s">
        <v>815</v>
      </c>
      <c r="I756" s="95" t="s">
        <v>950</v>
      </c>
    </row>
    <row r="757" spans="1:9" ht="14.1" customHeight="1" x14ac:dyDescent="0.2">
      <c r="A757" s="95" t="s">
        <v>2034</v>
      </c>
      <c r="B757" s="95">
        <v>39</v>
      </c>
      <c r="C757" s="95" t="s">
        <v>484</v>
      </c>
      <c r="D757" s="95">
        <v>2012</v>
      </c>
      <c r="E757" s="95">
        <v>48400</v>
      </c>
      <c r="F757" s="95" t="s">
        <v>815</v>
      </c>
      <c r="G757" s="95" t="s">
        <v>617</v>
      </c>
      <c r="H757" s="95" t="s">
        <v>815</v>
      </c>
      <c r="I757" s="95" t="s">
        <v>949</v>
      </c>
    </row>
    <row r="758" spans="1:9" ht="14.1" customHeight="1" x14ac:dyDescent="0.2">
      <c r="A758" s="95" t="s">
        <v>2035</v>
      </c>
      <c r="B758" s="95">
        <v>39</v>
      </c>
      <c r="C758" s="95" t="s">
        <v>485</v>
      </c>
      <c r="D758" s="95">
        <v>2012</v>
      </c>
      <c r="E758" s="95">
        <v>60000</v>
      </c>
      <c r="F758" s="95" t="s">
        <v>815</v>
      </c>
      <c r="G758" s="95" t="s">
        <v>617</v>
      </c>
      <c r="H758" s="95" t="s">
        <v>815</v>
      </c>
      <c r="I758" s="95" t="s">
        <v>949</v>
      </c>
    </row>
    <row r="759" spans="1:9" ht="14.1" customHeight="1" x14ac:dyDescent="0.2">
      <c r="A759" s="95" t="s">
        <v>2036</v>
      </c>
      <c r="B759" s="95">
        <v>39</v>
      </c>
      <c r="C759" s="95" t="s">
        <v>489</v>
      </c>
      <c r="D759" s="95">
        <v>2012</v>
      </c>
      <c r="E759" s="95">
        <v>9000</v>
      </c>
      <c r="F759" s="95" t="s">
        <v>1273</v>
      </c>
      <c r="G759" s="95">
        <v>0</v>
      </c>
      <c r="H759" s="95" t="s">
        <v>1273</v>
      </c>
      <c r="I759" s="95">
        <v>0</v>
      </c>
    </row>
    <row r="760" spans="1:9" ht="14.1" customHeight="1" x14ac:dyDescent="0.2">
      <c r="A760" s="95" t="s">
        <v>2037</v>
      </c>
      <c r="B760" s="95">
        <v>40</v>
      </c>
      <c r="C760" s="95" t="s">
        <v>518</v>
      </c>
      <c r="D760" s="95">
        <v>2012</v>
      </c>
      <c r="E760" s="95">
        <v>54</v>
      </c>
      <c r="F760" s="95" t="s">
        <v>825</v>
      </c>
      <c r="G760" s="95">
        <v>0</v>
      </c>
      <c r="H760" s="95" t="s">
        <v>825</v>
      </c>
      <c r="I760" s="95">
        <v>0</v>
      </c>
    </row>
    <row r="761" spans="1:9" ht="14.1" customHeight="1" x14ac:dyDescent="0.2">
      <c r="A761" s="95" t="s">
        <v>2038</v>
      </c>
      <c r="B761" s="95">
        <v>40</v>
      </c>
      <c r="C761" s="95" t="s">
        <v>524</v>
      </c>
      <c r="D761" s="95">
        <v>2012</v>
      </c>
      <c r="E761" s="95">
        <v>45</v>
      </c>
      <c r="F761" s="95" t="s">
        <v>951</v>
      </c>
      <c r="G761" s="95">
        <v>0</v>
      </c>
      <c r="H761" s="95" t="s">
        <v>951</v>
      </c>
      <c r="I761" s="95">
        <v>0</v>
      </c>
    </row>
    <row r="762" spans="1:9" ht="14.1" customHeight="1" x14ac:dyDescent="0.2">
      <c r="A762" s="95" t="s">
        <v>2039</v>
      </c>
      <c r="B762" s="95">
        <v>40</v>
      </c>
      <c r="C762" s="95" t="s">
        <v>540</v>
      </c>
      <c r="D762" s="95">
        <v>2012</v>
      </c>
      <c r="E762" s="95">
        <v>33</v>
      </c>
      <c r="F762" s="95" t="s">
        <v>894</v>
      </c>
      <c r="G762" s="95" t="s">
        <v>573</v>
      </c>
      <c r="H762" s="95" t="s">
        <v>894</v>
      </c>
      <c r="I762" s="95" t="s">
        <v>816</v>
      </c>
    </row>
    <row r="763" spans="1:9" ht="14.1" customHeight="1" x14ac:dyDescent="0.2">
      <c r="A763" s="95" t="s">
        <v>2040</v>
      </c>
      <c r="B763" s="95">
        <v>40</v>
      </c>
      <c r="C763" s="95" t="s">
        <v>546</v>
      </c>
      <c r="D763" s="95">
        <v>2012</v>
      </c>
      <c r="E763" s="95">
        <v>47</v>
      </c>
      <c r="F763" s="95" t="s">
        <v>589</v>
      </c>
      <c r="G763" s="95">
        <v>0</v>
      </c>
      <c r="H763" s="95" t="s">
        <v>589</v>
      </c>
      <c r="I763" s="95">
        <v>0</v>
      </c>
    </row>
    <row r="764" spans="1:9" ht="14.1" customHeight="1" x14ac:dyDescent="0.2">
      <c r="A764" s="95" t="s">
        <v>2041</v>
      </c>
      <c r="B764" s="95">
        <v>40</v>
      </c>
      <c r="C764" s="95" t="s">
        <v>488</v>
      </c>
      <c r="D764" s="95">
        <v>2012</v>
      </c>
      <c r="E764" s="95">
        <v>4.4800000000000004</v>
      </c>
      <c r="F764" s="95" t="s">
        <v>815</v>
      </c>
      <c r="G764" s="95">
        <v>0</v>
      </c>
      <c r="H764" s="95" t="s">
        <v>815</v>
      </c>
      <c r="I764" s="95">
        <v>0</v>
      </c>
    </row>
    <row r="765" spans="1:9" ht="14.1" customHeight="1" x14ac:dyDescent="0.2">
      <c r="A765" s="95" t="s">
        <v>2042</v>
      </c>
      <c r="B765" s="95">
        <v>40</v>
      </c>
      <c r="C765" s="95" t="s">
        <v>487</v>
      </c>
      <c r="D765" s="95">
        <v>2012</v>
      </c>
      <c r="E765" s="95">
        <v>10</v>
      </c>
      <c r="F765" s="95" t="s">
        <v>815</v>
      </c>
      <c r="G765" s="95">
        <v>0</v>
      </c>
      <c r="H765" s="95" t="s">
        <v>815</v>
      </c>
      <c r="I765" s="95">
        <v>0</v>
      </c>
    </row>
    <row r="766" spans="1:9" ht="14.1" customHeight="1" x14ac:dyDescent="0.2">
      <c r="A766" s="95" t="s">
        <v>2043</v>
      </c>
      <c r="B766" s="95">
        <v>40</v>
      </c>
      <c r="C766" s="95" t="s">
        <v>486</v>
      </c>
      <c r="D766" s="95">
        <v>2012</v>
      </c>
      <c r="E766" s="95">
        <v>30</v>
      </c>
      <c r="F766" s="95" t="s">
        <v>815</v>
      </c>
      <c r="G766" s="95">
        <v>0</v>
      </c>
      <c r="H766" s="95" t="s">
        <v>815</v>
      </c>
      <c r="I766" s="95">
        <v>0</v>
      </c>
    </row>
    <row r="767" spans="1:9" ht="14.1" customHeight="1" x14ac:dyDescent="0.2">
      <c r="A767" s="95" t="s">
        <v>2044</v>
      </c>
      <c r="B767" s="95">
        <v>40</v>
      </c>
      <c r="C767" s="95" t="s">
        <v>482</v>
      </c>
      <c r="D767" s="95">
        <v>2012</v>
      </c>
      <c r="E767" s="95">
        <v>50</v>
      </c>
      <c r="F767" s="95" t="s">
        <v>815</v>
      </c>
      <c r="G767" s="95">
        <v>0</v>
      </c>
      <c r="H767" s="95" t="s">
        <v>815</v>
      </c>
      <c r="I767" s="95">
        <v>0</v>
      </c>
    </row>
    <row r="768" spans="1:9" ht="14.1" customHeight="1" x14ac:dyDescent="0.2">
      <c r="A768" s="95" t="s">
        <v>2045</v>
      </c>
      <c r="B768" s="95">
        <v>40</v>
      </c>
      <c r="C768" s="95" t="s">
        <v>481</v>
      </c>
      <c r="D768" s="95">
        <v>2012</v>
      </c>
      <c r="E768" s="95">
        <v>38.200000000000003</v>
      </c>
      <c r="F768" s="95" t="s">
        <v>947</v>
      </c>
      <c r="G768" s="95">
        <v>0</v>
      </c>
      <c r="H768" s="95" t="s">
        <v>947</v>
      </c>
      <c r="I768" s="95">
        <v>0</v>
      </c>
    </row>
    <row r="769" spans="1:9" ht="14.1" customHeight="1" x14ac:dyDescent="0.2">
      <c r="A769" s="95" t="s">
        <v>2046</v>
      </c>
      <c r="B769" s="95">
        <v>40</v>
      </c>
      <c r="C769" s="95" t="s">
        <v>489</v>
      </c>
      <c r="D769" s="95">
        <v>2012</v>
      </c>
      <c r="E769" s="95">
        <v>50</v>
      </c>
      <c r="F769" s="95" t="s">
        <v>815</v>
      </c>
      <c r="G769" s="95">
        <v>0</v>
      </c>
      <c r="H769" s="95" t="s">
        <v>815</v>
      </c>
      <c r="I769" s="95">
        <v>0</v>
      </c>
    </row>
    <row r="770" spans="1:9" ht="14.1" customHeight="1" x14ac:dyDescent="0.2">
      <c r="A770" s="95" t="s">
        <v>2047</v>
      </c>
      <c r="B770" s="95">
        <v>42</v>
      </c>
      <c r="C770" s="95" t="s">
        <v>518</v>
      </c>
      <c r="D770" s="95">
        <v>2012</v>
      </c>
      <c r="E770" s="95">
        <v>0.10107135637760301</v>
      </c>
      <c r="F770" s="95" t="s">
        <v>952</v>
      </c>
      <c r="G770" s="95" t="s">
        <v>953</v>
      </c>
      <c r="H770" s="95" t="s">
        <v>952</v>
      </c>
      <c r="I770" s="95" t="s">
        <v>954</v>
      </c>
    </row>
    <row r="771" spans="1:9" ht="14.1" customHeight="1" x14ac:dyDescent="0.2">
      <c r="A771" s="95" t="s">
        <v>2048</v>
      </c>
      <c r="B771" s="95">
        <v>42</v>
      </c>
      <c r="C771" s="95" t="s">
        <v>520</v>
      </c>
      <c r="D771" s="95">
        <v>2012</v>
      </c>
      <c r="E771" s="95">
        <v>0.21142314906715001</v>
      </c>
      <c r="F771" s="95" t="s">
        <v>952</v>
      </c>
      <c r="G771" s="95" t="s">
        <v>955</v>
      </c>
      <c r="H771" s="95" t="s">
        <v>952</v>
      </c>
      <c r="I771" s="95" t="s">
        <v>956</v>
      </c>
    </row>
    <row r="772" spans="1:9" ht="14.1" customHeight="1" x14ac:dyDescent="0.2">
      <c r="A772" s="95" t="s">
        <v>2049</v>
      </c>
      <c r="B772" s="95">
        <v>42</v>
      </c>
      <c r="C772" s="95" t="s">
        <v>522</v>
      </c>
      <c r="D772" s="95">
        <v>2012</v>
      </c>
      <c r="E772" s="95">
        <v>0.13368983957219299</v>
      </c>
      <c r="F772" s="95" t="s">
        <v>952</v>
      </c>
      <c r="G772" s="95" t="s">
        <v>957</v>
      </c>
      <c r="H772" s="95" t="s">
        <v>952</v>
      </c>
      <c r="I772" s="95" t="s">
        <v>958</v>
      </c>
    </row>
    <row r="773" spans="1:9" ht="14.1" customHeight="1" x14ac:dyDescent="0.2">
      <c r="A773" s="95" t="s">
        <v>2050</v>
      </c>
      <c r="B773" s="95">
        <v>42</v>
      </c>
      <c r="C773" s="95" t="s">
        <v>524</v>
      </c>
      <c r="D773" s="95">
        <v>2012</v>
      </c>
      <c r="E773" s="95">
        <v>0.18543555440173401</v>
      </c>
      <c r="F773" s="95" t="s">
        <v>952</v>
      </c>
      <c r="G773" s="95" t="s">
        <v>959</v>
      </c>
      <c r="H773" s="95" t="s">
        <v>952</v>
      </c>
      <c r="I773" s="95" t="s">
        <v>960</v>
      </c>
    </row>
    <row r="774" spans="1:9" ht="14.1" customHeight="1" x14ac:dyDescent="0.2">
      <c r="A774" s="95" t="s">
        <v>2051</v>
      </c>
      <c r="B774" s="95">
        <v>42</v>
      </c>
      <c r="C774" s="95" t="s">
        <v>526</v>
      </c>
      <c r="D774" s="95">
        <v>2012</v>
      </c>
      <c r="E774" s="95">
        <v>0.21142314906715001</v>
      </c>
      <c r="F774" s="95" t="s">
        <v>952</v>
      </c>
      <c r="G774" s="95" t="s">
        <v>961</v>
      </c>
      <c r="H774" s="95" t="s">
        <v>952</v>
      </c>
      <c r="I774" s="95" t="s">
        <v>962</v>
      </c>
    </row>
    <row r="775" spans="1:9" ht="14.1" customHeight="1" x14ac:dyDescent="0.2">
      <c r="A775" s="95" t="s">
        <v>2052</v>
      </c>
      <c r="B775" s="95">
        <v>42</v>
      </c>
      <c r="C775" s="95" t="s">
        <v>528</v>
      </c>
      <c r="D775" s="95">
        <v>2012</v>
      </c>
      <c r="E775" s="95">
        <v>0.127111051616592</v>
      </c>
      <c r="F775" s="95" t="s">
        <v>952</v>
      </c>
      <c r="G775" s="95" t="s">
        <v>963</v>
      </c>
      <c r="H775" s="95" t="s">
        <v>952</v>
      </c>
      <c r="I775" s="95" t="s">
        <v>964</v>
      </c>
    </row>
    <row r="776" spans="1:9" ht="14.1" customHeight="1" x14ac:dyDescent="0.2">
      <c r="A776" s="95" t="s">
        <v>2053</v>
      </c>
      <c r="B776" s="95">
        <v>42</v>
      </c>
      <c r="C776" s="95" t="s">
        <v>530</v>
      </c>
      <c r="D776" s="95">
        <v>2012</v>
      </c>
      <c r="E776" s="95">
        <v>6.6287886865666598E-2</v>
      </c>
      <c r="F776" s="95" t="s">
        <v>952</v>
      </c>
      <c r="G776" s="95" t="s">
        <v>965</v>
      </c>
      <c r="H776" s="95" t="s">
        <v>952</v>
      </c>
      <c r="I776" s="95" t="s">
        <v>966</v>
      </c>
    </row>
    <row r="777" spans="1:9" ht="14.1" customHeight="1" x14ac:dyDescent="0.2">
      <c r="A777" s="95" t="s">
        <v>2054</v>
      </c>
      <c r="B777" s="95">
        <v>42</v>
      </c>
      <c r="C777" s="95" t="s">
        <v>532</v>
      </c>
      <c r="D777" s="95">
        <v>2012</v>
      </c>
      <c r="E777" s="95">
        <v>0.149257215021634</v>
      </c>
      <c r="F777" s="95" t="s">
        <v>509</v>
      </c>
      <c r="G777" s="95" t="s">
        <v>606</v>
      </c>
      <c r="H777" s="95" t="s">
        <v>509</v>
      </c>
      <c r="I777" s="95" t="s">
        <v>892</v>
      </c>
    </row>
    <row r="778" spans="1:9" ht="14.1" customHeight="1" x14ac:dyDescent="0.2">
      <c r="A778" s="95" t="s">
        <v>2055</v>
      </c>
      <c r="B778" s="95">
        <v>42</v>
      </c>
      <c r="C778" s="95" t="s">
        <v>534</v>
      </c>
      <c r="D778" s="95">
        <v>2012</v>
      </c>
      <c r="E778" s="95">
        <v>0.21142314906715001</v>
      </c>
      <c r="F778" s="95" t="s">
        <v>952</v>
      </c>
      <c r="G778" s="95" t="s">
        <v>967</v>
      </c>
      <c r="H778" s="95" t="s">
        <v>952</v>
      </c>
      <c r="I778" s="95" t="s">
        <v>968</v>
      </c>
    </row>
    <row r="779" spans="1:9" ht="14.1" customHeight="1" x14ac:dyDescent="0.2">
      <c r="A779" s="95" t="s">
        <v>2056</v>
      </c>
      <c r="B779" s="95">
        <v>42</v>
      </c>
      <c r="C779" s="95" t="s">
        <v>536</v>
      </c>
      <c r="D779" s="95">
        <v>2012</v>
      </c>
      <c r="E779" s="95">
        <v>0.29411764705882398</v>
      </c>
      <c r="F779" s="95" t="s">
        <v>952</v>
      </c>
      <c r="G779" s="95" t="s">
        <v>969</v>
      </c>
      <c r="H779" s="95" t="s">
        <v>952</v>
      </c>
      <c r="I779" s="95" t="s">
        <v>970</v>
      </c>
    </row>
    <row r="780" spans="1:9" ht="14.1" customHeight="1" x14ac:dyDescent="0.2">
      <c r="A780" s="95" t="s">
        <v>2057</v>
      </c>
      <c r="B780" s="95">
        <v>42</v>
      </c>
      <c r="C780" s="95" t="s">
        <v>538</v>
      </c>
      <c r="D780" s="95">
        <v>2012</v>
      </c>
      <c r="E780" s="95">
        <v>0.474509803921569</v>
      </c>
      <c r="F780" s="95" t="s">
        <v>561</v>
      </c>
      <c r="G780" s="95" t="s">
        <v>971</v>
      </c>
      <c r="H780" s="95" t="s">
        <v>561</v>
      </c>
      <c r="I780" s="95" t="s">
        <v>972</v>
      </c>
    </row>
    <row r="781" spans="1:9" ht="14.1" customHeight="1" x14ac:dyDescent="0.2">
      <c r="A781" s="95" t="s">
        <v>2058</v>
      </c>
      <c r="B781" s="95">
        <v>42</v>
      </c>
      <c r="C781" s="95" t="s">
        <v>542</v>
      </c>
      <c r="D781" s="95">
        <v>2012</v>
      </c>
      <c r="E781" s="95">
        <v>0.21142314906715001</v>
      </c>
      <c r="F781" s="95" t="s">
        <v>952</v>
      </c>
      <c r="G781" s="95" t="s">
        <v>967</v>
      </c>
      <c r="H781" s="95" t="s">
        <v>952</v>
      </c>
      <c r="I781" s="95" t="s">
        <v>968</v>
      </c>
    </row>
    <row r="782" spans="1:9" ht="14.1" customHeight="1" x14ac:dyDescent="0.2">
      <c r="A782" s="95" t="s">
        <v>2059</v>
      </c>
      <c r="B782" s="95">
        <v>42</v>
      </c>
      <c r="C782" s="95" t="s">
        <v>544</v>
      </c>
      <c r="D782" s="95">
        <v>2012</v>
      </c>
      <c r="E782" s="95">
        <v>0.21142314906715001</v>
      </c>
      <c r="F782" s="95" t="s">
        <v>952</v>
      </c>
      <c r="G782" s="95" t="s">
        <v>967</v>
      </c>
      <c r="H782" s="95" t="s">
        <v>952</v>
      </c>
      <c r="I782" s="95" t="s">
        <v>968</v>
      </c>
    </row>
    <row r="783" spans="1:9" ht="14.1" customHeight="1" x14ac:dyDescent="0.2">
      <c r="A783" s="95" t="s">
        <v>2060</v>
      </c>
      <c r="B783" s="95">
        <v>42</v>
      </c>
      <c r="C783" s="95" t="s">
        <v>546</v>
      </c>
      <c r="D783" s="95">
        <v>2012</v>
      </c>
      <c r="E783" s="95">
        <v>0.107058823529412</v>
      </c>
      <c r="F783" s="95" t="s">
        <v>952</v>
      </c>
      <c r="G783" s="95" t="s">
        <v>973</v>
      </c>
      <c r="H783" s="95" t="s">
        <v>952</v>
      </c>
      <c r="I783" s="95" t="s">
        <v>974</v>
      </c>
    </row>
    <row r="784" spans="1:9" ht="14.1" customHeight="1" x14ac:dyDescent="0.2">
      <c r="A784" s="95" t="s">
        <v>2061</v>
      </c>
      <c r="B784" s="95">
        <v>42</v>
      </c>
      <c r="C784" s="95" t="s">
        <v>548</v>
      </c>
      <c r="D784" s="95">
        <v>2012</v>
      </c>
      <c r="E784" s="95">
        <v>8.6991176465950504E-2</v>
      </c>
      <c r="F784" s="95" t="s">
        <v>952</v>
      </c>
      <c r="G784" s="95" t="s">
        <v>975</v>
      </c>
      <c r="H784" s="95" t="s">
        <v>952</v>
      </c>
      <c r="I784" s="95" t="s">
        <v>976</v>
      </c>
    </row>
    <row r="785" spans="1:9" ht="14.1" customHeight="1" x14ac:dyDescent="0.2">
      <c r="A785" s="95" t="s">
        <v>2062</v>
      </c>
      <c r="B785" s="95">
        <v>42</v>
      </c>
      <c r="C785" s="95" t="s">
        <v>483</v>
      </c>
      <c r="D785" s="95">
        <v>2012</v>
      </c>
      <c r="E785" s="95">
        <v>7.3529411764705899E-2</v>
      </c>
      <c r="F785" s="95" t="s">
        <v>1273</v>
      </c>
      <c r="G785" s="95" t="s">
        <v>977</v>
      </c>
      <c r="H785" s="95" t="s">
        <v>1273</v>
      </c>
      <c r="I785" s="95" t="s">
        <v>978</v>
      </c>
    </row>
    <row r="786" spans="1:9" ht="14.1" customHeight="1" x14ac:dyDescent="0.2">
      <c r="A786" s="95" t="s">
        <v>2063</v>
      </c>
      <c r="B786" s="95">
        <v>42</v>
      </c>
      <c r="C786" s="95" t="s">
        <v>488</v>
      </c>
      <c r="D786" s="95">
        <v>2012</v>
      </c>
      <c r="E786" s="95">
        <v>7.6435656273914507E-2</v>
      </c>
      <c r="F786" s="95" t="s">
        <v>1273</v>
      </c>
      <c r="G786" s="95" t="s">
        <v>979</v>
      </c>
      <c r="H786" s="95" t="s">
        <v>1273</v>
      </c>
      <c r="I786" s="95" t="s">
        <v>980</v>
      </c>
    </row>
    <row r="787" spans="1:9" ht="14.1" customHeight="1" x14ac:dyDescent="0.2">
      <c r="A787" s="95" t="s">
        <v>2064</v>
      </c>
      <c r="B787" s="95">
        <v>42</v>
      </c>
      <c r="C787" s="95" t="s">
        <v>487</v>
      </c>
      <c r="D787" s="95">
        <v>2012</v>
      </c>
      <c r="E787" s="95">
        <v>0.11847058823529399</v>
      </c>
      <c r="F787" s="95" t="s">
        <v>1273</v>
      </c>
      <c r="G787" s="95" t="s">
        <v>981</v>
      </c>
      <c r="H787" s="95" t="s">
        <v>1273</v>
      </c>
      <c r="I787" s="95" t="s">
        <v>982</v>
      </c>
    </row>
    <row r="788" spans="1:9" ht="14.1" customHeight="1" x14ac:dyDescent="0.2">
      <c r="A788" s="95" t="s">
        <v>2065</v>
      </c>
      <c r="B788" s="95">
        <v>42</v>
      </c>
      <c r="C788" s="95" t="s">
        <v>486</v>
      </c>
      <c r="D788" s="95">
        <v>2012</v>
      </c>
      <c r="E788" s="95">
        <v>5.8529411764705899E-2</v>
      </c>
      <c r="F788" s="95" t="s">
        <v>1273</v>
      </c>
      <c r="G788" s="95" t="s">
        <v>983</v>
      </c>
      <c r="H788" s="95" t="s">
        <v>1273</v>
      </c>
      <c r="I788" s="95" t="s">
        <v>984</v>
      </c>
    </row>
    <row r="789" spans="1:9" ht="14.1" customHeight="1" x14ac:dyDescent="0.2">
      <c r="A789" s="95" t="s">
        <v>2066</v>
      </c>
      <c r="B789" s="95">
        <v>42</v>
      </c>
      <c r="C789" s="95" t="s">
        <v>482</v>
      </c>
      <c r="D789" s="95">
        <v>2012</v>
      </c>
      <c r="E789" s="95">
        <v>5.1480382352941202E-2</v>
      </c>
      <c r="F789" s="95" t="s">
        <v>1273</v>
      </c>
      <c r="G789" s="95" t="s">
        <v>985</v>
      </c>
      <c r="H789" s="95" t="s">
        <v>1273</v>
      </c>
      <c r="I789" s="95" t="s">
        <v>986</v>
      </c>
    </row>
    <row r="790" spans="1:9" ht="14.1" customHeight="1" x14ac:dyDescent="0.2">
      <c r="A790" s="95" t="s">
        <v>2067</v>
      </c>
      <c r="B790" s="95">
        <v>42</v>
      </c>
      <c r="C790" s="95" t="s">
        <v>490</v>
      </c>
      <c r="D790" s="95">
        <v>2012</v>
      </c>
      <c r="E790" s="95">
        <v>6.6764705882352907E-2</v>
      </c>
      <c r="F790" s="95" t="s">
        <v>1273</v>
      </c>
      <c r="G790" s="95" t="s">
        <v>987</v>
      </c>
      <c r="H790" s="95" t="s">
        <v>1273</v>
      </c>
      <c r="I790" s="95" t="s">
        <v>988</v>
      </c>
    </row>
    <row r="791" spans="1:9" ht="14.1" customHeight="1" x14ac:dyDescent="0.2">
      <c r="A791" s="95" t="s">
        <v>2068</v>
      </c>
      <c r="B791" s="95">
        <v>42</v>
      </c>
      <c r="C791" s="95" t="s">
        <v>481</v>
      </c>
      <c r="D791" s="95">
        <v>2012</v>
      </c>
      <c r="E791" s="95">
        <v>6.2220763204567903E-2</v>
      </c>
      <c r="F791" s="95" t="s">
        <v>1273</v>
      </c>
      <c r="G791" s="95" t="s">
        <v>967</v>
      </c>
      <c r="H791" s="95" t="s">
        <v>1273</v>
      </c>
      <c r="I791" s="95" t="s">
        <v>968</v>
      </c>
    </row>
    <row r="792" spans="1:9" ht="14.1" customHeight="1" x14ac:dyDescent="0.2">
      <c r="A792" s="95" t="s">
        <v>2069</v>
      </c>
      <c r="B792" s="95">
        <v>42</v>
      </c>
      <c r="C792" s="95" t="s">
        <v>484</v>
      </c>
      <c r="D792" s="95">
        <v>2012</v>
      </c>
      <c r="E792" s="95">
        <v>5.9617647058823497E-2</v>
      </c>
      <c r="F792" s="95" t="s">
        <v>1273</v>
      </c>
      <c r="G792" s="95" t="s">
        <v>989</v>
      </c>
      <c r="H792" s="95" t="s">
        <v>1273</v>
      </c>
      <c r="I792" s="95" t="s">
        <v>990</v>
      </c>
    </row>
    <row r="793" spans="1:9" ht="14.1" customHeight="1" x14ac:dyDescent="0.2">
      <c r="A793" s="95" t="s">
        <v>2070</v>
      </c>
      <c r="B793" s="95">
        <v>42</v>
      </c>
      <c r="C793" s="95" t="s">
        <v>485</v>
      </c>
      <c r="D793" s="95">
        <v>2012</v>
      </c>
      <c r="E793" s="95">
        <v>7.0588235294117604E-2</v>
      </c>
      <c r="F793" s="95" t="s">
        <v>1273</v>
      </c>
      <c r="G793" s="95" t="s">
        <v>991</v>
      </c>
      <c r="H793" s="95" t="s">
        <v>1273</v>
      </c>
      <c r="I793" s="95" t="s">
        <v>992</v>
      </c>
    </row>
    <row r="794" spans="1:9" ht="14.1" customHeight="1" x14ac:dyDescent="0.2">
      <c r="A794" s="95" t="s">
        <v>2071</v>
      </c>
      <c r="B794" s="95">
        <v>42</v>
      </c>
      <c r="C794" s="95" t="s">
        <v>489</v>
      </c>
      <c r="D794" s="95">
        <v>2012</v>
      </c>
      <c r="E794" s="95">
        <v>0.13970588235294101</v>
      </c>
      <c r="F794" s="95" t="s">
        <v>1273</v>
      </c>
      <c r="G794" s="95" t="s">
        <v>977</v>
      </c>
      <c r="H794" s="95" t="s">
        <v>1273</v>
      </c>
      <c r="I794" s="95" t="s">
        <v>993</v>
      </c>
    </row>
    <row r="795" spans="1:9" ht="14.1" customHeight="1" x14ac:dyDescent="0.2">
      <c r="A795" s="95" t="s">
        <v>2072</v>
      </c>
      <c r="B795" s="95">
        <v>43</v>
      </c>
      <c r="C795" s="95" t="s">
        <v>518</v>
      </c>
      <c r="D795" s="95">
        <v>2012</v>
      </c>
      <c r="E795" s="95">
        <v>18181</v>
      </c>
      <c r="F795" s="95" t="s">
        <v>619</v>
      </c>
      <c r="G795" s="95" t="s">
        <v>573</v>
      </c>
      <c r="H795" s="95" t="s">
        <v>619</v>
      </c>
      <c r="I795" s="95" t="s">
        <v>816</v>
      </c>
    </row>
    <row r="796" spans="1:9" ht="14.1" customHeight="1" x14ac:dyDescent="0.2">
      <c r="A796" s="95" t="s">
        <v>2073</v>
      </c>
      <c r="B796" s="95">
        <v>43</v>
      </c>
      <c r="C796" s="95" t="s">
        <v>522</v>
      </c>
      <c r="D796" s="95">
        <v>2012</v>
      </c>
      <c r="E796" s="95">
        <v>3216</v>
      </c>
      <c r="F796" s="95" t="s">
        <v>3082</v>
      </c>
      <c r="G796" s="95" t="s">
        <v>573</v>
      </c>
      <c r="H796" s="95" t="s">
        <v>3082</v>
      </c>
      <c r="I796" s="95" t="s">
        <v>994</v>
      </c>
    </row>
    <row r="797" spans="1:9" ht="14.1" customHeight="1" x14ac:dyDescent="0.2">
      <c r="A797" s="95" t="s">
        <v>2074</v>
      </c>
      <c r="B797" s="95">
        <v>43</v>
      </c>
      <c r="C797" s="95" t="s">
        <v>524</v>
      </c>
      <c r="D797" s="95">
        <v>2012</v>
      </c>
      <c r="E797" s="95">
        <v>27217</v>
      </c>
      <c r="F797" s="95" t="s">
        <v>3083</v>
      </c>
      <c r="G797" s="95" t="s">
        <v>995</v>
      </c>
      <c r="H797" s="95" t="s">
        <v>3083</v>
      </c>
      <c r="I797" s="95" t="s">
        <v>996</v>
      </c>
    </row>
    <row r="798" spans="1:9" ht="14.1" customHeight="1" x14ac:dyDescent="0.2">
      <c r="A798" s="95" t="s">
        <v>2075</v>
      </c>
      <c r="B798" s="95">
        <v>43</v>
      </c>
      <c r="C798" s="95" t="s">
        <v>528</v>
      </c>
      <c r="D798" s="95">
        <v>2012</v>
      </c>
      <c r="E798" s="95">
        <v>2133</v>
      </c>
      <c r="F798" s="95" t="s">
        <v>654</v>
      </c>
      <c r="G798" s="95" t="s">
        <v>821</v>
      </c>
      <c r="H798" s="95" t="s">
        <v>654</v>
      </c>
      <c r="I798" s="95" t="s">
        <v>822</v>
      </c>
    </row>
    <row r="799" spans="1:9" ht="14.1" customHeight="1" x14ac:dyDescent="0.2">
      <c r="A799" s="95" t="s">
        <v>2076</v>
      </c>
      <c r="B799" s="95">
        <v>43</v>
      </c>
      <c r="C799" s="95" t="s">
        <v>530</v>
      </c>
      <c r="D799" s="95">
        <v>2012</v>
      </c>
      <c r="E799" s="95">
        <v>965.5</v>
      </c>
      <c r="F799" s="95" t="s">
        <v>615</v>
      </c>
      <c r="G799" s="95" t="s">
        <v>655</v>
      </c>
      <c r="H799" s="95" t="s">
        <v>615</v>
      </c>
      <c r="I799" s="95" t="s">
        <v>997</v>
      </c>
    </row>
    <row r="800" spans="1:9" ht="14.1" customHeight="1" x14ac:dyDescent="0.2">
      <c r="A800" s="95" t="s">
        <v>2077</v>
      </c>
      <c r="B800" s="95">
        <v>43</v>
      </c>
      <c r="C800" s="95" t="s">
        <v>532</v>
      </c>
      <c r="D800" s="95">
        <v>2012</v>
      </c>
      <c r="E800" s="95">
        <v>98</v>
      </c>
      <c r="F800" s="95" t="s">
        <v>509</v>
      </c>
      <c r="G800" s="95">
        <v>0</v>
      </c>
      <c r="H800" s="95" t="s">
        <v>509</v>
      </c>
      <c r="I800" s="95">
        <v>0</v>
      </c>
    </row>
    <row r="801" spans="1:9" ht="14.1" customHeight="1" x14ac:dyDescent="0.2">
      <c r="A801" s="95" t="s">
        <v>2078</v>
      </c>
      <c r="B801" s="95">
        <v>43</v>
      </c>
      <c r="C801" s="95" t="s">
        <v>536</v>
      </c>
      <c r="D801" s="95">
        <v>2012</v>
      </c>
      <c r="E801" s="95">
        <v>333.9</v>
      </c>
      <c r="F801" s="95" t="s">
        <v>998</v>
      </c>
      <c r="G801" s="95">
        <v>0</v>
      </c>
      <c r="H801" s="95" t="s">
        <v>998</v>
      </c>
      <c r="I801" s="95">
        <v>0</v>
      </c>
    </row>
    <row r="802" spans="1:9" ht="14.1" customHeight="1" x14ac:dyDescent="0.2">
      <c r="A802" s="95" t="s">
        <v>2079</v>
      </c>
      <c r="B802" s="95">
        <v>43</v>
      </c>
      <c r="C802" s="95" t="s">
        <v>538</v>
      </c>
      <c r="D802" s="95">
        <v>2012</v>
      </c>
      <c r="E802" s="95">
        <v>1928.8</v>
      </c>
      <c r="F802" s="95" t="s">
        <v>3084</v>
      </c>
      <c r="G802" s="95" t="s">
        <v>821</v>
      </c>
      <c r="H802" s="95" t="s">
        <v>3084</v>
      </c>
      <c r="I802" s="95" t="s">
        <v>822</v>
      </c>
    </row>
    <row r="803" spans="1:9" ht="14.1" customHeight="1" x14ac:dyDescent="0.2">
      <c r="A803" s="95" t="s">
        <v>2080</v>
      </c>
      <c r="B803" s="95">
        <v>43</v>
      </c>
      <c r="C803" s="95" t="s">
        <v>546</v>
      </c>
      <c r="D803" s="95">
        <v>2012</v>
      </c>
      <c r="E803" s="95">
        <v>1640</v>
      </c>
      <c r="F803" s="95" t="s">
        <v>999</v>
      </c>
      <c r="G803" s="95" t="s">
        <v>573</v>
      </c>
      <c r="H803" s="95" t="s">
        <v>999</v>
      </c>
      <c r="I803" s="95" t="s">
        <v>816</v>
      </c>
    </row>
    <row r="804" spans="1:9" ht="14.1" customHeight="1" x14ac:dyDescent="0.2">
      <c r="A804" s="95" t="s">
        <v>2081</v>
      </c>
      <c r="B804" s="95">
        <v>43</v>
      </c>
      <c r="C804" s="95" t="s">
        <v>488</v>
      </c>
      <c r="D804" s="95">
        <v>2012</v>
      </c>
      <c r="E804" s="95">
        <v>940</v>
      </c>
      <c r="F804" s="95" t="s">
        <v>836</v>
      </c>
      <c r="G804" s="95">
        <v>0</v>
      </c>
      <c r="H804" s="95" t="s">
        <v>836</v>
      </c>
      <c r="I804" s="95">
        <v>0</v>
      </c>
    </row>
    <row r="805" spans="1:9" ht="14.1" customHeight="1" x14ac:dyDescent="0.2">
      <c r="A805" s="95" t="s">
        <v>2082</v>
      </c>
      <c r="B805" s="95">
        <v>43</v>
      </c>
      <c r="C805" s="95" t="s">
        <v>487</v>
      </c>
      <c r="D805" s="95">
        <v>2012</v>
      </c>
      <c r="E805" s="95">
        <v>270</v>
      </c>
      <c r="F805" s="95" t="s">
        <v>1000</v>
      </c>
      <c r="G805" s="95" t="s">
        <v>656</v>
      </c>
      <c r="H805" s="95" t="s">
        <v>1000</v>
      </c>
      <c r="I805" s="95" t="s">
        <v>1001</v>
      </c>
    </row>
    <row r="806" spans="1:9" ht="14.1" customHeight="1" x14ac:dyDescent="0.2">
      <c r="A806" s="95" t="s">
        <v>2083</v>
      </c>
      <c r="B806" s="95">
        <v>43</v>
      </c>
      <c r="C806" s="95" t="s">
        <v>486</v>
      </c>
      <c r="D806" s="95">
        <v>2012</v>
      </c>
      <c r="E806" s="95">
        <v>12.5</v>
      </c>
      <c r="F806" s="95" t="s">
        <v>1273</v>
      </c>
      <c r="G806" s="95" t="s">
        <v>573</v>
      </c>
      <c r="H806" s="95" t="s">
        <v>1273</v>
      </c>
      <c r="I806" s="95" t="s">
        <v>816</v>
      </c>
    </row>
    <row r="807" spans="1:9" ht="14.1" customHeight="1" x14ac:dyDescent="0.2">
      <c r="A807" s="95" t="s">
        <v>2084</v>
      </c>
      <c r="B807" s="95">
        <v>43</v>
      </c>
      <c r="C807" s="95" t="s">
        <v>481</v>
      </c>
      <c r="D807" s="95">
        <v>2012</v>
      </c>
      <c r="E807" s="95">
        <v>26727</v>
      </c>
      <c r="F807" s="95" t="s">
        <v>621</v>
      </c>
      <c r="G807" s="95">
        <v>0</v>
      </c>
      <c r="H807" s="95" t="s">
        <v>621</v>
      </c>
      <c r="I807" s="95">
        <v>0</v>
      </c>
    </row>
    <row r="808" spans="1:9" ht="14.1" customHeight="1" x14ac:dyDescent="0.2">
      <c r="A808" s="95" t="s">
        <v>2085</v>
      </c>
      <c r="B808" s="95">
        <v>43</v>
      </c>
      <c r="C808" s="95" t="s">
        <v>485</v>
      </c>
      <c r="D808" s="95">
        <v>2012</v>
      </c>
      <c r="E808" s="95">
        <v>76.59</v>
      </c>
      <c r="F808" s="95" t="s">
        <v>1273</v>
      </c>
      <c r="G808" s="95">
        <v>0</v>
      </c>
      <c r="H808" s="95" t="s">
        <v>1273</v>
      </c>
      <c r="I808" s="95">
        <v>0</v>
      </c>
    </row>
    <row r="809" spans="1:9" ht="14.1" customHeight="1" x14ac:dyDescent="0.2">
      <c r="A809" s="95" t="s">
        <v>2086</v>
      </c>
      <c r="B809" s="95">
        <v>44</v>
      </c>
      <c r="C809" s="95" t="s">
        <v>546</v>
      </c>
      <c r="D809" s="95">
        <v>2012</v>
      </c>
      <c r="E809" s="95">
        <v>111</v>
      </c>
      <c r="F809" s="95" t="s">
        <v>999</v>
      </c>
      <c r="G809" s="95" t="s">
        <v>573</v>
      </c>
      <c r="H809" s="95" t="s">
        <v>999</v>
      </c>
      <c r="I809" s="95" t="s">
        <v>816</v>
      </c>
    </row>
    <row r="810" spans="1:9" ht="14.1" customHeight="1" x14ac:dyDescent="0.2">
      <c r="A810" s="95" t="s">
        <v>2087</v>
      </c>
      <c r="B810" s="95">
        <v>44</v>
      </c>
      <c r="C810" s="95" t="s">
        <v>481</v>
      </c>
      <c r="D810" s="95">
        <v>2012</v>
      </c>
      <c r="E810" s="95">
        <v>428</v>
      </c>
      <c r="F810" s="95" t="s">
        <v>815</v>
      </c>
      <c r="G810" s="95" t="s">
        <v>573</v>
      </c>
      <c r="H810" s="95" t="s">
        <v>815</v>
      </c>
      <c r="I810" s="95" t="s">
        <v>816</v>
      </c>
    </row>
    <row r="811" spans="1:9" ht="14.1" customHeight="1" x14ac:dyDescent="0.2">
      <c r="A811" s="95" t="s">
        <v>2088</v>
      </c>
      <c r="B811" s="95">
        <v>46</v>
      </c>
      <c r="C811" s="95" t="s">
        <v>518</v>
      </c>
      <c r="D811" s="95">
        <v>2012</v>
      </c>
      <c r="E811" s="95">
        <v>294</v>
      </c>
      <c r="F811" s="95" t="s">
        <v>619</v>
      </c>
      <c r="G811" s="95">
        <v>0</v>
      </c>
      <c r="H811" s="95" t="s">
        <v>619</v>
      </c>
      <c r="I811" s="95">
        <v>0</v>
      </c>
    </row>
    <row r="812" spans="1:9" ht="14.1" customHeight="1" x14ac:dyDescent="0.2">
      <c r="A812" s="95" t="s">
        <v>2089</v>
      </c>
      <c r="B812" s="95">
        <v>46</v>
      </c>
      <c r="C812" s="95" t="s">
        <v>522</v>
      </c>
      <c r="D812" s="95">
        <v>2012</v>
      </c>
      <c r="E812" s="95">
        <v>62</v>
      </c>
      <c r="F812" s="95" t="s">
        <v>1002</v>
      </c>
      <c r="G812" s="95">
        <v>0</v>
      </c>
      <c r="H812" s="95" t="s">
        <v>1002</v>
      </c>
      <c r="I812" s="95">
        <v>0</v>
      </c>
    </row>
    <row r="813" spans="1:9" ht="14.1" customHeight="1" x14ac:dyDescent="0.2">
      <c r="A813" s="95" t="s">
        <v>2090</v>
      </c>
      <c r="B813" s="95">
        <v>46</v>
      </c>
      <c r="C813" s="95" t="s">
        <v>524</v>
      </c>
      <c r="D813" s="95">
        <v>2012</v>
      </c>
      <c r="E813" s="95">
        <v>2972</v>
      </c>
      <c r="F813" s="95" t="s">
        <v>623</v>
      </c>
      <c r="G813" s="95">
        <v>0</v>
      </c>
      <c r="H813" s="95" t="s">
        <v>623</v>
      </c>
      <c r="I813" s="95">
        <v>0</v>
      </c>
    </row>
    <row r="814" spans="1:9" ht="14.1" customHeight="1" x14ac:dyDescent="0.2">
      <c r="A814" s="95" t="s">
        <v>2091</v>
      </c>
      <c r="B814" s="95">
        <v>46</v>
      </c>
      <c r="C814" s="95" t="s">
        <v>528</v>
      </c>
      <c r="D814" s="95">
        <v>2012</v>
      </c>
      <c r="E814" s="95">
        <v>368</v>
      </c>
      <c r="F814" s="95" t="s">
        <v>1003</v>
      </c>
      <c r="G814" s="95" t="s">
        <v>565</v>
      </c>
      <c r="H814" s="95" t="s">
        <v>1003</v>
      </c>
      <c r="I814" s="95" t="s">
        <v>802</v>
      </c>
    </row>
    <row r="815" spans="1:9" ht="14.1" customHeight="1" x14ac:dyDescent="0.2">
      <c r="A815" s="95" t="s">
        <v>2092</v>
      </c>
      <c r="B815" s="95">
        <v>46</v>
      </c>
      <c r="C815" s="95" t="s">
        <v>536</v>
      </c>
      <c r="D815" s="95">
        <v>2012</v>
      </c>
      <c r="E815" s="95">
        <v>2</v>
      </c>
      <c r="F815" s="95" t="s">
        <v>998</v>
      </c>
      <c r="G815" s="95">
        <v>0</v>
      </c>
      <c r="H815" s="95" t="s">
        <v>998</v>
      </c>
      <c r="I815" s="95">
        <v>0</v>
      </c>
    </row>
    <row r="816" spans="1:9" ht="14.1" customHeight="1" x14ac:dyDescent="0.2">
      <c r="A816" s="95" t="s">
        <v>2093</v>
      </c>
      <c r="B816" s="95">
        <v>46</v>
      </c>
      <c r="C816" s="95" t="s">
        <v>538</v>
      </c>
      <c r="D816" s="95">
        <v>2012</v>
      </c>
      <c r="E816" s="95">
        <v>160</v>
      </c>
      <c r="F816" s="95" t="s">
        <v>3074</v>
      </c>
      <c r="G816" s="95">
        <v>0</v>
      </c>
      <c r="H816" s="95" t="s">
        <v>3074</v>
      </c>
      <c r="I816" s="95">
        <v>0</v>
      </c>
    </row>
    <row r="817" spans="1:9" ht="14.1" customHeight="1" x14ac:dyDescent="0.2">
      <c r="A817" s="95" t="s">
        <v>2094</v>
      </c>
      <c r="B817" s="95">
        <v>46</v>
      </c>
      <c r="C817" s="95" t="s">
        <v>546</v>
      </c>
      <c r="D817" s="95">
        <v>2012</v>
      </c>
      <c r="E817" s="95">
        <v>20</v>
      </c>
      <c r="F817" s="95" t="s">
        <v>999</v>
      </c>
      <c r="G817" s="95">
        <v>0</v>
      </c>
      <c r="H817" s="95" t="s">
        <v>999</v>
      </c>
      <c r="I817" s="95">
        <v>0</v>
      </c>
    </row>
    <row r="818" spans="1:9" ht="14.1" customHeight="1" x14ac:dyDescent="0.2">
      <c r="A818" s="95" t="s">
        <v>2095</v>
      </c>
      <c r="B818" s="95">
        <v>46</v>
      </c>
      <c r="C818" s="95" t="s">
        <v>488</v>
      </c>
      <c r="D818" s="95">
        <v>2012</v>
      </c>
      <c r="E818" s="95">
        <v>57</v>
      </c>
      <c r="F818" s="95" t="s">
        <v>836</v>
      </c>
      <c r="G818" s="95">
        <v>0</v>
      </c>
      <c r="H818" s="95" t="s">
        <v>836</v>
      </c>
      <c r="I818" s="95">
        <v>0</v>
      </c>
    </row>
    <row r="819" spans="1:9" ht="14.1" customHeight="1" x14ac:dyDescent="0.2">
      <c r="A819" s="95" t="s">
        <v>2096</v>
      </c>
      <c r="B819" s="95">
        <v>46</v>
      </c>
      <c r="C819" s="95" t="s">
        <v>486</v>
      </c>
      <c r="D819" s="95">
        <v>2012</v>
      </c>
      <c r="E819" s="95">
        <v>8</v>
      </c>
      <c r="F819" s="95" t="s">
        <v>815</v>
      </c>
      <c r="G819" s="95">
        <v>0</v>
      </c>
      <c r="H819" s="95" t="s">
        <v>815</v>
      </c>
      <c r="I819" s="95">
        <v>0</v>
      </c>
    </row>
    <row r="820" spans="1:9" ht="14.1" customHeight="1" x14ac:dyDescent="0.2">
      <c r="A820" s="95" t="s">
        <v>2097</v>
      </c>
      <c r="B820" s="95">
        <v>46</v>
      </c>
      <c r="C820" s="95" t="s">
        <v>481</v>
      </c>
      <c r="D820" s="95">
        <v>2012</v>
      </c>
      <c r="E820" s="95">
        <v>1238</v>
      </c>
      <c r="F820" s="95" t="s">
        <v>621</v>
      </c>
      <c r="G820" s="95">
        <v>0</v>
      </c>
      <c r="H820" s="95" t="s">
        <v>621</v>
      </c>
      <c r="I820" s="95">
        <v>0</v>
      </c>
    </row>
    <row r="821" spans="1:9" ht="14.1" customHeight="1" x14ac:dyDescent="0.2">
      <c r="A821" s="95" t="s">
        <v>2098</v>
      </c>
      <c r="B821" s="95">
        <v>46</v>
      </c>
      <c r="C821" s="95" t="s">
        <v>485</v>
      </c>
      <c r="D821" s="95">
        <v>2012</v>
      </c>
      <c r="E821" s="95">
        <v>18</v>
      </c>
      <c r="F821" s="95" t="s">
        <v>815</v>
      </c>
      <c r="G821" s="95">
        <v>0</v>
      </c>
      <c r="H821" s="95" t="s">
        <v>815</v>
      </c>
      <c r="I821" s="95">
        <v>0</v>
      </c>
    </row>
    <row r="822" spans="1:9" ht="14.1" customHeight="1" x14ac:dyDescent="0.2">
      <c r="A822" s="95" t="s">
        <v>2099</v>
      </c>
      <c r="B822" s="95">
        <v>47</v>
      </c>
      <c r="C822" s="95" t="s">
        <v>538</v>
      </c>
      <c r="D822" s="95">
        <v>2012</v>
      </c>
      <c r="E822" s="95">
        <v>92</v>
      </c>
      <c r="F822" s="95" t="s">
        <v>3074</v>
      </c>
      <c r="G822" s="95">
        <v>0</v>
      </c>
      <c r="H822" s="95" t="s">
        <v>3074</v>
      </c>
      <c r="I822" s="95">
        <v>0</v>
      </c>
    </row>
    <row r="823" spans="1:9" ht="14.1" customHeight="1" x14ac:dyDescent="0.2">
      <c r="A823" s="95" t="s">
        <v>2100</v>
      </c>
      <c r="B823" s="95">
        <v>47</v>
      </c>
      <c r="C823" s="95" t="s">
        <v>485</v>
      </c>
      <c r="D823" s="95">
        <v>2012</v>
      </c>
      <c r="E823" s="95">
        <v>10</v>
      </c>
      <c r="F823" s="95" t="s">
        <v>815</v>
      </c>
      <c r="G823" s="95">
        <v>0</v>
      </c>
      <c r="H823" s="95" t="s">
        <v>815</v>
      </c>
      <c r="I823" s="95">
        <v>0</v>
      </c>
    </row>
    <row r="824" spans="1:9" ht="14.1" customHeight="1" x14ac:dyDescent="0.2">
      <c r="A824" s="95" t="s">
        <v>2101</v>
      </c>
      <c r="B824" s="95">
        <v>48</v>
      </c>
      <c r="C824" s="95" t="s">
        <v>524</v>
      </c>
      <c r="D824" s="95">
        <v>2012</v>
      </c>
      <c r="E824" s="95">
        <v>2790</v>
      </c>
      <c r="F824" s="95" t="s">
        <v>623</v>
      </c>
      <c r="G824" s="95" t="s">
        <v>573</v>
      </c>
      <c r="H824" s="95" t="s">
        <v>623</v>
      </c>
      <c r="I824" s="95" t="s">
        <v>1004</v>
      </c>
    </row>
    <row r="825" spans="1:9" ht="14.1" customHeight="1" x14ac:dyDescent="0.2">
      <c r="A825" s="95" t="s">
        <v>2102</v>
      </c>
      <c r="B825" s="95">
        <v>48</v>
      </c>
      <c r="C825" s="95" t="s">
        <v>536</v>
      </c>
      <c r="D825" s="95">
        <v>2012</v>
      </c>
      <c r="E825" s="95">
        <v>1050</v>
      </c>
      <c r="F825" s="95" t="s">
        <v>998</v>
      </c>
      <c r="G825" s="95">
        <v>0</v>
      </c>
      <c r="H825" s="95" t="s">
        <v>998</v>
      </c>
      <c r="I825" s="95">
        <v>0</v>
      </c>
    </row>
    <row r="826" spans="1:9" ht="14.1" customHeight="1" x14ac:dyDescent="0.2">
      <c r="A826" s="95" t="s">
        <v>2103</v>
      </c>
      <c r="B826" s="95">
        <v>48</v>
      </c>
      <c r="C826" s="95" t="s">
        <v>538</v>
      </c>
      <c r="D826" s="95">
        <v>2012</v>
      </c>
      <c r="E826" s="95">
        <v>1434</v>
      </c>
      <c r="F826" s="95" t="s">
        <v>3074</v>
      </c>
      <c r="G826" s="95">
        <v>0</v>
      </c>
      <c r="H826" s="95" t="s">
        <v>3074</v>
      </c>
      <c r="I826" s="95">
        <v>0</v>
      </c>
    </row>
    <row r="827" spans="1:9" ht="14.1" customHeight="1" x14ac:dyDescent="0.2">
      <c r="A827" s="95" t="s">
        <v>2104</v>
      </c>
      <c r="B827" s="95">
        <v>48</v>
      </c>
      <c r="C827" s="95" t="s">
        <v>546</v>
      </c>
      <c r="D827" s="95">
        <v>2012</v>
      </c>
      <c r="E827" s="95">
        <v>1282</v>
      </c>
      <c r="F827" s="95" t="s">
        <v>589</v>
      </c>
      <c r="G827" s="95">
        <v>0</v>
      </c>
      <c r="H827" s="95" t="s">
        <v>589</v>
      </c>
      <c r="I827" s="95">
        <v>0</v>
      </c>
    </row>
    <row r="828" spans="1:9" ht="14.1" customHeight="1" x14ac:dyDescent="0.2">
      <c r="A828" s="95" t="s">
        <v>2105</v>
      </c>
      <c r="B828" s="95">
        <v>48</v>
      </c>
      <c r="C828" s="95" t="s">
        <v>481</v>
      </c>
      <c r="D828" s="95">
        <v>2012</v>
      </c>
      <c r="E828" s="95">
        <v>3354</v>
      </c>
      <c r="F828" s="95" t="s">
        <v>621</v>
      </c>
      <c r="G828" s="95">
        <v>0</v>
      </c>
      <c r="H828" s="95" t="s">
        <v>621</v>
      </c>
      <c r="I828" s="95">
        <v>0</v>
      </c>
    </row>
    <row r="829" spans="1:9" ht="14.1" customHeight="1" x14ac:dyDescent="0.2">
      <c r="A829" s="95" t="s">
        <v>2106</v>
      </c>
      <c r="B829" s="95">
        <v>48</v>
      </c>
      <c r="C829" s="95" t="s">
        <v>485</v>
      </c>
      <c r="D829" s="95">
        <v>2012</v>
      </c>
      <c r="E829" s="95">
        <v>3250</v>
      </c>
      <c r="F829" s="95" t="s">
        <v>1273</v>
      </c>
      <c r="G829" s="95">
        <v>0</v>
      </c>
      <c r="H829" s="95" t="s">
        <v>1273</v>
      </c>
      <c r="I829" s="95">
        <v>0</v>
      </c>
    </row>
    <row r="830" spans="1:9" ht="14.1" customHeight="1" x14ac:dyDescent="0.2">
      <c r="A830" s="95" t="s">
        <v>2107</v>
      </c>
      <c r="B830" s="95">
        <v>49</v>
      </c>
      <c r="C830" s="95" t="s">
        <v>518</v>
      </c>
      <c r="D830" s="95">
        <v>2012</v>
      </c>
      <c r="E830" s="95">
        <v>15654.8</v>
      </c>
      <c r="F830" s="95" t="s">
        <v>619</v>
      </c>
      <c r="G830" s="95">
        <v>0</v>
      </c>
      <c r="H830" s="95" t="s">
        <v>619</v>
      </c>
      <c r="I830" s="95">
        <v>0</v>
      </c>
    </row>
    <row r="831" spans="1:9" ht="14.1" customHeight="1" x14ac:dyDescent="0.2">
      <c r="A831" s="95" t="s">
        <v>2108</v>
      </c>
      <c r="B831" s="95">
        <v>49</v>
      </c>
      <c r="C831" s="95" t="s">
        <v>522</v>
      </c>
      <c r="D831" s="95">
        <v>2012</v>
      </c>
      <c r="E831" s="95">
        <v>1875</v>
      </c>
      <c r="F831" s="95" t="s">
        <v>1002</v>
      </c>
      <c r="G831" s="95">
        <v>0</v>
      </c>
      <c r="H831" s="95" t="s">
        <v>1002</v>
      </c>
      <c r="I831" s="95">
        <v>0</v>
      </c>
    </row>
    <row r="832" spans="1:9" ht="14.1" customHeight="1" x14ac:dyDescent="0.2">
      <c r="A832" s="95" t="s">
        <v>2109</v>
      </c>
      <c r="B832" s="95">
        <v>49</v>
      </c>
      <c r="C832" s="95" t="s">
        <v>524</v>
      </c>
      <c r="D832" s="95">
        <v>2012</v>
      </c>
      <c r="E832" s="95">
        <v>104931</v>
      </c>
      <c r="F832" s="95" t="s">
        <v>623</v>
      </c>
      <c r="G832" s="95">
        <v>0</v>
      </c>
      <c r="H832" s="95" t="s">
        <v>623</v>
      </c>
      <c r="I832" s="95">
        <v>0</v>
      </c>
    </row>
    <row r="833" spans="1:9" ht="14.1" customHeight="1" x14ac:dyDescent="0.2">
      <c r="A833" s="95" t="s">
        <v>2110</v>
      </c>
      <c r="B833" s="95">
        <v>49</v>
      </c>
      <c r="C833" s="95" t="s">
        <v>528</v>
      </c>
      <c r="D833" s="95">
        <v>2012</v>
      </c>
      <c r="E833" s="95">
        <v>2349</v>
      </c>
      <c r="F833" s="95" t="s">
        <v>624</v>
      </c>
      <c r="G833" s="95">
        <v>0</v>
      </c>
      <c r="H833" s="95" t="s">
        <v>624</v>
      </c>
      <c r="I833" s="95">
        <v>0</v>
      </c>
    </row>
    <row r="834" spans="1:9" ht="14.1" customHeight="1" x14ac:dyDescent="0.2">
      <c r="A834" s="95" t="s">
        <v>2111</v>
      </c>
      <c r="B834" s="95">
        <v>49</v>
      </c>
      <c r="C834" s="95" t="s">
        <v>538</v>
      </c>
      <c r="D834" s="95">
        <v>2012</v>
      </c>
      <c r="E834" s="95">
        <v>2205</v>
      </c>
      <c r="F834" s="95" t="s">
        <v>3074</v>
      </c>
      <c r="G834" s="95">
        <v>0</v>
      </c>
      <c r="H834" s="95" t="s">
        <v>3074</v>
      </c>
      <c r="I834" s="95">
        <v>0</v>
      </c>
    </row>
    <row r="835" spans="1:9" ht="14.1" customHeight="1" x14ac:dyDescent="0.2">
      <c r="A835" s="95" t="s">
        <v>2112</v>
      </c>
      <c r="B835" s="95">
        <v>49</v>
      </c>
      <c r="C835" s="95" t="s">
        <v>546</v>
      </c>
      <c r="D835" s="95">
        <v>2012</v>
      </c>
      <c r="E835" s="95">
        <v>556</v>
      </c>
      <c r="F835" s="95" t="s">
        <v>999</v>
      </c>
      <c r="G835" s="95">
        <v>0</v>
      </c>
      <c r="H835" s="95" t="s">
        <v>999</v>
      </c>
      <c r="I835" s="95">
        <v>0</v>
      </c>
    </row>
    <row r="836" spans="1:9" ht="14.1" customHeight="1" x14ac:dyDescent="0.2">
      <c r="A836" s="95" t="s">
        <v>2113</v>
      </c>
      <c r="B836" s="95">
        <v>49</v>
      </c>
      <c r="C836" s="95" t="s">
        <v>488</v>
      </c>
      <c r="D836" s="95">
        <v>2012</v>
      </c>
      <c r="E836" s="95">
        <v>3104</v>
      </c>
      <c r="F836" s="95" t="s">
        <v>836</v>
      </c>
      <c r="G836" s="95">
        <v>0</v>
      </c>
      <c r="H836" s="95" t="s">
        <v>836</v>
      </c>
      <c r="I836" s="95">
        <v>0</v>
      </c>
    </row>
    <row r="837" spans="1:9" ht="14.1" customHeight="1" x14ac:dyDescent="0.2">
      <c r="A837" s="95" t="s">
        <v>2114</v>
      </c>
      <c r="B837" s="95">
        <v>49</v>
      </c>
      <c r="C837" s="95" t="s">
        <v>481</v>
      </c>
      <c r="D837" s="95">
        <v>2012</v>
      </c>
      <c r="E837" s="95">
        <v>29318</v>
      </c>
      <c r="F837" s="95" t="s">
        <v>620</v>
      </c>
      <c r="G837" s="95">
        <v>0</v>
      </c>
      <c r="H837" s="95" t="s">
        <v>620</v>
      </c>
      <c r="I837" s="95">
        <v>0</v>
      </c>
    </row>
    <row r="838" spans="1:9" ht="14.1" customHeight="1" x14ac:dyDescent="0.2">
      <c r="A838" s="95" t="s">
        <v>2115</v>
      </c>
      <c r="B838" s="95">
        <v>49</v>
      </c>
      <c r="C838" s="95" t="s">
        <v>485</v>
      </c>
      <c r="D838" s="95">
        <v>2012</v>
      </c>
      <c r="E838" s="95">
        <v>22</v>
      </c>
      <c r="F838" s="95" t="s">
        <v>815</v>
      </c>
      <c r="G838" s="95">
        <v>0</v>
      </c>
      <c r="H838" s="95" t="s">
        <v>815</v>
      </c>
      <c r="I838" s="95">
        <v>0</v>
      </c>
    </row>
    <row r="839" spans="1:9" ht="14.1" customHeight="1" x14ac:dyDescent="0.2">
      <c r="A839" s="95" t="s">
        <v>2116</v>
      </c>
      <c r="B839" s="95">
        <v>50</v>
      </c>
      <c r="C839" s="95" t="s">
        <v>481</v>
      </c>
      <c r="D839" s="95">
        <v>2012</v>
      </c>
      <c r="E839" s="95">
        <v>2432724</v>
      </c>
      <c r="F839" s="95" t="s">
        <v>815</v>
      </c>
      <c r="G839" s="95" t="s">
        <v>573</v>
      </c>
      <c r="H839" s="95" t="s">
        <v>815</v>
      </c>
      <c r="I839" s="95" t="s">
        <v>1004</v>
      </c>
    </row>
    <row r="840" spans="1:9" ht="14.1" customHeight="1" x14ac:dyDescent="0.2">
      <c r="A840" s="95" t="s">
        <v>2117</v>
      </c>
      <c r="B840" s="95">
        <v>52</v>
      </c>
      <c r="C840" s="95" t="s">
        <v>518</v>
      </c>
      <c r="D840" s="95">
        <v>2012</v>
      </c>
      <c r="E840" s="95">
        <v>6</v>
      </c>
      <c r="F840" s="95" t="s">
        <v>619</v>
      </c>
      <c r="G840" s="95" t="s">
        <v>821</v>
      </c>
      <c r="H840" s="95" t="s">
        <v>619</v>
      </c>
      <c r="I840" s="95" t="s">
        <v>822</v>
      </c>
    </row>
    <row r="841" spans="1:9" ht="14.1" customHeight="1" x14ac:dyDescent="0.2">
      <c r="A841" s="95" t="s">
        <v>2118</v>
      </c>
      <c r="B841" s="95">
        <v>52</v>
      </c>
      <c r="C841" s="95" t="s">
        <v>522</v>
      </c>
      <c r="D841" s="95">
        <v>2012</v>
      </c>
      <c r="E841" s="95">
        <v>2</v>
      </c>
      <c r="F841" s="95" t="s">
        <v>622</v>
      </c>
      <c r="G841" s="95" t="s">
        <v>821</v>
      </c>
      <c r="H841" s="95" t="s">
        <v>622</v>
      </c>
      <c r="I841" s="95" t="s">
        <v>822</v>
      </c>
    </row>
    <row r="842" spans="1:9" ht="14.1" customHeight="1" x14ac:dyDescent="0.2">
      <c r="A842" s="95" t="s">
        <v>2119</v>
      </c>
      <c r="B842" s="95">
        <v>52</v>
      </c>
      <c r="C842" s="95" t="s">
        <v>524</v>
      </c>
      <c r="D842" s="95">
        <v>2012</v>
      </c>
      <c r="E842" s="95">
        <v>12</v>
      </c>
      <c r="F842" s="95" t="s">
        <v>623</v>
      </c>
      <c r="G842" s="95" t="s">
        <v>1005</v>
      </c>
      <c r="H842" s="95" t="s">
        <v>623</v>
      </c>
      <c r="I842" s="95" t="s">
        <v>1006</v>
      </c>
    </row>
    <row r="843" spans="1:9" ht="14.1" customHeight="1" x14ac:dyDescent="0.2">
      <c r="A843" s="95" t="s">
        <v>2120</v>
      </c>
      <c r="B843" s="95">
        <v>52</v>
      </c>
      <c r="C843" s="95" t="s">
        <v>528</v>
      </c>
      <c r="D843" s="95">
        <v>2012</v>
      </c>
      <c r="E843" s="95">
        <v>2</v>
      </c>
      <c r="F843" s="95" t="s">
        <v>624</v>
      </c>
      <c r="G843" s="95" t="s">
        <v>821</v>
      </c>
      <c r="H843" s="95" t="s">
        <v>624</v>
      </c>
      <c r="I843" s="95" t="s">
        <v>822</v>
      </c>
    </row>
    <row r="844" spans="1:9" ht="14.1" customHeight="1" x14ac:dyDescent="0.2">
      <c r="A844" s="95" t="s">
        <v>2121</v>
      </c>
      <c r="B844" s="95">
        <v>52</v>
      </c>
      <c r="C844" s="95" t="s">
        <v>536</v>
      </c>
      <c r="D844" s="95">
        <v>2012</v>
      </c>
      <c r="E844" s="95">
        <v>1</v>
      </c>
      <c r="F844" s="95" t="s">
        <v>998</v>
      </c>
      <c r="G844" s="95">
        <v>0</v>
      </c>
      <c r="H844" s="95" t="s">
        <v>998</v>
      </c>
      <c r="I844" s="95">
        <v>0</v>
      </c>
    </row>
    <row r="845" spans="1:9" ht="14.1" customHeight="1" x14ac:dyDescent="0.2">
      <c r="A845" s="95" t="s">
        <v>2122</v>
      </c>
      <c r="B845" s="95">
        <v>52</v>
      </c>
      <c r="C845" s="95" t="s">
        <v>538</v>
      </c>
      <c r="D845" s="95">
        <v>2012</v>
      </c>
      <c r="E845" s="95">
        <v>7</v>
      </c>
      <c r="F845" s="95" t="s">
        <v>3074</v>
      </c>
      <c r="G845" s="95">
        <v>0</v>
      </c>
      <c r="H845" s="95" t="s">
        <v>3074</v>
      </c>
      <c r="I845" s="95">
        <v>0</v>
      </c>
    </row>
    <row r="846" spans="1:9" ht="14.1" customHeight="1" x14ac:dyDescent="0.2">
      <c r="A846" s="95" t="s">
        <v>2123</v>
      </c>
      <c r="B846" s="95">
        <v>52</v>
      </c>
      <c r="C846" s="95" t="s">
        <v>546</v>
      </c>
      <c r="D846" s="95">
        <v>2012</v>
      </c>
      <c r="E846" s="95">
        <v>1</v>
      </c>
      <c r="F846" s="95" t="s">
        <v>589</v>
      </c>
      <c r="G846" s="95" t="s">
        <v>573</v>
      </c>
      <c r="H846" s="95" t="s">
        <v>589</v>
      </c>
      <c r="I846" s="95" t="s">
        <v>1007</v>
      </c>
    </row>
    <row r="847" spans="1:9" ht="14.1" customHeight="1" x14ac:dyDescent="0.2">
      <c r="A847" s="95" t="s">
        <v>2124</v>
      </c>
      <c r="B847" s="95">
        <v>52</v>
      </c>
      <c r="C847" s="95" t="s">
        <v>548</v>
      </c>
      <c r="D847" s="95">
        <v>2012</v>
      </c>
      <c r="E847" s="95">
        <v>1</v>
      </c>
      <c r="F847" s="95" t="s">
        <v>825</v>
      </c>
      <c r="G847" s="95">
        <v>0</v>
      </c>
      <c r="H847" s="95" t="s">
        <v>825</v>
      </c>
      <c r="I847" s="95">
        <v>0</v>
      </c>
    </row>
    <row r="848" spans="1:9" ht="14.1" customHeight="1" x14ac:dyDescent="0.2">
      <c r="A848" s="95" t="s">
        <v>2125</v>
      </c>
      <c r="B848" s="95">
        <v>52</v>
      </c>
      <c r="C848" s="95" t="s">
        <v>488</v>
      </c>
      <c r="D848" s="95">
        <v>2012</v>
      </c>
      <c r="E848" s="95">
        <v>5</v>
      </c>
      <c r="F848" s="95" t="s">
        <v>1273</v>
      </c>
      <c r="G848" s="95">
        <v>0</v>
      </c>
      <c r="H848" s="95" t="s">
        <v>1273</v>
      </c>
      <c r="I848" s="95">
        <v>0</v>
      </c>
    </row>
    <row r="849" spans="1:9" ht="14.1" customHeight="1" x14ac:dyDescent="0.2">
      <c r="A849" s="95" t="s">
        <v>2126</v>
      </c>
      <c r="B849" s="95">
        <v>52</v>
      </c>
      <c r="C849" s="95" t="s">
        <v>487</v>
      </c>
      <c r="D849" s="95">
        <v>2012</v>
      </c>
      <c r="E849" s="95">
        <v>1</v>
      </c>
      <c r="F849" s="95" t="s">
        <v>815</v>
      </c>
      <c r="G849" s="95" t="s">
        <v>573</v>
      </c>
      <c r="H849" s="95" t="s">
        <v>815</v>
      </c>
      <c r="I849" s="95" t="s">
        <v>1007</v>
      </c>
    </row>
    <row r="850" spans="1:9" ht="14.1" customHeight="1" x14ac:dyDescent="0.2">
      <c r="A850" s="95" t="s">
        <v>2127</v>
      </c>
      <c r="B850" s="95">
        <v>52</v>
      </c>
      <c r="C850" s="95" t="s">
        <v>481</v>
      </c>
      <c r="D850" s="95">
        <v>2012</v>
      </c>
      <c r="E850" s="95">
        <v>7</v>
      </c>
      <c r="F850" s="95" t="s">
        <v>621</v>
      </c>
      <c r="G850" s="95">
        <v>0</v>
      </c>
      <c r="H850" s="95" t="s">
        <v>621</v>
      </c>
      <c r="I850" s="95">
        <v>0</v>
      </c>
    </row>
    <row r="851" spans="1:9" ht="14.1" customHeight="1" x14ac:dyDescent="0.2">
      <c r="A851" s="95" t="s">
        <v>2128</v>
      </c>
      <c r="B851" s="95">
        <v>52</v>
      </c>
      <c r="C851" s="95" t="s">
        <v>485</v>
      </c>
      <c r="D851" s="95">
        <v>2012</v>
      </c>
      <c r="E851" s="95">
        <v>1</v>
      </c>
      <c r="F851" s="95" t="s">
        <v>1273</v>
      </c>
      <c r="G851" s="95">
        <v>0</v>
      </c>
      <c r="H851" s="95" t="s">
        <v>1273</v>
      </c>
      <c r="I851" s="95">
        <v>0</v>
      </c>
    </row>
    <row r="852" spans="1:9" ht="14.1" customHeight="1" x14ac:dyDescent="0.2">
      <c r="A852" s="95" t="s">
        <v>2129</v>
      </c>
      <c r="B852" s="95">
        <v>53</v>
      </c>
      <c r="C852" s="95" t="s">
        <v>518</v>
      </c>
      <c r="D852" s="95">
        <v>2012</v>
      </c>
      <c r="E852" s="95">
        <v>7277</v>
      </c>
      <c r="F852" s="95" t="s">
        <v>1008</v>
      </c>
      <c r="G852" s="95">
        <v>0</v>
      </c>
      <c r="H852" s="95" t="s">
        <v>1008</v>
      </c>
      <c r="I852" s="95">
        <v>0</v>
      </c>
    </row>
    <row r="853" spans="1:9" ht="14.1" customHeight="1" x14ac:dyDescent="0.2">
      <c r="A853" s="95" t="s">
        <v>2130</v>
      </c>
      <c r="B853" s="95">
        <v>53</v>
      </c>
      <c r="C853" s="95" t="s">
        <v>522</v>
      </c>
      <c r="D853" s="95">
        <v>2012</v>
      </c>
      <c r="E853" s="95">
        <v>939</v>
      </c>
      <c r="F853" s="95" t="s">
        <v>1002</v>
      </c>
      <c r="G853" s="95">
        <v>0</v>
      </c>
      <c r="H853" s="95" t="s">
        <v>1002</v>
      </c>
      <c r="I853" s="95">
        <v>0</v>
      </c>
    </row>
    <row r="854" spans="1:9" ht="14.1" customHeight="1" x14ac:dyDescent="0.2">
      <c r="A854" s="95" t="s">
        <v>2131</v>
      </c>
      <c r="B854" s="95">
        <v>53</v>
      </c>
      <c r="C854" s="95" t="s">
        <v>524</v>
      </c>
      <c r="D854" s="95">
        <v>2012</v>
      </c>
      <c r="E854" s="95">
        <v>42534</v>
      </c>
      <c r="F854" s="95" t="s">
        <v>623</v>
      </c>
      <c r="G854" s="95">
        <v>0</v>
      </c>
      <c r="H854" s="95" t="s">
        <v>623</v>
      </c>
      <c r="I854" s="95">
        <v>0</v>
      </c>
    </row>
    <row r="855" spans="1:9" ht="14.1" customHeight="1" x14ac:dyDescent="0.2">
      <c r="A855" s="95" t="s">
        <v>2132</v>
      </c>
      <c r="B855" s="95">
        <v>53</v>
      </c>
      <c r="C855" s="95" t="s">
        <v>528</v>
      </c>
      <c r="D855" s="95">
        <v>2012</v>
      </c>
      <c r="E855" s="95">
        <v>3631</v>
      </c>
      <c r="F855" s="95" t="s">
        <v>1003</v>
      </c>
      <c r="G855" s="95" t="s">
        <v>565</v>
      </c>
      <c r="H855" s="95" t="s">
        <v>1003</v>
      </c>
      <c r="I855" s="95" t="s">
        <v>802</v>
      </c>
    </row>
    <row r="856" spans="1:9" ht="14.1" customHeight="1" x14ac:dyDescent="0.2">
      <c r="A856" s="95" t="s">
        <v>2133</v>
      </c>
      <c r="B856" s="95">
        <v>53</v>
      </c>
      <c r="C856" s="95" t="s">
        <v>536</v>
      </c>
      <c r="D856" s="95">
        <v>2012</v>
      </c>
      <c r="E856" s="95">
        <v>20</v>
      </c>
      <c r="F856" s="95" t="s">
        <v>998</v>
      </c>
      <c r="G856" s="95">
        <v>0</v>
      </c>
      <c r="H856" s="95" t="s">
        <v>998</v>
      </c>
      <c r="I856" s="95">
        <v>0</v>
      </c>
    </row>
    <row r="857" spans="1:9" ht="14.1" customHeight="1" x14ac:dyDescent="0.2">
      <c r="A857" s="95" t="s">
        <v>2134</v>
      </c>
      <c r="B857" s="95">
        <v>53</v>
      </c>
      <c r="C857" s="95" t="s">
        <v>546</v>
      </c>
      <c r="D857" s="95">
        <v>2012</v>
      </c>
      <c r="E857" s="95">
        <v>1084</v>
      </c>
      <c r="F857" s="95" t="s">
        <v>999</v>
      </c>
      <c r="G857" s="95" t="s">
        <v>573</v>
      </c>
      <c r="H857" s="95" t="s">
        <v>999</v>
      </c>
      <c r="I857" s="95" t="s">
        <v>1007</v>
      </c>
    </row>
    <row r="858" spans="1:9" ht="14.1" customHeight="1" x14ac:dyDescent="0.2">
      <c r="A858" s="95" t="s">
        <v>2135</v>
      </c>
      <c r="B858" s="95">
        <v>53</v>
      </c>
      <c r="C858" s="95" t="s">
        <v>481</v>
      </c>
      <c r="D858" s="95">
        <v>2012</v>
      </c>
      <c r="E858" s="95">
        <v>14885</v>
      </c>
      <c r="F858" s="95" t="s">
        <v>621</v>
      </c>
      <c r="G858" s="95">
        <v>0</v>
      </c>
      <c r="H858" s="95" t="s">
        <v>621</v>
      </c>
      <c r="I858" s="95">
        <v>0</v>
      </c>
    </row>
    <row r="859" spans="1:9" ht="14.1" customHeight="1" x14ac:dyDescent="0.2">
      <c r="A859" s="95" t="s">
        <v>2136</v>
      </c>
      <c r="B859" s="95">
        <v>54</v>
      </c>
      <c r="C859" s="95" t="s">
        <v>518</v>
      </c>
      <c r="D859" s="95">
        <v>2012</v>
      </c>
      <c r="E859" s="95">
        <v>63738336000</v>
      </c>
      <c r="F859" s="95" t="s">
        <v>619</v>
      </c>
      <c r="G859" s="95">
        <v>0</v>
      </c>
      <c r="H859" s="95" t="s">
        <v>619</v>
      </c>
      <c r="I859" s="95">
        <v>0</v>
      </c>
    </row>
    <row r="860" spans="1:9" ht="14.1" customHeight="1" x14ac:dyDescent="0.2">
      <c r="A860" s="95" t="s">
        <v>2137</v>
      </c>
      <c r="B860" s="95">
        <v>54</v>
      </c>
      <c r="C860" s="95" t="s">
        <v>524</v>
      </c>
      <c r="D860" s="95">
        <v>2012</v>
      </c>
      <c r="E860" s="95">
        <v>1270977510</v>
      </c>
      <c r="F860" s="95" t="s">
        <v>623</v>
      </c>
      <c r="G860" s="95">
        <v>0</v>
      </c>
      <c r="H860" s="95" t="s">
        <v>623</v>
      </c>
      <c r="I860" s="95">
        <v>0</v>
      </c>
    </row>
    <row r="861" spans="1:9" ht="14.1" customHeight="1" x14ac:dyDescent="0.2">
      <c r="A861" s="95" t="s">
        <v>2138</v>
      </c>
      <c r="B861" s="95">
        <v>54</v>
      </c>
      <c r="C861" s="95" t="s">
        <v>546</v>
      </c>
      <c r="D861" s="95">
        <v>2012</v>
      </c>
      <c r="E861" s="95">
        <v>3429000</v>
      </c>
      <c r="F861" s="95" t="s">
        <v>589</v>
      </c>
      <c r="G861" s="95" t="s">
        <v>573</v>
      </c>
      <c r="H861" s="95" t="s">
        <v>589</v>
      </c>
      <c r="I861" s="95" t="s">
        <v>1007</v>
      </c>
    </row>
    <row r="862" spans="1:9" ht="14.1" customHeight="1" x14ac:dyDescent="0.2">
      <c r="A862" s="95" t="s">
        <v>2139</v>
      </c>
      <c r="B862" s="95">
        <v>54</v>
      </c>
      <c r="C862" s="95" t="s">
        <v>481</v>
      </c>
      <c r="D862" s="95">
        <v>2012</v>
      </c>
      <c r="E862" s="95">
        <v>686400000</v>
      </c>
      <c r="F862" s="95" t="s">
        <v>625</v>
      </c>
      <c r="G862" s="95">
        <v>0</v>
      </c>
      <c r="H862" s="95" t="s">
        <v>625</v>
      </c>
      <c r="I862" s="95">
        <v>0</v>
      </c>
    </row>
    <row r="863" spans="1:9" ht="14.1" customHeight="1" x14ac:dyDescent="0.2">
      <c r="A863" s="95" t="s">
        <v>2140</v>
      </c>
      <c r="B863" s="95">
        <v>56</v>
      </c>
      <c r="C863" s="95" t="s">
        <v>546</v>
      </c>
      <c r="D863" s="95">
        <v>2012</v>
      </c>
      <c r="E863" s="95">
        <v>17000</v>
      </c>
      <c r="F863" s="95" t="s">
        <v>589</v>
      </c>
      <c r="G863" s="95" t="s">
        <v>573</v>
      </c>
      <c r="H863" s="95" t="s">
        <v>589</v>
      </c>
      <c r="I863" s="95" t="s">
        <v>1007</v>
      </c>
    </row>
    <row r="864" spans="1:9" ht="14.1" customHeight="1" x14ac:dyDescent="0.2">
      <c r="A864" s="95" t="s">
        <v>2141</v>
      </c>
      <c r="B864" s="95">
        <v>57</v>
      </c>
      <c r="C864" s="95" t="s">
        <v>518</v>
      </c>
      <c r="D864" s="95">
        <v>2012</v>
      </c>
      <c r="E864" s="95">
        <v>10582.95994386</v>
      </c>
      <c r="F864" s="95" t="s">
        <v>619</v>
      </c>
      <c r="G864" s="95" t="s">
        <v>1009</v>
      </c>
      <c r="H864" s="95" t="s">
        <v>619</v>
      </c>
      <c r="I864" s="95" t="s">
        <v>1010</v>
      </c>
    </row>
    <row r="865" spans="1:9" ht="14.1" customHeight="1" x14ac:dyDescent="0.2">
      <c r="A865" s="95" t="s">
        <v>2142</v>
      </c>
      <c r="B865" s="95">
        <v>57</v>
      </c>
      <c r="C865" s="95" t="s">
        <v>522</v>
      </c>
      <c r="D865" s="95">
        <v>2012</v>
      </c>
      <c r="E865" s="95">
        <v>1123.2149999999999</v>
      </c>
      <c r="F865" s="95" t="s">
        <v>3085</v>
      </c>
      <c r="G865" s="95" t="s">
        <v>907</v>
      </c>
      <c r="H865" s="95" t="s">
        <v>3085</v>
      </c>
      <c r="I865" s="95" t="s">
        <v>908</v>
      </c>
    </row>
    <row r="866" spans="1:9" ht="14.1" customHeight="1" x14ac:dyDescent="0.2">
      <c r="A866" s="95" t="s">
        <v>2143</v>
      </c>
      <c r="B866" s="95">
        <v>57</v>
      </c>
      <c r="C866" s="95" t="s">
        <v>524</v>
      </c>
      <c r="D866" s="95">
        <v>2012</v>
      </c>
      <c r="E866" s="95">
        <v>297800</v>
      </c>
      <c r="F866" s="95" t="s">
        <v>623</v>
      </c>
      <c r="G866" s="95" t="s">
        <v>1011</v>
      </c>
      <c r="H866" s="95" t="s">
        <v>623</v>
      </c>
      <c r="I866" s="95" t="s">
        <v>1006</v>
      </c>
    </row>
    <row r="867" spans="1:9" ht="14.1" customHeight="1" x14ac:dyDescent="0.2">
      <c r="A867" s="95" t="s">
        <v>2144</v>
      </c>
      <c r="B867" s="95">
        <v>57</v>
      </c>
      <c r="C867" s="95" t="s">
        <v>528</v>
      </c>
      <c r="D867" s="95">
        <v>2012</v>
      </c>
      <c r="E867" s="95">
        <v>4089.739</v>
      </c>
      <c r="F867" s="95" t="s">
        <v>1003</v>
      </c>
      <c r="G867" s="95">
        <v>0</v>
      </c>
      <c r="H867" s="95" t="s">
        <v>1003</v>
      </c>
      <c r="I867" s="95">
        <v>0</v>
      </c>
    </row>
    <row r="868" spans="1:9" ht="14.1" customHeight="1" x14ac:dyDescent="0.2">
      <c r="A868" s="95" t="s">
        <v>2145</v>
      </c>
      <c r="B868" s="95">
        <v>57</v>
      </c>
      <c r="C868" s="95" t="s">
        <v>538</v>
      </c>
      <c r="D868" s="95">
        <v>2012</v>
      </c>
      <c r="E868" s="95">
        <v>964.72799999999995</v>
      </c>
      <c r="F868" s="95" t="s">
        <v>3074</v>
      </c>
      <c r="G868" s="95" t="s">
        <v>821</v>
      </c>
      <c r="H868" s="95" t="s">
        <v>3074</v>
      </c>
      <c r="I868" s="95" t="s">
        <v>822</v>
      </c>
    </row>
    <row r="869" spans="1:9" ht="14.1" customHeight="1" x14ac:dyDescent="0.2">
      <c r="A869" s="95" t="s">
        <v>2146</v>
      </c>
      <c r="B869" s="95">
        <v>57</v>
      </c>
      <c r="C869" s="95" t="s">
        <v>546</v>
      </c>
      <c r="D869" s="95">
        <v>2012</v>
      </c>
      <c r="E869" s="95">
        <v>162.03</v>
      </c>
      <c r="F869" s="95" t="s">
        <v>999</v>
      </c>
      <c r="G869" s="95" t="s">
        <v>565</v>
      </c>
      <c r="H869" s="95" t="s">
        <v>999</v>
      </c>
      <c r="I869" s="95" t="s">
        <v>802</v>
      </c>
    </row>
    <row r="870" spans="1:9" ht="14.1" customHeight="1" x14ac:dyDescent="0.2">
      <c r="A870" s="95" t="s">
        <v>2147</v>
      </c>
      <c r="B870" s="95">
        <v>57</v>
      </c>
      <c r="C870" s="95" t="s">
        <v>488</v>
      </c>
      <c r="D870" s="95">
        <v>2012</v>
      </c>
      <c r="E870" s="95">
        <v>15360</v>
      </c>
      <c r="F870" s="95" t="s">
        <v>509</v>
      </c>
      <c r="G870" s="95">
        <v>0</v>
      </c>
      <c r="H870" s="95" t="s">
        <v>509</v>
      </c>
      <c r="I870" s="95">
        <v>0</v>
      </c>
    </row>
    <row r="871" spans="1:9" ht="14.1" customHeight="1" x14ac:dyDescent="0.2">
      <c r="A871" s="95" t="s">
        <v>2148</v>
      </c>
      <c r="B871" s="95">
        <v>57</v>
      </c>
      <c r="C871" s="95" t="s">
        <v>487</v>
      </c>
      <c r="D871" s="95">
        <v>2012</v>
      </c>
      <c r="E871" s="95">
        <v>19</v>
      </c>
      <c r="F871" s="95" t="s">
        <v>815</v>
      </c>
      <c r="G871" s="95" t="s">
        <v>573</v>
      </c>
      <c r="H871" s="95" t="s">
        <v>815</v>
      </c>
      <c r="I871" s="95" t="s">
        <v>816</v>
      </c>
    </row>
    <row r="872" spans="1:9" ht="14.1" customHeight="1" x14ac:dyDescent="0.2">
      <c r="A872" s="95" t="s">
        <v>2149</v>
      </c>
      <c r="B872" s="95">
        <v>57</v>
      </c>
      <c r="C872" s="95" t="s">
        <v>481</v>
      </c>
      <c r="D872" s="95">
        <v>2012</v>
      </c>
      <c r="E872" s="95">
        <v>79353</v>
      </c>
      <c r="F872" s="95" t="s">
        <v>625</v>
      </c>
      <c r="G872" s="95">
        <v>0</v>
      </c>
      <c r="H872" s="95" t="s">
        <v>625</v>
      </c>
      <c r="I872" s="95">
        <v>0</v>
      </c>
    </row>
    <row r="873" spans="1:9" ht="14.1" customHeight="1" x14ac:dyDescent="0.2">
      <c r="A873" s="95" t="s">
        <v>2150</v>
      </c>
      <c r="B873" s="95">
        <v>58</v>
      </c>
      <c r="C873" s="95" t="s">
        <v>518</v>
      </c>
      <c r="D873" s="95">
        <v>2012</v>
      </c>
      <c r="E873" s="95">
        <v>22032832.989999998</v>
      </c>
      <c r="F873" s="95" t="s">
        <v>619</v>
      </c>
      <c r="G873" s="95" t="s">
        <v>1009</v>
      </c>
      <c r="H873" s="95" t="s">
        <v>619</v>
      </c>
      <c r="I873" s="95" t="s">
        <v>1012</v>
      </c>
    </row>
    <row r="874" spans="1:9" ht="14.1" customHeight="1" x14ac:dyDescent="0.2">
      <c r="A874" s="95" t="s">
        <v>2151</v>
      </c>
      <c r="B874" s="95">
        <v>58</v>
      </c>
      <c r="C874" s="95" t="s">
        <v>522</v>
      </c>
      <c r="D874" s="95">
        <v>2012</v>
      </c>
      <c r="E874" s="95">
        <v>2407959</v>
      </c>
      <c r="F874" s="95" t="s">
        <v>1002</v>
      </c>
      <c r="G874" s="95" t="s">
        <v>821</v>
      </c>
      <c r="H874" s="95" t="s">
        <v>1002</v>
      </c>
      <c r="I874" s="95" t="s">
        <v>822</v>
      </c>
    </row>
    <row r="875" spans="1:9" ht="14.1" customHeight="1" x14ac:dyDescent="0.2">
      <c r="A875" s="95" t="s">
        <v>2152</v>
      </c>
      <c r="B875" s="95">
        <v>58</v>
      </c>
      <c r="C875" s="95" t="s">
        <v>524</v>
      </c>
      <c r="D875" s="95">
        <v>2012</v>
      </c>
      <c r="E875" s="95">
        <v>464568000</v>
      </c>
      <c r="F875" s="95" t="s">
        <v>623</v>
      </c>
      <c r="G875" s="95" t="s">
        <v>1011</v>
      </c>
      <c r="H875" s="95" t="s">
        <v>623</v>
      </c>
      <c r="I875" s="95" t="s">
        <v>1006</v>
      </c>
    </row>
    <row r="876" spans="1:9" ht="14.1" customHeight="1" x14ac:dyDescent="0.2">
      <c r="A876" s="95" t="s">
        <v>2153</v>
      </c>
      <c r="B876" s="95">
        <v>58</v>
      </c>
      <c r="C876" s="95" t="s">
        <v>528</v>
      </c>
      <c r="D876" s="95">
        <v>2012</v>
      </c>
      <c r="E876" s="95">
        <v>27536726</v>
      </c>
      <c r="F876" s="95" t="s">
        <v>1003</v>
      </c>
      <c r="G876" s="95" t="s">
        <v>821</v>
      </c>
      <c r="H876" s="95" t="s">
        <v>1003</v>
      </c>
      <c r="I876" s="95" t="s">
        <v>822</v>
      </c>
    </row>
    <row r="877" spans="1:9" ht="14.1" customHeight="1" x14ac:dyDescent="0.2">
      <c r="A877" s="95" t="s">
        <v>2154</v>
      </c>
      <c r="B877" s="95">
        <v>58</v>
      </c>
      <c r="C877" s="95" t="s">
        <v>538</v>
      </c>
      <c r="D877" s="95">
        <v>2012</v>
      </c>
      <c r="E877" s="95">
        <v>7618026</v>
      </c>
      <c r="F877" s="95" t="s">
        <v>3074</v>
      </c>
      <c r="G877" s="95" t="s">
        <v>821</v>
      </c>
      <c r="H877" s="95" t="s">
        <v>3074</v>
      </c>
      <c r="I877" s="95" t="s">
        <v>822</v>
      </c>
    </row>
    <row r="878" spans="1:9" ht="14.1" customHeight="1" x14ac:dyDescent="0.2">
      <c r="A878" s="95" t="s">
        <v>2155</v>
      </c>
      <c r="B878" s="95">
        <v>58</v>
      </c>
      <c r="C878" s="95" t="s">
        <v>546</v>
      </c>
      <c r="D878" s="95">
        <v>2012</v>
      </c>
      <c r="E878" s="95">
        <v>941874</v>
      </c>
      <c r="F878" s="95" t="s">
        <v>999</v>
      </c>
      <c r="G878" s="95" t="s">
        <v>565</v>
      </c>
      <c r="H878" s="95" t="s">
        <v>999</v>
      </c>
      <c r="I878" s="95" t="s">
        <v>802</v>
      </c>
    </row>
    <row r="879" spans="1:9" ht="14.1" customHeight="1" x14ac:dyDescent="0.2">
      <c r="A879" s="95" t="s">
        <v>2156</v>
      </c>
      <c r="B879" s="95">
        <v>58</v>
      </c>
      <c r="C879" s="95" t="s">
        <v>488</v>
      </c>
      <c r="D879" s="95">
        <v>2012</v>
      </c>
      <c r="E879" s="95">
        <v>76800000</v>
      </c>
      <c r="F879" s="95" t="s">
        <v>836</v>
      </c>
      <c r="G879" s="95">
        <v>0</v>
      </c>
      <c r="H879" s="95" t="s">
        <v>836</v>
      </c>
      <c r="I879" s="95">
        <v>0</v>
      </c>
    </row>
    <row r="880" spans="1:9" ht="14.1" customHeight="1" x14ac:dyDescent="0.2">
      <c r="A880" s="95" t="s">
        <v>2157</v>
      </c>
      <c r="B880" s="95">
        <v>58</v>
      </c>
      <c r="C880" s="95" t="s">
        <v>487</v>
      </c>
      <c r="D880" s="95">
        <v>2012</v>
      </c>
      <c r="E880" s="95">
        <v>300568</v>
      </c>
      <c r="F880" s="95" t="s">
        <v>1000</v>
      </c>
      <c r="G880" s="95">
        <v>0</v>
      </c>
      <c r="H880" s="95" t="s">
        <v>1000</v>
      </c>
      <c r="I880" s="95">
        <v>0</v>
      </c>
    </row>
    <row r="881" spans="1:9" ht="14.1" customHeight="1" x14ac:dyDescent="0.2">
      <c r="A881" s="95" t="s">
        <v>2158</v>
      </c>
      <c r="B881" s="95">
        <v>58</v>
      </c>
      <c r="C881" s="95" t="s">
        <v>481</v>
      </c>
      <c r="D881" s="95">
        <v>2012</v>
      </c>
      <c r="E881" s="95">
        <v>111607200</v>
      </c>
      <c r="F881" s="95" t="s">
        <v>626</v>
      </c>
      <c r="G881" s="95">
        <v>0</v>
      </c>
      <c r="H881" s="95" t="s">
        <v>626</v>
      </c>
      <c r="I881" s="95">
        <v>0</v>
      </c>
    </row>
    <row r="882" spans="1:9" ht="14.1" customHeight="1" x14ac:dyDescent="0.2">
      <c r="A882" s="95" t="s">
        <v>2159</v>
      </c>
      <c r="B882" s="95">
        <v>59</v>
      </c>
      <c r="C882" s="95" t="s">
        <v>518</v>
      </c>
      <c r="D882" s="95">
        <v>2012</v>
      </c>
      <c r="E882" s="95">
        <v>35996462.3940816</v>
      </c>
      <c r="F882" s="95" t="s">
        <v>619</v>
      </c>
      <c r="G882" s="95" t="s">
        <v>1009</v>
      </c>
      <c r="H882" s="95" t="s">
        <v>619</v>
      </c>
      <c r="I882" s="95" t="s">
        <v>1012</v>
      </c>
    </row>
    <row r="883" spans="1:9" ht="14.1" customHeight="1" x14ac:dyDescent="0.2">
      <c r="A883" s="95" t="s">
        <v>2160</v>
      </c>
      <c r="B883" s="95">
        <v>59</v>
      </c>
      <c r="C883" s="95" t="s">
        <v>522</v>
      </c>
      <c r="D883" s="95">
        <v>2012</v>
      </c>
      <c r="E883" s="95">
        <v>18116370.967741899</v>
      </c>
      <c r="F883" s="95" t="s">
        <v>3085</v>
      </c>
      <c r="G883" s="95">
        <v>0</v>
      </c>
      <c r="H883" s="95" t="s">
        <v>3085</v>
      </c>
      <c r="I883" s="95">
        <v>0</v>
      </c>
    </row>
    <row r="884" spans="1:9" ht="14.1" customHeight="1" x14ac:dyDescent="0.2">
      <c r="A884" s="95" t="s">
        <v>2161</v>
      </c>
      <c r="B884" s="95">
        <v>59</v>
      </c>
      <c r="C884" s="95" t="s">
        <v>524</v>
      </c>
      <c r="D884" s="95">
        <v>2012</v>
      </c>
      <c r="E884" s="95">
        <v>100201884.25302801</v>
      </c>
      <c r="F884" s="95" t="s">
        <v>623</v>
      </c>
      <c r="G884" s="95">
        <v>0</v>
      </c>
      <c r="H884" s="95" t="s">
        <v>623</v>
      </c>
      <c r="I884" s="95">
        <v>0</v>
      </c>
    </row>
    <row r="885" spans="1:9" ht="14.1" customHeight="1" x14ac:dyDescent="0.2">
      <c r="A885" s="95" t="s">
        <v>2162</v>
      </c>
      <c r="B885" s="95">
        <v>59</v>
      </c>
      <c r="C885" s="95" t="s">
        <v>528</v>
      </c>
      <c r="D885" s="95">
        <v>2012</v>
      </c>
      <c r="E885" s="95">
        <v>11113421.1956522</v>
      </c>
      <c r="F885" s="95" t="s">
        <v>1003</v>
      </c>
      <c r="G885" s="95">
        <v>0</v>
      </c>
      <c r="H885" s="95" t="s">
        <v>1003</v>
      </c>
      <c r="I885" s="95">
        <v>0</v>
      </c>
    </row>
    <row r="886" spans="1:9" ht="14.1" customHeight="1" x14ac:dyDescent="0.2">
      <c r="A886" s="95" t="s">
        <v>2163</v>
      </c>
      <c r="B886" s="95">
        <v>59</v>
      </c>
      <c r="C886" s="95" t="s">
        <v>538</v>
      </c>
      <c r="D886" s="95">
        <v>2012</v>
      </c>
      <c r="E886" s="95">
        <v>10486173.913043501</v>
      </c>
      <c r="F886" s="95" t="s">
        <v>3074</v>
      </c>
      <c r="G886" s="95">
        <v>0</v>
      </c>
      <c r="H886" s="95" t="s">
        <v>3074</v>
      </c>
      <c r="I886" s="95">
        <v>0</v>
      </c>
    </row>
    <row r="887" spans="1:9" ht="14.1" customHeight="1" x14ac:dyDescent="0.2">
      <c r="A887" s="95" t="s">
        <v>2164</v>
      </c>
      <c r="B887" s="95">
        <v>59</v>
      </c>
      <c r="C887" s="95" t="s">
        <v>546</v>
      </c>
      <c r="D887" s="95">
        <v>2012</v>
      </c>
      <c r="E887" s="95">
        <v>8101500</v>
      </c>
      <c r="F887" s="95" t="s">
        <v>999</v>
      </c>
      <c r="G887" s="95">
        <v>0</v>
      </c>
      <c r="H887" s="95" t="s">
        <v>999</v>
      </c>
      <c r="I887" s="95">
        <v>0</v>
      </c>
    </row>
    <row r="888" spans="1:9" ht="14.1" customHeight="1" x14ac:dyDescent="0.2">
      <c r="A888" s="95" t="s">
        <v>2165</v>
      </c>
      <c r="B888" s="95">
        <v>59</v>
      </c>
      <c r="C888" s="95" t="s">
        <v>488</v>
      </c>
      <c r="D888" s="95">
        <v>2012</v>
      </c>
      <c r="E888" s="95">
        <v>269473684.21052599</v>
      </c>
      <c r="F888" s="95" t="s">
        <v>952</v>
      </c>
      <c r="G888" s="95">
        <v>0</v>
      </c>
      <c r="H888" s="95" t="s">
        <v>952</v>
      </c>
      <c r="I888" s="95">
        <v>0</v>
      </c>
    </row>
    <row r="889" spans="1:9" ht="14.1" customHeight="1" x14ac:dyDescent="0.2">
      <c r="A889" s="95" t="s">
        <v>2166</v>
      </c>
      <c r="B889" s="95">
        <v>59</v>
      </c>
      <c r="C889" s="95" t="s">
        <v>481</v>
      </c>
      <c r="D889" s="95">
        <v>2012</v>
      </c>
      <c r="E889" s="95">
        <v>58285056.542810999</v>
      </c>
      <c r="F889" s="95" t="s">
        <v>952</v>
      </c>
      <c r="G889" s="95">
        <v>0</v>
      </c>
      <c r="H889" s="95" t="s">
        <v>952</v>
      </c>
      <c r="I889" s="95">
        <v>0</v>
      </c>
    </row>
    <row r="890" spans="1:9" ht="14.1" customHeight="1" x14ac:dyDescent="0.2">
      <c r="A890" s="95" t="s">
        <v>2167</v>
      </c>
      <c r="B890" s="95">
        <v>60</v>
      </c>
      <c r="C890" s="95" t="s">
        <v>518</v>
      </c>
      <c r="D890" s="95">
        <v>2012</v>
      </c>
      <c r="E890" s="95">
        <v>676020.130813553</v>
      </c>
      <c r="F890" s="95" t="s">
        <v>619</v>
      </c>
      <c r="G890" s="95">
        <v>0</v>
      </c>
      <c r="H890" s="95" t="s">
        <v>619</v>
      </c>
      <c r="I890" s="95">
        <v>0</v>
      </c>
    </row>
    <row r="891" spans="1:9" ht="14.1" customHeight="1" x14ac:dyDescent="0.2">
      <c r="A891" s="95" t="s">
        <v>2168</v>
      </c>
      <c r="B891" s="95">
        <v>60</v>
      </c>
      <c r="C891" s="95" t="s">
        <v>522</v>
      </c>
      <c r="D891" s="95">
        <v>2012</v>
      </c>
      <c r="E891" s="95">
        <v>599048</v>
      </c>
      <c r="F891" s="95" t="s">
        <v>3085</v>
      </c>
      <c r="G891" s="95">
        <v>0</v>
      </c>
      <c r="H891" s="95" t="s">
        <v>3085</v>
      </c>
      <c r="I891" s="95">
        <v>0</v>
      </c>
    </row>
    <row r="892" spans="1:9" ht="14.1" customHeight="1" x14ac:dyDescent="0.2">
      <c r="A892" s="95" t="s">
        <v>2169</v>
      </c>
      <c r="B892" s="95">
        <v>60</v>
      </c>
      <c r="C892" s="95" t="s">
        <v>524</v>
      </c>
      <c r="D892" s="95">
        <v>2012</v>
      </c>
      <c r="E892" s="95">
        <v>2838055.4840800101</v>
      </c>
      <c r="F892" s="95" t="s">
        <v>623</v>
      </c>
      <c r="G892" s="95">
        <v>0</v>
      </c>
      <c r="H892" s="95" t="s">
        <v>623</v>
      </c>
      <c r="I892" s="95">
        <v>0</v>
      </c>
    </row>
    <row r="893" spans="1:9" ht="14.1" customHeight="1" x14ac:dyDescent="0.2">
      <c r="A893" s="95" t="s">
        <v>2170</v>
      </c>
      <c r="B893" s="95">
        <v>60</v>
      </c>
      <c r="C893" s="95" t="s">
        <v>528</v>
      </c>
      <c r="D893" s="95">
        <v>2012</v>
      </c>
      <c r="E893" s="95">
        <v>1741055.3426990199</v>
      </c>
      <c r="F893" s="95" t="s">
        <v>1003</v>
      </c>
      <c r="G893" s="95">
        <v>0</v>
      </c>
      <c r="H893" s="95" t="s">
        <v>1003</v>
      </c>
      <c r="I893" s="95">
        <v>0</v>
      </c>
    </row>
    <row r="894" spans="1:9" ht="14.1" customHeight="1" x14ac:dyDescent="0.2">
      <c r="A894" s="95" t="s">
        <v>2171</v>
      </c>
      <c r="B894" s="95">
        <v>60</v>
      </c>
      <c r="C894" s="95" t="s">
        <v>538</v>
      </c>
      <c r="D894" s="95">
        <v>2012</v>
      </c>
      <c r="E894" s="95">
        <v>437518.36734693899</v>
      </c>
      <c r="F894" s="95" t="s">
        <v>3074</v>
      </c>
      <c r="G894" s="95">
        <v>0</v>
      </c>
      <c r="H894" s="95" t="s">
        <v>3074</v>
      </c>
      <c r="I894" s="95">
        <v>0</v>
      </c>
    </row>
    <row r="895" spans="1:9" ht="14.1" customHeight="1" x14ac:dyDescent="0.2">
      <c r="A895" s="95" t="s">
        <v>2172</v>
      </c>
      <c r="B895" s="95">
        <v>60</v>
      </c>
      <c r="C895" s="95" t="s">
        <v>546</v>
      </c>
      <c r="D895" s="95">
        <v>2012</v>
      </c>
      <c r="E895" s="95">
        <v>291420.86330935301</v>
      </c>
      <c r="F895" s="95" t="s">
        <v>999</v>
      </c>
      <c r="G895" s="95">
        <v>0</v>
      </c>
      <c r="H895" s="95" t="s">
        <v>999</v>
      </c>
      <c r="I895" s="95">
        <v>0</v>
      </c>
    </row>
    <row r="896" spans="1:9" ht="14.1" customHeight="1" x14ac:dyDescent="0.2">
      <c r="A896" s="95" t="s">
        <v>2173</v>
      </c>
      <c r="B896" s="95">
        <v>60</v>
      </c>
      <c r="C896" s="95" t="s">
        <v>488</v>
      </c>
      <c r="D896" s="95">
        <v>2012</v>
      </c>
      <c r="E896" s="95">
        <v>4948453.6082474198</v>
      </c>
      <c r="F896" s="95" t="s">
        <v>952</v>
      </c>
      <c r="G896" s="95">
        <v>0</v>
      </c>
      <c r="H896" s="95" t="s">
        <v>952</v>
      </c>
      <c r="I896" s="95">
        <v>0</v>
      </c>
    </row>
    <row r="897" spans="1:9" ht="14.1" customHeight="1" x14ac:dyDescent="0.2">
      <c r="A897" s="95" t="s">
        <v>2174</v>
      </c>
      <c r="B897" s="95">
        <v>60</v>
      </c>
      <c r="C897" s="95" t="s">
        <v>481</v>
      </c>
      <c r="D897" s="95">
        <v>2012</v>
      </c>
      <c r="E897" s="95">
        <v>2450981.6576087</v>
      </c>
      <c r="F897" s="95" t="s">
        <v>952</v>
      </c>
      <c r="G897" s="95">
        <v>0</v>
      </c>
      <c r="H897" s="95" t="s">
        <v>952</v>
      </c>
      <c r="I897" s="95">
        <v>0</v>
      </c>
    </row>
    <row r="898" spans="1:9" ht="14.1" customHeight="1" x14ac:dyDescent="0.2">
      <c r="A898" s="95" t="s">
        <v>2175</v>
      </c>
      <c r="B898" s="95">
        <v>61</v>
      </c>
      <c r="C898" s="95" t="s">
        <v>518</v>
      </c>
      <c r="D898" s="95">
        <v>2012</v>
      </c>
      <c r="E898" s="95">
        <v>4.0663030697026703E-2</v>
      </c>
      <c r="F898" s="95" t="s">
        <v>619</v>
      </c>
      <c r="G898" s="95">
        <v>0</v>
      </c>
      <c r="H898" s="95" t="s">
        <v>619</v>
      </c>
      <c r="I898" s="95">
        <v>0</v>
      </c>
    </row>
    <row r="899" spans="1:9" ht="14.1" customHeight="1" x14ac:dyDescent="0.2">
      <c r="A899" s="95" t="s">
        <v>2176</v>
      </c>
      <c r="B899" s="95">
        <v>61</v>
      </c>
      <c r="C899" s="95" t="s">
        <v>522</v>
      </c>
      <c r="D899" s="95">
        <v>2012</v>
      </c>
      <c r="E899" s="95">
        <v>4.41729328093831E-2</v>
      </c>
      <c r="F899" s="95" t="s">
        <v>3085</v>
      </c>
      <c r="G899" s="95" t="s">
        <v>573</v>
      </c>
      <c r="H899" s="95" t="s">
        <v>3085</v>
      </c>
      <c r="I899" s="95" t="s">
        <v>816</v>
      </c>
    </row>
    <row r="900" spans="1:9" ht="14.1" customHeight="1" x14ac:dyDescent="0.2">
      <c r="A900" s="95" t="s">
        <v>2177</v>
      </c>
      <c r="B900" s="95">
        <v>61</v>
      </c>
      <c r="C900" s="95" t="s">
        <v>524</v>
      </c>
      <c r="D900" s="95">
        <v>2012</v>
      </c>
      <c r="E900" s="95">
        <v>6.6516027648948997E-2</v>
      </c>
      <c r="F900" s="95" t="s">
        <v>623</v>
      </c>
      <c r="G900" s="95" t="s">
        <v>573</v>
      </c>
      <c r="H900" s="95" t="s">
        <v>623</v>
      </c>
      <c r="I900" s="95" t="s">
        <v>816</v>
      </c>
    </row>
    <row r="901" spans="1:9" ht="14.1" customHeight="1" x14ac:dyDescent="0.2">
      <c r="A901" s="95" t="s">
        <v>2178</v>
      </c>
      <c r="B901" s="95">
        <v>61</v>
      </c>
      <c r="C901" s="95" t="s">
        <v>528</v>
      </c>
      <c r="D901" s="95">
        <v>2012</v>
      </c>
      <c r="E901" s="95">
        <v>4.85811810345975E-2</v>
      </c>
      <c r="F901" s="95" t="s">
        <v>1003</v>
      </c>
      <c r="G901" s="95">
        <v>0</v>
      </c>
      <c r="H901" s="95" t="s">
        <v>1003</v>
      </c>
      <c r="I901" s="95">
        <v>0</v>
      </c>
    </row>
    <row r="902" spans="1:9" ht="14.1" customHeight="1" x14ac:dyDescent="0.2">
      <c r="A902" s="95" t="s">
        <v>2179</v>
      </c>
      <c r="B902" s="95">
        <v>61</v>
      </c>
      <c r="C902" s="95" t="s">
        <v>538</v>
      </c>
      <c r="D902" s="95">
        <v>2012</v>
      </c>
      <c r="E902" s="95">
        <v>7.9899894009379205E-2</v>
      </c>
      <c r="F902" s="95" t="s">
        <v>3074</v>
      </c>
      <c r="G902" s="95" t="s">
        <v>573</v>
      </c>
      <c r="H902" s="95" t="s">
        <v>3074</v>
      </c>
      <c r="I902" s="95" t="s">
        <v>816</v>
      </c>
    </row>
    <row r="903" spans="1:9" ht="14.1" customHeight="1" x14ac:dyDescent="0.2">
      <c r="A903" s="95" t="s">
        <v>2180</v>
      </c>
      <c r="B903" s="95">
        <v>61</v>
      </c>
      <c r="C903" s="95" t="s">
        <v>546</v>
      </c>
      <c r="D903" s="95">
        <v>2012</v>
      </c>
      <c r="E903" s="95">
        <v>5.2999999999999999E-2</v>
      </c>
      <c r="F903" s="95" t="s">
        <v>589</v>
      </c>
      <c r="G903" s="95" t="s">
        <v>573</v>
      </c>
      <c r="H903" s="95" t="s">
        <v>589</v>
      </c>
      <c r="I903" s="95" t="s">
        <v>816</v>
      </c>
    </row>
    <row r="904" spans="1:9" ht="14.1" customHeight="1" x14ac:dyDescent="0.2">
      <c r="A904" s="95" t="s">
        <v>2181</v>
      </c>
      <c r="B904" s="95">
        <v>61</v>
      </c>
      <c r="C904" s="95" t="s">
        <v>481</v>
      </c>
      <c r="D904" s="95">
        <v>2012</v>
      </c>
      <c r="E904" s="95">
        <v>3.0007085979250302E-2</v>
      </c>
      <c r="F904" s="95" t="s">
        <v>1273</v>
      </c>
      <c r="G904" s="95">
        <v>0</v>
      </c>
      <c r="H904" s="95" t="s">
        <v>1273</v>
      </c>
      <c r="I904" s="95">
        <v>0</v>
      </c>
    </row>
    <row r="905" spans="1:9" ht="14.1" customHeight="1" x14ac:dyDescent="0.2">
      <c r="A905" s="95" t="s">
        <v>3086</v>
      </c>
      <c r="B905" s="95">
        <v>61</v>
      </c>
      <c r="C905" s="95" t="s">
        <v>488</v>
      </c>
      <c r="D905" s="95">
        <v>2012</v>
      </c>
      <c r="E905" s="95">
        <v>0.04</v>
      </c>
      <c r="F905" s="95" t="s">
        <v>1278</v>
      </c>
      <c r="G905" s="95">
        <v>0</v>
      </c>
      <c r="H905" s="95" t="s">
        <v>1278</v>
      </c>
      <c r="I905" s="95">
        <v>0</v>
      </c>
    </row>
    <row r="906" spans="1:9" ht="14.1" customHeight="1" x14ac:dyDescent="0.2">
      <c r="A906" s="95" t="s">
        <v>2182</v>
      </c>
      <c r="B906" s="95">
        <v>62</v>
      </c>
      <c r="C906" s="95" t="s">
        <v>518</v>
      </c>
      <c r="D906" s="95">
        <v>2012</v>
      </c>
      <c r="E906" s="95">
        <v>18</v>
      </c>
      <c r="F906" s="95" t="s">
        <v>1013</v>
      </c>
      <c r="G906" s="95" t="s">
        <v>1014</v>
      </c>
      <c r="H906" s="95" t="s">
        <v>1013</v>
      </c>
      <c r="I906" s="95" t="s">
        <v>1014</v>
      </c>
    </row>
    <row r="907" spans="1:9" ht="14.1" customHeight="1" x14ac:dyDescent="0.2">
      <c r="A907" s="95" t="s">
        <v>2183</v>
      </c>
      <c r="B907" s="95">
        <v>62</v>
      </c>
      <c r="C907" s="95" t="s">
        <v>520</v>
      </c>
      <c r="D907" s="95">
        <v>2012</v>
      </c>
      <c r="E907" s="95">
        <v>1</v>
      </c>
      <c r="F907" s="95" t="s">
        <v>627</v>
      </c>
      <c r="G907" s="95" t="s">
        <v>1015</v>
      </c>
      <c r="H907" s="95" t="s">
        <v>627</v>
      </c>
      <c r="I907" s="95" t="s">
        <v>1016</v>
      </c>
    </row>
    <row r="908" spans="1:9" ht="14.1" customHeight="1" x14ac:dyDescent="0.2">
      <c r="A908" s="95" t="s">
        <v>2184</v>
      </c>
      <c r="B908" s="95">
        <v>62</v>
      </c>
      <c r="C908" s="95" t="s">
        <v>522</v>
      </c>
      <c r="D908" s="95">
        <v>2012</v>
      </c>
      <c r="E908" s="95">
        <v>2</v>
      </c>
      <c r="F908" s="95" t="s">
        <v>585</v>
      </c>
      <c r="G908" s="95" t="s">
        <v>1017</v>
      </c>
      <c r="H908" s="95" t="s">
        <v>585</v>
      </c>
      <c r="I908" s="95" t="s">
        <v>1017</v>
      </c>
    </row>
    <row r="909" spans="1:9" ht="14.1" customHeight="1" x14ac:dyDescent="0.2">
      <c r="A909" s="95" t="s">
        <v>2185</v>
      </c>
      <c r="B909" s="95">
        <v>62</v>
      </c>
      <c r="C909" s="95" t="s">
        <v>524</v>
      </c>
      <c r="D909" s="95">
        <v>2012</v>
      </c>
      <c r="E909" s="95">
        <v>34</v>
      </c>
      <c r="F909" s="95" t="s">
        <v>630</v>
      </c>
      <c r="G909" s="95">
        <v>0</v>
      </c>
      <c r="H909" s="95" t="s">
        <v>630</v>
      </c>
      <c r="I909" s="95">
        <v>0</v>
      </c>
    </row>
    <row r="910" spans="1:9" ht="14.1" customHeight="1" x14ac:dyDescent="0.2">
      <c r="A910" s="95" t="s">
        <v>2186</v>
      </c>
      <c r="B910" s="95">
        <v>62</v>
      </c>
      <c r="C910" s="95" t="s">
        <v>526</v>
      </c>
      <c r="D910" s="95">
        <v>2012</v>
      </c>
      <c r="E910" s="95">
        <v>3</v>
      </c>
      <c r="F910" s="95" t="s">
        <v>1018</v>
      </c>
      <c r="G910" s="95" t="s">
        <v>1019</v>
      </c>
      <c r="H910" s="95" t="s">
        <v>1018</v>
      </c>
      <c r="I910" s="95" t="s">
        <v>1019</v>
      </c>
    </row>
    <row r="911" spans="1:9" ht="14.1" customHeight="1" x14ac:dyDescent="0.2">
      <c r="A911" s="95" t="s">
        <v>2187</v>
      </c>
      <c r="B911" s="95">
        <v>62</v>
      </c>
      <c r="C911" s="95" t="s">
        <v>528</v>
      </c>
      <c r="D911" s="95">
        <v>2012</v>
      </c>
      <c r="E911" s="95">
        <v>7</v>
      </c>
      <c r="F911" s="95" t="s">
        <v>1020</v>
      </c>
      <c r="G911" s="95" t="s">
        <v>1021</v>
      </c>
      <c r="H911" s="95" t="s">
        <v>1020</v>
      </c>
      <c r="I911" s="95" t="s">
        <v>1021</v>
      </c>
    </row>
    <row r="912" spans="1:9" ht="14.1" customHeight="1" x14ac:dyDescent="0.2">
      <c r="A912" s="95" t="s">
        <v>2188</v>
      </c>
      <c r="B912" s="95">
        <v>62</v>
      </c>
      <c r="C912" s="95" t="s">
        <v>530</v>
      </c>
      <c r="D912" s="95">
        <v>2012</v>
      </c>
      <c r="E912" s="95">
        <v>5</v>
      </c>
      <c r="F912" s="95" t="s">
        <v>657</v>
      </c>
      <c r="G912" s="95" t="s">
        <v>1022</v>
      </c>
      <c r="H912" s="95" t="s">
        <v>657</v>
      </c>
      <c r="I912" s="95" t="s">
        <v>1022</v>
      </c>
    </row>
    <row r="913" spans="1:9" ht="14.1" customHeight="1" x14ac:dyDescent="0.2">
      <c r="A913" s="95" t="s">
        <v>2189</v>
      </c>
      <c r="B913" s="95">
        <v>62</v>
      </c>
      <c r="C913" s="95" t="s">
        <v>532</v>
      </c>
      <c r="D913" s="95">
        <v>2012</v>
      </c>
      <c r="E913" s="95">
        <v>2</v>
      </c>
      <c r="F913" s="95" t="s">
        <v>635</v>
      </c>
      <c r="G913" s="95" t="s">
        <v>1023</v>
      </c>
      <c r="H913" s="95" t="s">
        <v>635</v>
      </c>
      <c r="I913" s="95" t="s">
        <v>1024</v>
      </c>
    </row>
    <row r="914" spans="1:9" ht="14.1" customHeight="1" x14ac:dyDescent="0.2">
      <c r="A914" s="95" t="s">
        <v>2190</v>
      </c>
      <c r="B914" s="95">
        <v>62</v>
      </c>
      <c r="C914" s="95" t="s">
        <v>534</v>
      </c>
      <c r="D914" s="95">
        <v>2012</v>
      </c>
      <c r="E914" s="95">
        <v>2</v>
      </c>
      <c r="F914" s="95" t="s">
        <v>1025</v>
      </c>
      <c r="G914" s="95" t="s">
        <v>1026</v>
      </c>
      <c r="H914" s="95" t="s">
        <v>1025</v>
      </c>
      <c r="I914" s="95" t="s">
        <v>1026</v>
      </c>
    </row>
    <row r="915" spans="1:9" ht="14.1" customHeight="1" x14ac:dyDescent="0.2">
      <c r="A915" s="95" t="s">
        <v>2191</v>
      </c>
      <c r="B915" s="95">
        <v>62</v>
      </c>
      <c r="C915" s="95" t="s">
        <v>536</v>
      </c>
      <c r="D915" s="95">
        <v>2012</v>
      </c>
      <c r="E915" s="95">
        <v>2</v>
      </c>
      <c r="F915" s="95" t="s">
        <v>631</v>
      </c>
      <c r="G915" s="95" t="s">
        <v>1027</v>
      </c>
      <c r="H915" s="95" t="s">
        <v>631</v>
      </c>
      <c r="I915" s="95" t="s">
        <v>1027</v>
      </c>
    </row>
    <row r="916" spans="1:9" ht="14.1" customHeight="1" x14ac:dyDescent="0.2">
      <c r="A916" s="95" t="s">
        <v>2192</v>
      </c>
      <c r="B916" s="95">
        <v>62</v>
      </c>
      <c r="C916" s="95" t="s">
        <v>538</v>
      </c>
      <c r="D916" s="95">
        <v>2012</v>
      </c>
      <c r="E916" s="95">
        <v>11</v>
      </c>
      <c r="F916" s="95" t="s">
        <v>3087</v>
      </c>
      <c r="G916" s="95" t="s">
        <v>1028</v>
      </c>
      <c r="H916" s="95" t="s">
        <v>3087</v>
      </c>
      <c r="I916" s="95" t="s">
        <v>1028</v>
      </c>
    </row>
    <row r="917" spans="1:9" ht="14.1" customHeight="1" x14ac:dyDescent="0.2">
      <c r="A917" s="95" t="s">
        <v>2193</v>
      </c>
      <c r="B917" s="95">
        <v>62</v>
      </c>
      <c r="C917" s="95" t="s">
        <v>540</v>
      </c>
      <c r="D917" s="95">
        <v>2012</v>
      </c>
      <c r="E917" s="95">
        <v>2</v>
      </c>
      <c r="F917" s="95" t="s">
        <v>639</v>
      </c>
      <c r="G917" s="95" t="s">
        <v>1029</v>
      </c>
      <c r="H917" s="95" t="s">
        <v>639</v>
      </c>
      <c r="I917" s="95" t="s">
        <v>1029</v>
      </c>
    </row>
    <row r="918" spans="1:9" ht="14.1" customHeight="1" x14ac:dyDescent="0.2">
      <c r="A918" s="95" t="s">
        <v>2194</v>
      </c>
      <c r="B918" s="95">
        <v>62</v>
      </c>
      <c r="C918" s="95" t="s">
        <v>542</v>
      </c>
      <c r="D918" s="95">
        <v>2012</v>
      </c>
      <c r="E918" s="95">
        <v>1</v>
      </c>
      <c r="F918" s="95" t="s">
        <v>1030</v>
      </c>
      <c r="G918" s="95" t="s">
        <v>1031</v>
      </c>
      <c r="H918" s="95" t="s">
        <v>1030</v>
      </c>
      <c r="I918" s="95" t="s">
        <v>1031</v>
      </c>
    </row>
    <row r="919" spans="1:9" ht="14.1" customHeight="1" x14ac:dyDescent="0.2">
      <c r="A919" s="95" t="s">
        <v>2195</v>
      </c>
      <c r="B919" s="95">
        <v>62</v>
      </c>
      <c r="C919" s="95" t="s">
        <v>544</v>
      </c>
      <c r="D919" s="95">
        <v>2012</v>
      </c>
      <c r="E919" s="95">
        <v>2</v>
      </c>
      <c r="F919" s="95" t="s">
        <v>1032</v>
      </c>
      <c r="G919" s="95" t="s">
        <v>1033</v>
      </c>
      <c r="H919" s="95" t="s">
        <v>1032</v>
      </c>
      <c r="I919" s="95" t="s">
        <v>1033</v>
      </c>
    </row>
    <row r="920" spans="1:9" ht="14.1" customHeight="1" x14ac:dyDescent="0.2">
      <c r="A920" s="95" t="s">
        <v>2196</v>
      </c>
      <c r="B920" s="95">
        <v>62</v>
      </c>
      <c r="C920" s="95" t="s">
        <v>546</v>
      </c>
      <c r="D920" s="95">
        <v>2012</v>
      </c>
      <c r="E920" s="95">
        <v>1</v>
      </c>
      <c r="F920" s="95" t="s">
        <v>1034</v>
      </c>
      <c r="G920" s="95" t="s">
        <v>1035</v>
      </c>
      <c r="H920" s="95" t="s">
        <v>1034</v>
      </c>
      <c r="I920" s="95" t="s">
        <v>1035</v>
      </c>
    </row>
    <row r="921" spans="1:9" ht="14.1" customHeight="1" x14ac:dyDescent="0.2">
      <c r="A921" s="95" t="s">
        <v>2197</v>
      </c>
      <c r="B921" s="95">
        <v>62</v>
      </c>
      <c r="C921" s="95" t="s">
        <v>548</v>
      </c>
      <c r="D921" s="95">
        <v>2012</v>
      </c>
      <c r="E921" s="95">
        <v>11</v>
      </c>
      <c r="F921" s="95" t="s">
        <v>825</v>
      </c>
      <c r="G921" s="95" t="s">
        <v>1036</v>
      </c>
      <c r="H921" s="95" t="s">
        <v>825</v>
      </c>
      <c r="I921" s="95" t="s">
        <v>1036</v>
      </c>
    </row>
    <row r="922" spans="1:9" ht="14.1" customHeight="1" x14ac:dyDescent="0.2">
      <c r="A922" s="95" t="s">
        <v>2198</v>
      </c>
      <c r="B922" s="95">
        <v>62</v>
      </c>
      <c r="C922" s="95" t="s">
        <v>483</v>
      </c>
      <c r="D922" s="95">
        <v>2012</v>
      </c>
      <c r="E922" s="95">
        <v>1</v>
      </c>
      <c r="F922" s="95" t="s">
        <v>1273</v>
      </c>
      <c r="G922" s="95" t="s">
        <v>1021</v>
      </c>
      <c r="H922" s="95" t="s">
        <v>1273</v>
      </c>
      <c r="I922" s="95" t="s">
        <v>1021</v>
      </c>
    </row>
    <row r="923" spans="1:9" ht="14.1" customHeight="1" x14ac:dyDescent="0.2">
      <c r="A923" s="95" t="s">
        <v>2199</v>
      </c>
      <c r="B923" s="95">
        <v>62</v>
      </c>
      <c r="C923" s="95" t="s">
        <v>488</v>
      </c>
      <c r="D923" s="95">
        <v>2012</v>
      </c>
      <c r="E923" s="95">
        <v>17</v>
      </c>
      <c r="F923" s="95" t="s">
        <v>1273</v>
      </c>
      <c r="G923" s="95">
        <v>0</v>
      </c>
      <c r="H923" s="95" t="s">
        <v>1273</v>
      </c>
      <c r="I923" s="95">
        <v>0</v>
      </c>
    </row>
    <row r="924" spans="1:9" ht="14.1" customHeight="1" x14ac:dyDescent="0.2">
      <c r="A924" s="95" t="s">
        <v>2200</v>
      </c>
      <c r="B924" s="95">
        <v>62</v>
      </c>
      <c r="C924" s="95" t="s">
        <v>487</v>
      </c>
      <c r="D924" s="95">
        <v>2012</v>
      </c>
      <c r="E924" s="95">
        <v>1</v>
      </c>
      <c r="F924" s="95" t="s">
        <v>1273</v>
      </c>
      <c r="G924" s="95">
        <v>0</v>
      </c>
      <c r="H924" s="95" t="s">
        <v>1273</v>
      </c>
      <c r="I924" s="95">
        <v>0</v>
      </c>
    </row>
    <row r="925" spans="1:9" ht="14.1" customHeight="1" x14ac:dyDescent="0.2">
      <c r="A925" s="95" t="s">
        <v>2201</v>
      </c>
      <c r="B925" s="95">
        <v>62</v>
      </c>
      <c r="C925" s="95" t="s">
        <v>486</v>
      </c>
      <c r="D925" s="95">
        <v>2012</v>
      </c>
      <c r="E925" s="95">
        <v>1</v>
      </c>
      <c r="F925" s="95" t="s">
        <v>1273</v>
      </c>
      <c r="G925" s="95">
        <v>0</v>
      </c>
      <c r="H925" s="95" t="s">
        <v>1273</v>
      </c>
      <c r="I925" s="95">
        <v>0</v>
      </c>
    </row>
    <row r="926" spans="1:9" ht="14.1" customHeight="1" x14ac:dyDescent="0.2">
      <c r="A926" s="95" t="s">
        <v>2202</v>
      </c>
      <c r="B926" s="95">
        <v>62</v>
      </c>
      <c r="C926" s="95" t="s">
        <v>482</v>
      </c>
      <c r="D926" s="95">
        <v>2012</v>
      </c>
      <c r="E926" s="95">
        <v>1</v>
      </c>
      <c r="F926" s="95" t="s">
        <v>1273</v>
      </c>
      <c r="G926" s="95">
        <v>0</v>
      </c>
      <c r="H926" s="95" t="s">
        <v>1273</v>
      </c>
      <c r="I926" s="95">
        <v>0</v>
      </c>
    </row>
    <row r="927" spans="1:9" ht="14.1" customHeight="1" x14ac:dyDescent="0.2">
      <c r="A927" s="95" t="s">
        <v>2203</v>
      </c>
      <c r="B927" s="95">
        <v>62</v>
      </c>
      <c r="C927" s="95" t="s">
        <v>490</v>
      </c>
      <c r="D927" s="95">
        <v>2012</v>
      </c>
      <c r="E927" s="95">
        <v>2</v>
      </c>
      <c r="F927" s="95" t="s">
        <v>1273</v>
      </c>
      <c r="G927" s="95">
        <v>0</v>
      </c>
      <c r="H927" s="95" t="s">
        <v>1273</v>
      </c>
      <c r="I927" s="95">
        <v>0</v>
      </c>
    </row>
    <row r="928" spans="1:9" ht="14.1" customHeight="1" x14ac:dyDescent="0.2">
      <c r="A928" s="95" t="s">
        <v>2204</v>
      </c>
      <c r="B928" s="95">
        <v>62</v>
      </c>
      <c r="C928" s="95" t="s">
        <v>481</v>
      </c>
      <c r="D928" s="95">
        <v>2012</v>
      </c>
      <c r="E928" s="95">
        <v>24</v>
      </c>
      <c r="F928" s="95" t="s">
        <v>1037</v>
      </c>
      <c r="G928" s="95" t="s">
        <v>1038</v>
      </c>
      <c r="H928" s="95" t="s">
        <v>1037</v>
      </c>
      <c r="I928" s="95" t="s">
        <v>1039</v>
      </c>
    </row>
    <row r="929" spans="1:9" ht="14.1" customHeight="1" x14ac:dyDescent="0.2">
      <c r="A929" s="95" t="s">
        <v>2205</v>
      </c>
      <c r="B929" s="95">
        <v>62</v>
      </c>
      <c r="C929" s="95" t="s">
        <v>484</v>
      </c>
      <c r="D929" s="95">
        <v>2012</v>
      </c>
      <c r="E929" s="95">
        <v>1</v>
      </c>
      <c r="F929" s="95" t="s">
        <v>1273</v>
      </c>
      <c r="G929" s="95">
        <v>0</v>
      </c>
      <c r="H929" s="95" t="s">
        <v>1273</v>
      </c>
      <c r="I929" s="95">
        <v>0</v>
      </c>
    </row>
    <row r="930" spans="1:9" ht="14.1" customHeight="1" x14ac:dyDescent="0.2">
      <c r="A930" s="95" t="s">
        <v>2206</v>
      </c>
      <c r="B930" s="95">
        <v>62</v>
      </c>
      <c r="C930" s="95" t="s">
        <v>485</v>
      </c>
      <c r="D930" s="95">
        <v>2012</v>
      </c>
      <c r="E930" s="95">
        <v>1</v>
      </c>
      <c r="F930" s="95" t="s">
        <v>1273</v>
      </c>
      <c r="G930" s="95">
        <v>0</v>
      </c>
      <c r="H930" s="95" t="s">
        <v>1273</v>
      </c>
      <c r="I930" s="95">
        <v>0</v>
      </c>
    </row>
    <row r="931" spans="1:9" ht="14.1" customHeight="1" x14ac:dyDescent="0.2">
      <c r="A931" s="95" t="s">
        <v>2207</v>
      </c>
      <c r="B931" s="95">
        <v>62</v>
      </c>
      <c r="C931" s="95" t="s">
        <v>489</v>
      </c>
      <c r="D931" s="95">
        <v>2012</v>
      </c>
      <c r="E931" s="95">
        <v>6</v>
      </c>
      <c r="F931" s="95" t="s">
        <v>1273</v>
      </c>
      <c r="G931" s="95" t="s">
        <v>1022</v>
      </c>
      <c r="H931" s="95" t="s">
        <v>1273</v>
      </c>
      <c r="I931" s="95" t="s">
        <v>1022</v>
      </c>
    </row>
    <row r="932" spans="1:9" ht="14.1" customHeight="1" x14ac:dyDescent="0.2">
      <c r="A932" s="95" t="s">
        <v>2208</v>
      </c>
      <c r="B932" s="95">
        <v>63</v>
      </c>
      <c r="C932" s="95" t="s">
        <v>518</v>
      </c>
      <c r="D932" s="95">
        <v>2012</v>
      </c>
      <c r="E932" s="95">
        <v>5</v>
      </c>
      <c r="F932" s="95" t="s">
        <v>1013</v>
      </c>
      <c r="G932" s="95" t="s">
        <v>1014</v>
      </c>
      <c r="H932" s="95" t="s">
        <v>1013</v>
      </c>
      <c r="I932" s="95" t="s">
        <v>1014</v>
      </c>
    </row>
    <row r="933" spans="1:9" ht="14.1" customHeight="1" x14ac:dyDescent="0.2">
      <c r="A933" s="95" t="s">
        <v>2209</v>
      </c>
      <c r="B933" s="95">
        <v>63</v>
      </c>
      <c r="C933" s="95" t="s">
        <v>520</v>
      </c>
      <c r="D933" s="95">
        <v>2012</v>
      </c>
      <c r="E933" s="95">
        <v>5</v>
      </c>
      <c r="F933" s="95" t="s">
        <v>627</v>
      </c>
      <c r="G933" s="95" t="s">
        <v>1040</v>
      </c>
      <c r="H933" s="95" t="s">
        <v>627</v>
      </c>
      <c r="I933" s="95" t="s">
        <v>1040</v>
      </c>
    </row>
    <row r="934" spans="1:9" ht="14.1" customHeight="1" x14ac:dyDescent="0.2">
      <c r="A934" s="95" t="s">
        <v>2210</v>
      </c>
      <c r="B934" s="95">
        <v>63</v>
      </c>
      <c r="C934" s="95" t="s">
        <v>522</v>
      </c>
      <c r="D934" s="95">
        <v>2012</v>
      </c>
      <c r="E934" s="95">
        <v>4</v>
      </c>
      <c r="F934" s="95" t="s">
        <v>585</v>
      </c>
      <c r="G934" s="95" t="s">
        <v>1017</v>
      </c>
      <c r="H934" s="95" t="s">
        <v>585</v>
      </c>
      <c r="I934" s="95" t="s">
        <v>1017</v>
      </c>
    </row>
    <row r="935" spans="1:9" ht="14.1" customHeight="1" x14ac:dyDescent="0.2">
      <c r="A935" s="95" t="s">
        <v>2211</v>
      </c>
      <c r="B935" s="95">
        <v>63</v>
      </c>
      <c r="C935" s="95" t="s">
        <v>524</v>
      </c>
      <c r="D935" s="95">
        <v>2012</v>
      </c>
      <c r="E935" s="95">
        <v>5</v>
      </c>
      <c r="F935" s="95" t="s">
        <v>630</v>
      </c>
      <c r="G935" s="95" t="s">
        <v>1041</v>
      </c>
      <c r="H935" s="95" t="s">
        <v>630</v>
      </c>
      <c r="I935" s="95" t="s">
        <v>1041</v>
      </c>
    </row>
    <row r="936" spans="1:9" ht="14.1" customHeight="1" x14ac:dyDescent="0.2">
      <c r="A936" s="95" t="s">
        <v>2212</v>
      </c>
      <c r="B936" s="95">
        <v>63</v>
      </c>
      <c r="C936" s="95" t="s">
        <v>530</v>
      </c>
      <c r="D936" s="95">
        <v>2012</v>
      </c>
      <c r="E936" s="95">
        <v>5</v>
      </c>
      <c r="F936" s="95" t="s">
        <v>657</v>
      </c>
      <c r="G936" s="95" t="s">
        <v>1022</v>
      </c>
      <c r="H936" s="95" t="s">
        <v>657</v>
      </c>
      <c r="I936" s="95" t="s">
        <v>1022</v>
      </c>
    </row>
    <row r="937" spans="1:9" ht="14.1" customHeight="1" x14ac:dyDescent="0.2">
      <c r="A937" s="95" t="s">
        <v>2213</v>
      </c>
      <c r="B937" s="95">
        <v>63</v>
      </c>
      <c r="C937" s="95" t="s">
        <v>536</v>
      </c>
      <c r="D937" s="95">
        <v>2012</v>
      </c>
      <c r="E937" s="95">
        <v>5</v>
      </c>
      <c r="F937" s="95" t="s">
        <v>631</v>
      </c>
      <c r="G937" s="95" t="s">
        <v>1027</v>
      </c>
      <c r="H937" s="95" t="s">
        <v>631</v>
      </c>
      <c r="I937" s="95" t="s">
        <v>1027</v>
      </c>
    </row>
    <row r="938" spans="1:9" ht="14.1" customHeight="1" x14ac:dyDescent="0.2">
      <c r="A938" s="95" t="s">
        <v>2214</v>
      </c>
      <c r="B938" s="95">
        <v>63</v>
      </c>
      <c r="C938" s="95" t="s">
        <v>538</v>
      </c>
      <c r="D938" s="95">
        <v>2012</v>
      </c>
      <c r="E938" s="95">
        <v>5</v>
      </c>
      <c r="F938" s="95" t="s">
        <v>658</v>
      </c>
      <c r="G938" s="95" t="s">
        <v>1042</v>
      </c>
      <c r="H938" s="95" t="s">
        <v>658</v>
      </c>
      <c r="I938" s="95" t="s">
        <v>1042</v>
      </c>
    </row>
    <row r="939" spans="1:9" ht="14.1" customHeight="1" x14ac:dyDescent="0.2">
      <c r="A939" s="95" t="s">
        <v>2215</v>
      </c>
      <c r="B939" s="95">
        <v>63</v>
      </c>
      <c r="C939" s="95" t="s">
        <v>483</v>
      </c>
      <c r="D939" s="95">
        <v>2012</v>
      </c>
      <c r="E939" s="95">
        <v>4</v>
      </c>
      <c r="F939" s="95" t="s">
        <v>815</v>
      </c>
      <c r="G939" s="95">
        <v>0</v>
      </c>
      <c r="H939" s="95" t="s">
        <v>815</v>
      </c>
      <c r="I939" s="95">
        <v>0</v>
      </c>
    </row>
    <row r="940" spans="1:9" ht="14.1" customHeight="1" x14ac:dyDescent="0.2">
      <c r="A940" s="95" t="s">
        <v>2216</v>
      </c>
      <c r="B940" s="95">
        <v>63</v>
      </c>
      <c r="C940" s="95" t="s">
        <v>488</v>
      </c>
      <c r="D940" s="95">
        <v>2012</v>
      </c>
      <c r="E940" s="95">
        <v>5</v>
      </c>
      <c r="F940" s="95" t="s">
        <v>815</v>
      </c>
      <c r="G940" s="95">
        <v>0</v>
      </c>
      <c r="H940" s="95" t="s">
        <v>815</v>
      </c>
      <c r="I940" s="95">
        <v>0</v>
      </c>
    </row>
    <row r="941" spans="1:9" ht="14.1" customHeight="1" x14ac:dyDescent="0.2">
      <c r="A941" s="95" t="s">
        <v>2217</v>
      </c>
      <c r="B941" s="95">
        <v>63</v>
      </c>
      <c r="C941" s="95" t="s">
        <v>487</v>
      </c>
      <c r="D941" s="95">
        <v>2012</v>
      </c>
      <c r="E941" s="95">
        <v>5</v>
      </c>
      <c r="F941" s="95" t="s">
        <v>815</v>
      </c>
      <c r="G941" s="95">
        <v>0</v>
      </c>
      <c r="H941" s="95" t="s">
        <v>815</v>
      </c>
      <c r="I941" s="95">
        <v>0</v>
      </c>
    </row>
    <row r="942" spans="1:9" ht="14.1" customHeight="1" x14ac:dyDescent="0.2">
      <c r="A942" s="95" t="s">
        <v>2218</v>
      </c>
      <c r="B942" s="95">
        <v>63</v>
      </c>
      <c r="C942" s="95" t="s">
        <v>486</v>
      </c>
      <c r="D942" s="95">
        <v>2012</v>
      </c>
      <c r="E942" s="95">
        <v>4</v>
      </c>
      <c r="F942" s="95" t="s">
        <v>815</v>
      </c>
      <c r="G942" s="95">
        <v>0</v>
      </c>
      <c r="H942" s="95" t="s">
        <v>815</v>
      </c>
      <c r="I942" s="95">
        <v>0</v>
      </c>
    </row>
    <row r="943" spans="1:9" ht="14.1" customHeight="1" x14ac:dyDescent="0.2">
      <c r="A943" s="95" t="s">
        <v>2219</v>
      </c>
      <c r="B943" s="95">
        <v>63</v>
      </c>
      <c r="C943" s="95" t="s">
        <v>482</v>
      </c>
      <c r="D943" s="95">
        <v>2012</v>
      </c>
      <c r="E943" s="95">
        <v>5</v>
      </c>
      <c r="F943" s="95" t="s">
        <v>815</v>
      </c>
      <c r="G943" s="95">
        <v>0</v>
      </c>
      <c r="H943" s="95" t="s">
        <v>815</v>
      </c>
      <c r="I943" s="95">
        <v>0</v>
      </c>
    </row>
    <row r="944" spans="1:9" ht="14.1" customHeight="1" x14ac:dyDescent="0.2">
      <c r="A944" s="95" t="s">
        <v>2220</v>
      </c>
      <c r="B944" s="95">
        <v>63</v>
      </c>
      <c r="C944" s="95" t="s">
        <v>490</v>
      </c>
      <c r="D944" s="95">
        <v>2012</v>
      </c>
      <c r="E944" s="95">
        <v>5</v>
      </c>
      <c r="F944" s="95" t="s">
        <v>815</v>
      </c>
      <c r="G944" s="95">
        <v>0</v>
      </c>
      <c r="H944" s="95" t="s">
        <v>815</v>
      </c>
      <c r="I944" s="95">
        <v>0</v>
      </c>
    </row>
    <row r="945" spans="1:9" ht="14.1" customHeight="1" x14ac:dyDescent="0.2">
      <c r="A945" s="95" t="s">
        <v>2221</v>
      </c>
      <c r="B945" s="95">
        <v>63</v>
      </c>
      <c r="C945" s="95" t="s">
        <v>481</v>
      </c>
      <c r="D945" s="95">
        <v>2012</v>
      </c>
      <c r="E945" s="95">
        <v>5</v>
      </c>
      <c r="F945" s="95" t="s">
        <v>815</v>
      </c>
      <c r="G945" s="95">
        <v>0</v>
      </c>
      <c r="H945" s="95" t="s">
        <v>815</v>
      </c>
      <c r="I945" s="95">
        <v>0</v>
      </c>
    </row>
    <row r="946" spans="1:9" ht="14.1" customHeight="1" x14ac:dyDescent="0.2">
      <c r="A946" s="95" t="s">
        <v>2222</v>
      </c>
      <c r="B946" s="95">
        <v>63</v>
      </c>
      <c r="C946" s="95" t="s">
        <v>485</v>
      </c>
      <c r="D946" s="95">
        <v>2012</v>
      </c>
      <c r="E946" s="95">
        <v>5</v>
      </c>
      <c r="F946" s="95" t="s">
        <v>815</v>
      </c>
      <c r="G946" s="95">
        <v>0</v>
      </c>
      <c r="H946" s="95" t="s">
        <v>815</v>
      </c>
      <c r="I946" s="95">
        <v>0</v>
      </c>
    </row>
    <row r="947" spans="1:9" ht="14.1" customHeight="1" x14ac:dyDescent="0.2">
      <c r="A947" s="95" t="s">
        <v>2223</v>
      </c>
      <c r="B947" s="95">
        <v>63</v>
      </c>
      <c r="C947" s="95" t="s">
        <v>489</v>
      </c>
      <c r="D947" s="95">
        <v>2012</v>
      </c>
      <c r="E947" s="95">
        <v>5</v>
      </c>
      <c r="F947" s="95" t="s">
        <v>815</v>
      </c>
      <c r="G947" s="95">
        <v>0</v>
      </c>
      <c r="H947" s="95" t="s">
        <v>815</v>
      </c>
      <c r="I947" s="95">
        <v>0</v>
      </c>
    </row>
    <row r="948" spans="1:9" ht="14.1" customHeight="1" x14ac:dyDescent="0.2">
      <c r="A948" s="95" t="s">
        <v>2224</v>
      </c>
      <c r="B948" s="95">
        <v>64</v>
      </c>
      <c r="C948" s="95" t="s">
        <v>518</v>
      </c>
      <c r="D948" s="95">
        <v>2012</v>
      </c>
      <c r="E948" s="95">
        <v>1</v>
      </c>
      <c r="F948" s="95" t="s">
        <v>1013</v>
      </c>
      <c r="G948" s="95">
        <v>0</v>
      </c>
      <c r="H948" s="95" t="s">
        <v>1013</v>
      </c>
      <c r="I948" s="95">
        <v>0</v>
      </c>
    </row>
    <row r="949" spans="1:9" ht="14.1" customHeight="1" x14ac:dyDescent="0.2">
      <c r="A949" s="95" t="s">
        <v>2225</v>
      </c>
      <c r="B949" s="95">
        <v>64</v>
      </c>
      <c r="C949" s="95" t="s">
        <v>520</v>
      </c>
      <c r="D949" s="95">
        <v>2012</v>
      </c>
      <c r="E949" s="95">
        <v>1</v>
      </c>
      <c r="F949" s="95" t="s">
        <v>627</v>
      </c>
      <c r="G949" s="95">
        <v>0</v>
      </c>
      <c r="H949" s="95" t="s">
        <v>627</v>
      </c>
      <c r="I949" s="95">
        <v>0</v>
      </c>
    </row>
    <row r="950" spans="1:9" ht="14.1" customHeight="1" x14ac:dyDescent="0.2">
      <c r="A950" s="95" t="s">
        <v>2226</v>
      </c>
      <c r="B950" s="95">
        <v>64</v>
      </c>
      <c r="C950" s="95" t="s">
        <v>522</v>
      </c>
      <c r="D950" s="95">
        <v>2012</v>
      </c>
      <c r="E950" s="95">
        <v>1</v>
      </c>
      <c r="F950" s="95" t="s">
        <v>585</v>
      </c>
      <c r="G950" s="95">
        <v>0</v>
      </c>
      <c r="H950" s="95" t="s">
        <v>585</v>
      </c>
      <c r="I950" s="95">
        <v>0</v>
      </c>
    </row>
    <row r="951" spans="1:9" ht="14.1" customHeight="1" x14ac:dyDescent="0.2">
      <c r="A951" s="95" t="s">
        <v>2227</v>
      </c>
      <c r="B951" s="95">
        <v>64</v>
      </c>
      <c r="C951" s="95" t="s">
        <v>524</v>
      </c>
      <c r="D951" s="95">
        <v>2012</v>
      </c>
      <c r="E951" s="95">
        <v>1</v>
      </c>
      <c r="F951" s="95" t="s">
        <v>630</v>
      </c>
      <c r="G951" s="95">
        <v>0</v>
      </c>
      <c r="H951" s="95" t="s">
        <v>630</v>
      </c>
      <c r="I951" s="95">
        <v>0</v>
      </c>
    </row>
    <row r="952" spans="1:9" ht="14.1" customHeight="1" x14ac:dyDescent="0.2">
      <c r="A952" s="95" t="s">
        <v>2228</v>
      </c>
      <c r="B952" s="95">
        <v>64</v>
      </c>
      <c r="C952" s="95" t="s">
        <v>530</v>
      </c>
      <c r="D952" s="95">
        <v>2012</v>
      </c>
      <c r="E952" s="95">
        <v>1</v>
      </c>
      <c r="F952" s="95" t="s">
        <v>657</v>
      </c>
      <c r="G952" s="95">
        <v>0</v>
      </c>
      <c r="H952" s="95" t="s">
        <v>657</v>
      </c>
      <c r="I952" s="95">
        <v>0</v>
      </c>
    </row>
    <row r="953" spans="1:9" ht="14.1" customHeight="1" x14ac:dyDescent="0.2">
      <c r="A953" s="95" t="s">
        <v>2229</v>
      </c>
      <c r="B953" s="95">
        <v>64</v>
      </c>
      <c r="C953" s="95" t="s">
        <v>536</v>
      </c>
      <c r="D953" s="95">
        <v>2012</v>
      </c>
      <c r="E953" s="95">
        <v>1</v>
      </c>
      <c r="F953" s="95" t="s">
        <v>631</v>
      </c>
      <c r="G953" s="95">
        <v>0</v>
      </c>
      <c r="H953" s="95" t="s">
        <v>631</v>
      </c>
      <c r="I953" s="95">
        <v>0</v>
      </c>
    </row>
    <row r="954" spans="1:9" ht="14.1" customHeight="1" x14ac:dyDescent="0.2">
      <c r="A954" s="95" t="s">
        <v>2230</v>
      </c>
      <c r="B954" s="95">
        <v>64</v>
      </c>
      <c r="C954" s="95" t="s">
        <v>538</v>
      </c>
      <c r="D954" s="95">
        <v>2012</v>
      </c>
      <c r="E954" s="95">
        <v>1</v>
      </c>
      <c r="F954" s="95" t="s">
        <v>658</v>
      </c>
      <c r="G954" s="95">
        <v>0</v>
      </c>
      <c r="H954" s="95" t="s">
        <v>658</v>
      </c>
      <c r="I954" s="95">
        <v>0</v>
      </c>
    </row>
    <row r="955" spans="1:9" ht="14.1" customHeight="1" x14ac:dyDescent="0.2">
      <c r="A955" s="95" t="s">
        <v>2231</v>
      </c>
      <c r="B955" s="95">
        <v>64</v>
      </c>
      <c r="C955" s="95" t="s">
        <v>540</v>
      </c>
      <c r="D955" s="95">
        <v>2012</v>
      </c>
      <c r="E955" s="95">
        <v>1</v>
      </c>
      <c r="F955" s="95" t="s">
        <v>639</v>
      </c>
      <c r="G955" s="95">
        <v>0</v>
      </c>
      <c r="H955" s="95" t="s">
        <v>639</v>
      </c>
      <c r="I955" s="95">
        <v>0</v>
      </c>
    </row>
    <row r="956" spans="1:9" ht="14.1" customHeight="1" x14ac:dyDescent="0.2">
      <c r="A956" s="95" t="s">
        <v>2232</v>
      </c>
      <c r="B956" s="95">
        <v>64</v>
      </c>
      <c r="C956" s="95" t="s">
        <v>546</v>
      </c>
      <c r="D956" s="95">
        <v>2012</v>
      </c>
      <c r="E956" s="95">
        <v>1</v>
      </c>
      <c r="F956" s="95" t="s">
        <v>1034</v>
      </c>
      <c r="G956" s="95">
        <v>0</v>
      </c>
      <c r="H956" s="95" t="s">
        <v>1034</v>
      </c>
      <c r="I956" s="95">
        <v>0</v>
      </c>
    </row>
    <row r="957" spans="1:9" ht="14.1" customHeight="1" x14ac:dyDescent="0.2">
      <c r="A957" s="95" t="s">
        <v>2233</v>
      </c>
      <c r="B957" s="95">
        <v>64</v>
      </c>
      <c r="C957" s="95" t="s">
        <v>488</v>
      </c>
      <c r="D957" s="95">
        <v>2012</v>
      </c>
      <c r="E957" s="95">
        <v>1</v>
      </c>
      <c r="F957" s="95" t="s">
        <v>815</v>
      </c>
      <c r="G957" s="95">
        <v>0</v>
      </c>
      <c r="H957" s="95" t="s">
        <v>815</v>
      </c>
      <c r="I957" s="95">
        <v>0</v>
      </c>
    </row>
    <row r="958" spans="1:9" ht="14.1" customHeight="1" x14ac:dyDescent="0.2">
      <c r="A958" s="95" t="s">
        <v>2234</v>
      </c>
      <c r="B958" s="95">
        <v>64</v>
      </c>
      <c r="C958" s="95" t="s">
        <v>487</v>
      </c>
      <c r="D958" s="95">
        <v>2012</v>
      </c>
      <c r="E958" s="95">
        <v>1</v>
      </c>
      <c r="F958" s="95" t="s">
        <v>815</v>
      </c>
      <c r="G958" s="95">
        <v>0</v>
      </c>
      <c r="H958" s="95" t="s">
        <v>815</v>
      </c>
      <c r="I958" s="95">
        <v>0</v>
      </c>
    </row>
    <row r="959" spans="1:9" ht="14.1" customHeight="1" x14ac:dyDescent="0.2">
      <c r="A959" s="95" t="s">
        <v>2235</v>
      </c>
      <c r="B959" s="95">
        <v>64</v>
      </c>
      <c r="C959" s="95" t="s">
        <v>486</v>
      </c>
      <c r="D959" s="95">
        <v>2012</v>
      </c>
      <c r="E959" s="95">
        <v>1</v>
      </c>
      <c r="F959" s="95" t="s">
        <v>815</v>
      </c>
      <c r="G959" s="95">
        <v>0</v>
      </c>
      <c r="H959" s="95" t="s">
        <v>815</v>
      </c>
      <c r="I959" s="95">
        <v>0</v>
      </c>
    </row>
    <row r="960" spans="1:9" ht="14.1" customHeight="1" x14ac:dyDescent="0.2">
      <c r="A960" s="95" t="s">
        <v>2236</v>
      </c>
      <c r="B960" s="95">
        <v>64</v>
      </c>
      <c r="C960" s="95" t="s">
        <v>482</v>
      </c>
      <c r="D960" s="95">
        <v>2012</v>
      </c>
      <c r="E960" s="95">
        <v>1</v>
      </c>
      <c r="F960" s="95" t="s">
        <v>815</v>
      </c>
      <c r="G960" s="95">
        <v>0</v>
      </c>
      <c r="H960" s="95" t="s">
        <v>815</v>
      </c>
      <c r="I960" s="95">
        <v>0</v>
      </c>
    </row>
    <row r="961" spans="1:9" ht="14.1" customHeight="1" x14ac:dyDescent="0.2">
      <c r="A961" s="95" t="s">
        <v>2237</v>
      </c>
      <c r="B961" s="95">
        <v>64</v>
      </c>
      <c r="C961" s="95" t="s">
        <v>490</v>
      </c>
      <c r="D961" s="95">
        <v>2012</v>
      </c>
      <c r="E961" s="95">
        <v>1</v>
      </c>
      <c r="F961" s="95" t="s">
        <v>815</v>
      </c>
      <c r="G961" s="95" t="s">
        <v>573</v>
      </c>
      <c r="H961" s="95" t="s">
        <v>815</v>
      </c>
      <c r="I961" s="95" t="s">
        <v>816</v>
      </c>
    </row>
    <row r="962" spans="1:9" ht="14.1" customHeight="1" x14ac:dyDescent="0.2">
      <c r="A962" s="95" t="s">
        <v>2238</v>
      </c>
      <c r="B962" s="95">
        <v>64</v>
      </c>
      <c r="C962" s="95" t="s">
        <v>481</v>
      </c>
      <c r="D962" s="95">
        <v>2012</v>
      </c>
      <c r="E962" s="95">
        <v>1</v>
      </c>
      <c r="F962" s="95" t="s">
        <v>1037</v>
      </c>
      <c r="G962" s="95">
        <v>0</v>
      </c>
      <c r="H962" s="95" t="s">
        <v>1037</v>
      </c>
      <c r="I962" s="95">
        <v>0</v>
      </c>
    </row>
    <row r="963" spans="1:9" ht="14.1" customHeight="1" x14ac:dyDescent="0.2">
      <c r="A963" s="95" t="s">
        <v>2239</v>
      </c>
      <c r="B963" s="95">
        <v>64</v>
      </c>
      <c r="C963" s="95" t="s">
        <v>485</v>
      </c>
      <c r="D963" s="95">
        <v>2012</v>
      </c>
      <c r="E963" s="95">
        <v>1</v>
      </c>
      <c r="F963" s="95" t="s">
        <v>815</v>
      </c>
      <c r="G963" s="95">
        <v>0</v>
      </c>
      <c r="H963" s="95" t="s">
        <v>815</v>
      </c>
      <c r="I963" s="95">
        <v>0</v>
      </c>
    </row>
    <row r="964" spans="1:9" ht="14.1" customHeight="1" x14ac:dyDescent="0.2">
      <c r="A964" s="95" t="s">
        <v>2240</v>
      </c>
      <c r="B964" s="95">
        <v>64</v>
      </c>
      <c r="C964" s="95" t="s">
        <v>489</v>
      </c>
      <c r="D964" s="95">
        <v>2012</v>
      </c>
      <c r="E964" s="95">
        <v>1</v>
      </c>
      <c r="F964" s="95" t="s">
        <v>815</v>
      </c>
      <c r="G964" s="95">
        <v>0</v>
      </c>
      <c r="H964" s="95" t="s">
        <v>815</v>
      </c>
      <c r="I964" s="95">
        <v>0</v>
      </c>
    </row>
    <row r="965" spans="1:9" ht="14.1" customHeight="1" x14ac:dyDescent="0.2">
      <c r="A965" s="95" t="s">
        <v>2241</v>
      </c>
      <c r="B965" s="95">
        <v>65</v>
      </c>
      <c r="C965" s="95" t="s">
        <v>518</v>
      </c>
      <c r="D965" s="95">
        <v>2012</v>
      </c>
      <c r="E965" s="95">
        <v>60000</v>
      </c>
      <c r="F965" s="95" t="s">
        <v>1013</v>
      </c>
      <c r="G965" s="95" t="s">
        <v>1014</v>
      </c>
      <c r="H965" s="95" t="s">
        <v>1013</v>
      </c>
      <c r="I965" s="95" t="s">
        <v>1014</v>
      </c>
    </row>
    <row r="966" spans="1:9" ht="14.1" customHeight="1" x14ac:dyDescent="0.2">
      <c r="A966" s="95" t="s">
        <v>2242</v>
      </c>
      <c r="B966" s="95">
        <v>65</v>
      </c>
      <c r="C966" s="95" t="s">
        <v>520</v>
      </c>
      <c r="D966" s="95">
        <v>2012</v>
      </c>
      <c r="E966" s="95">
        <v>4600</v>
      </c>
      <c r="F966" s="95" t="s">
        <v>627</v>
      </c>
      <c r="G966" s="95" t="s">
        <v>1043</v>
      </c>
      <c r="H966" s="95" t="s">
        <v>627</v>
      </c>
      <c r="I966" s="95" t="s">
        <v>1016</v>
      </c>
    </row>
    <row r="967" spans="1:9" ht="14.1" customHeight="1" x14ac:dyDescent="0.2">
      <c r="A967" s="95" t="s">
        <v>2243</v>
      </c>
      <c r="B967" s="95">
        <v>65</v>
      </c>
      <c r="C967" s="95" t="s">
        <v>522</v>
      </c>
      <c r="D967" s="95">
        <v>2012</v>
      </c>
      <c r="E967" s="95">
        <v>36660</v>
      </c>
      <c r="F967" s="95" t="s">
        <v>629</v>
      </c>
      <c r="G967" s="95" t="s">
        <v>1017</v>
      </c>
      <c r="H967" s="95" t="s">
        <v>629</v>
      </c>
      <c r="I967" s="95" t="s">
        <v>1017</v>
      </c>
    </row>
    <row r="968" spans="1:9" ht="14.1" customHeight="1" x14ac:dyDescent="0.2">
      <c r="A968" s="95" t="s">
        <v>2244</v>
      </c>
      <c r="B968" s="95">
        <v>65</v>
      </c>
      <c r="C968" s="95" t="s">
        <v>524</v>
      </c>
      <c r="D968" s="95">
        <v>2012</v>
      </c>
      <c r="E968" s="95">
        <v>435886.71</v>
      </c>
      <c r="F968" s="95" t="s">
        <v>630</v>
      </c>
      <c r="G968" s="95" t="s">
        <v>573</v>
      </c>
      <c r="H968" s="95" t="s">
        <v>630</v>
      </c>
      <c r="I968" s="95" t="s">
        <v>1044</v>
      </c>
    </row>
    <row r="969" spans="1:9" ht="14.1" customHeight="1" x14ac:dyDescent="0.2">
      <c r="A969" s="95" t="s">
        <v>2245</v>
      </c>
      <c r="B969" s="95">
        <v>65</v>
      </c>
      <c r="C969" s="95" t="s">
        <v>530</v>
      </c>
      <c r="D969" s="95">
        <v>2012</v>
      </c>
      <c r="E969" s="95">
        <v>120000</v>
      </c>
      <c r="F969" s="95" t="s">
        <v>657</v>
      </c>
      <c r="G969" s="95" t="s">
        <v>1045</v>
      </c>
      <c r="H969" s="95" t="s">
        <v>657</v>
      </c>
      <c r="I969" s="95" t="s">
        <v>1046</v>
      </c>
    </row>
    <row r="970" spans="1:9" ht="14.1" customHeight="1" x14ac:dyDescent="0.2">
      <c r="A970" s="95" t="s">
        <v>2246</v>
      </c>
      <c r="B970" s="95">
        <v>65</v>
      </c>
      <c r="C970" s="95" t="s">
        <v>536</v>
      </c>
      <c r="D970" s="95">
        <v>2012</v>
      </c>
      <c r="E970" s="95">
        <v>7520.75</v>
      </c>
      <c r="F970" s="95" t="s">
        <v>631</v>
      </c>
      <c r="G970" s="95" t="s">
        <v>1027</v>
      </c>
      <c r="H970" s="95" t="s">
        <v>631</v>
      </c>
      <c r="I970" s="95" t="s">
        <v>1027</v>
      </c>
    </row>
    <row r="971" spans="1:9" ht="14.1" customHeight="1" x14ac:dyDescent="0.2">
      <c r="A971" s="95" t="s">
        <v>2247</v>
      </c>
      <c r="B971" s="95">
        <v>65</v>
      </c>
      <c r="C971" s="95" t="s">
        <v>540</v>
      </c>
      <c r="D971" s="95">
        <v>2012</v>
      </c>
      <c r="E971" s="95">
        <v>2800</v>
      </c>
      <c r="F971" s="95" t="s">
        <v>894</v>
      </c>
      <c r="G971" s="95" t="s">
        <v>1047</v>
      </c>
      <c r="H971" s="95" t="s">
        <v>894</v>
      </c>
      <c r="I971" s="95" t="s">
        <v>1048</v>
      </c>
    </row>
    <row r="972" spans="1:9" ht="14.1" customHeight="1" x14ac:dyDescent="0.2">
      <c r="A972" s="95" t="s">
        <v>2248</v>
      </c>
      <c r="B972" s="95">
        <v>65</v>
      </c>
      <c r="C972" s="95" t="s">
        <v>546</v>
      </c>
      <c r="D972" s="95">
        <v>2012</v>
      </c>
      <c r="E972" s="95">
        <v>13500</v>
      </c>
      <c r="F972" s="95" t="s">
        <v>1034</v>
      </c>
      <c r="G972" s="95" t="s">
        <v>1049</v>
      </c>
      <c r="H972" s="95" t="s">
        <v>1034</v>
      </c>
      <c r="I972" s="95" t="s">
        <v>1050</v>
      </c>
    </row>
    <row r="973" spans="1:9" ht="14.1" customHeight="1" x14ac:dyDescent="0.2">
      <c r="A973" s="95" t="s">
        <v>2249</v>
      </c>
      <c r="B973" s="95">
        <v>65</v>
      </c>
      <c r="C973" s="95" t="s">
        <v>488</v>
      </c>
      <c r="D973" s="95">
        <v>2012</v>
      </c>
      <c r="E973" s="95">
        <v>115326</v>
      </c>
      <c r="F973" s="95" t="s">
        <v>1273</v>
      </c>
      <c r="G973" s="95" t="s">
        <v>573</v>
      </c>
      <c r="H973" s="95" t="s">
        <v>1273</v>
      </c>
      <c r="I973" s="95" t="s">
        <v>816</v>
      </c>
    </row>
    <row r="974" spans="1:9" ht="14.1" customHeight="1" x14ac:dyDescent="0.2">
      <c r="A974" s="95" t="s">
        <v>2250</v>
      </c>
      <c r="B974" s="95">
        <v>65</v>
      </c>
      <c r="C974" s="95" t="s">
        <v>487</v>
      </c>
      <c r="D974" s="95">
        <v>2012</v>
      </c>
      <c r="E974" s="95">
        <v>15450</v>
      </c>
      <c r="F974" s="95" t="s">
        <v>1273</v>
      </c>
      <c r="G974" s="95">
        <v>0</v>
      </c>
      <c r="H974" s="95" t="s">
        <v>1273</v>
      </c>
      <c r="I974" s="95">
        <v>0</v>
      </c>
    </row>
    <row r="975" spans="1:9" ht="14.1" customHeight="1" x14ac:dyDescent="0.2">
      <c r="A975" s="95" t="s">
        <v>2251</v>
      </c>
      <c r="B975" s="95">
        <v>65</v>
      </c>
      <c r="C975" s="95" t="s">
        <v>486</v>
      </c>
      <c r="D975" s="95">
        <v>2012</v>
      </c>
      <c r="E975" s="95">
        <v>10286</v>
      </c>
      <c r="F975" s="95" t="s">
        <v>1273</v>
      </c>
      <c r="G975" s="95">
        <v>0</v>
      </c>
      <c r="H975" s="95" t="s">
        <v>1273</v>
      </c>
      <c r="I975" s="95">
        <v>0</v>
      </c>
    </row>
    <row r="976" spans="1:9" ht="14.1" customHeight="1" x14ac:dyDescent="0.2">
      <c r="A976" s="95" t="s">
        <v>2252</v>
      </c>
      <c r="B976" s="95">
        <v>65</v>
      </c>
      <c r="C976" s="95" t="s">
        <v>482</v>
      </c>
      <c r="D976" s="95">
        <v>2012</v>
      </c>
      <c r="E976" s="95">
        <v>12553.45</v>
      </c>
      <c r="F976" s="95" t="s">
        <v>1273</v>
      </c>
      <c r="G976" s="95" t="s">
        <v>594</v>
      </c>
      <c r="H976" s="95" t="s">
        <v>1273</v>
      </c>
      <c r="I976" s="95" t="s">
        <v>855</v>
      </c>
    </row>
    <row r="977" spans="1:9" ht="14.1" customHeight="1" x14ac:dyDescent="0.2">
      <c r="A977" s="95" t="s">
        <v>2253</v>
      </c>
      <c r="B977" s="95">
        <v>65</v>
      </c>
      <c r="C977" s="95" t="s">
        <v>490</v>
      </c>
      <c r="D977" s="95">
        <v>2012</v>
      </c>
      <c r="E977" s="95">
        <v>4645</v>
      </c>
      <c r="F977" s="95" t="s">
        <v>1273</v>
      </c>
      <c r="G977" s="95" t="s">
        <v>572</v>
      </c>
      <c r="H977" s="95" t="s">
        <v>1273</v>
      </c>
      <c r="I977" s="95" t="s">
        <v>814</v>
      </c>
    </row>
    <row r="978" spans="1:9" ht="14.1" customHeight="1" x14ac:dyDescent="0.2">
      <c r="A978" s="95" t="s">
        <v>2254</v>
      </c>
      <c r="B978" s="95">
        <v>65</v>
      </c>
      <c r="C978" s="95" t="s">
        <v>481</v>
      </c>
      <c r="D978" s="95">
        <v>2012</v>
      </c>
      <c r="E978" s="95">
        <v>93301</v>
      </c>
      <c r="F978" s="95" t="s">
        <v>1273</v>
      </c>
      <c r="G978" s="95" t="s">
        <v>573</v>
      </c>
      <c r="H978" s="95" t="s">
        <v>1273</v>
      </c>
      <c r="I978" s="95" t="s">
        <v>816</v>
      </c>
    </row>
    <row r="979" spans="1:9" ht="14.1" customHeight="1" x14ac:dyDescent="0.2">
      <c r="A979" s="95" t="s">
        <v>2255</v>
      </c>
      <c r="B979" s="95">
        <v>65</v>
      </c>
      <c r="C979" s="95" t="s">
        <v>485</v>
      </c>
      <c r="D979" s="95">
        <v>2012</v>
      </c>
      <c r="E979" s="95">
        <v>168448</v>
      </c>
      <c r="F979" s="95" t="s">
        <v>1273</v>
      </c>
      <c r="G979" s="95">
        <v>0</v>
      </c>
      <c r="H979" s="95" t="s">
        <v>1273</v>
      </c>
      <c r="I979" s="95">
        <v>0</v>
      </c>
    </row>
    <row r="980" spans="1:9" ht="14.1" customHeight="1" x14ac:dyDescent="0.2">
      <c r="A980" s="95" t="s">
        <v>2256</v>
      </c>
      <c r="B980" s="95">
        <v>65</v>
      </c>
      <c r="C980" s="95" t="s">
        <v>489</v>
      </c>
      <c r="D980" s="95">
        <v>2012</v>
      </c>
      <c r="E980" s="95">
        <v>49515</v>
      </c>
      <c r="F980" s="95" t="s">
        <v>1273</v>
      </c>
      <c r="G980" s="95" t="s">
        <v>632</v>
      </c>
      <c r="H980" s="95" t="s">
        <v>1273</v>
      </c>
      <c r="I980" s="95" t="s">
        <v>1051</v>
      </c>
    </row>
    <row r="981" spans="1:9" ht="14.1" customHeight="1" x14ac:dyDescent="0.2">
      <c r="A981" s="95" t="s">
        <v>2257</v>
      </c>
      <c r="B981" s="95">
        <v>66</v>
      </c>
      <c r="C981" s="95" t="s">
        <v>518</v>
      </c>
      <c r="D981" s="95">
        <v>2012</v>
      </c>
      <c r="E981" s="95">
        <v>9901.2800000000007</v>
      </c>
      <c r="F981" s="95" t="s">
        <v>556</v>
      </c>
      <c r="G981" s="95" t="s">
        <v>1052</v>
      </c>
      <c r="H981" s="95" t="s">
        <v>556</v>
      </c>
      <c r="I981" s="95" t="s">
        <v>1053</v>
      </c>
    </row>
    <row r="982" spans="1:9" ht="14.1" customHeight="1" x14ac:dyDescent="0.2">
      <c r="A982" s="95" t="s">
        <v>2258</v>
      </c>
      <c r="B982" s="95">
        <v>66</v>
      </c>
      <c r="C982" s="95" t="s">
        <v>524</v>
      </c>
      <c r="D982" s="95">
        <v>2012</v>
      </c>
      <c r="E982" s="95">
        <v>871725.77300000004</v>
      </c>
      <c r="F982" s="95" t="s">
        <v>630</v>
      </c>
      <c r="G982" s="95" t="s">
        <v>1054</v>
      </c>
      <c r="H982" s="95" t="s">
        <v>630</v>
      </c>
      <c r="I982" s="95" t="s">
        <v>1055</v>
      </c>
    </row>
    <row r="983" spans="1:9" ht="14.1" customHeight="1" x14ac:dyDescent="0.2">
      <c r="A983" s="95" t="s">
        <v>2259</v>
      </c>
      <c r="B983" s="95">
        <v>66</v>
      </c>
      <c r="C983" s="95" t="s">
        <v>528</v>
      </c>
      <c r="D983" s="95">
        <v>2012</v>
      </c>
      <c r="E983" s="95">
        <v>32749.5227188395</v>
      </c>
      <c r="F983" s="95" t="s">
        <v>633</v>
      </c>
      <c r="G983" s="95" t="s">
        <v>907</v>
      </c>
      <c r="H983" s="95" t="s">
        <v>633</v>
      </c>
      <c r="I983" s="95" t="s">
        <v>908</v>
      </c>
    </row>
    <row r="984" spans="1:9" ht="14.1" customHeight="1" x14ac:dyDescent="0.2">
      <c r="A984" s="95" t="s">
        <v>2260</v>
      </c>
      <c r="B984" s="95">
        <v>66</v>
      </c>
      <c r="C984" s="95" t="s">
        <v>530</v>
      </c>
      <c r="D984" s="95">
        <v>2012</v>
      </c>
      <c r="E984" s="95">
        <v>16594.106250000001</v>
      </c>
      <c r="F984" s="95" t="s">
        <v>634</v>
      </c>
      <c r="G984" s="95" t="s">
        <v>565</v>
      </c>
      <c r="H984" s="95" t="s">
        <v>634</v>
      </c>
      <c r="I984" s="95" t="s">
        <v>802</v>
      </c>
    </row>
    <row r="985" spans="1:9" ht="14.1" customHeight="1" x14ac:dyDescent="0.2">
      <c r="A985" s="95" t="s">
        <v>2261</v>
      </c>
      <c r="B985" s="95">
        <v>66</v>
      </c>
      <c r="C985" s="95" t="s">
        <v>532</v>
      </c>
      <c r="D985" s="95">
        <v>2012</v>
      </c>
      <c r="E985" s="95">
        <v>9124.9832123411998</v>
      </c>
      <c r="F985" s="95" t="s">
        <v>635</v>
      </c>
      <c r="G985" s="95" t="s">
        <v>586</v>
      </c>
      <c r="H985" s="95" t="s">
        <v>635</v>
      </c>
      <c r="I985" s="95" t="s">
        <v>1056</v>
      </c>
    </row>
    <row r="986" spans="1:9" ht="14.1" customHeight="1" x14ac:dyDescent="0.2">
      <c r="A986" s="95" t="s">
        <v>2262</v>
      </c>
      <c r="B986" s="95">
        <v>66</v>
      </c>
      <c r="C986" s="95" t="s">
        <v>538</v>
      </c>
      <c r="D986" s="95">
        <v>2012</v>
      </c>
      <c r="E986" s="95">
        <v>37858.072</v>
      </c>
      <c r="F986" s="95" t="s">
        <v>3088</v>
      </c>
      <c r="G986" s="95" t="s">
        <v>1057</v>
      </c>
      <c r="H986" s="95" t="s">
        <v>3088</v>
      </c>
      <c r="I986" s="95" t="s">
        <v>1058</v>
      </c>
    </row>
    <row r="987" spans="1:9" ht="14.1" customHeight="1" x14ac:dyDescent="0.2">
      <c r="A987" s="95" t="s">
        <v>2263</v>
      </c>
      <c r="B987" s="95">
        <v>66</v>
      </c>
      <c r="C987" s="95" t="s">
        <v>488</v>
      </c>
      <c r="D987" s="95">
        <v>2012</v>
      </c>
      <c r="E987" s="95">
        <v>145503</v>
      </c>
      <c r="F987" s="95" t="s">
        <v>636</v>
      </c>
      <c r="G987" s="95">
        <v>0</v>
      </c>
      <c r="H987" s="95" t="s">
        <v>636</v>
      </c>
      <c r="I987" s="95">
        <v>0</v>
      </c>
    </row>
    <row r="988" spans="1:9" ht="14.1" customHeight="1" x14ac:dyDescent="0.2">
      <c r="A988" s="95" t="s">
        <v>2264</v>
      </c>
      <c r="B988" s="95">
        <v>66</v>
      </c>
      <c r="C988" s="95" t="s">
        <v>490</v>
      </c>
      <c r="D988" s="95">
        <v>2012</v>
      </c>
      <c r="E988" s="95">
        <v>2820</v>
      </c>
      <c r="F988" s="95" t="s">
        <v>1273</v>
      </c>
      <c r="G988" s="95" t="s">
        <v>572</v>
      </c>
      <c r="H988" s="95" t="s">
        <v>1273</v>
      </c>
      <c r="I988" s="95" t="s">
        <v>814</v>
      </c>
    </row>
    <row r="989" spans="1:9" ht="14.1" customHeight="1" x14ac:dyDescent="0.2">
      <c r="A989" s="95" t="s">
        <v>2265</v>
      </c>
      <c r="B989" s="95">
        <v>66</v>
      </c>
      <c r="C989" s="95" t="s">
        <v>481</v>
      </c>
      <c r="D989" s="95">
        <v>2012</v>
      </c>
      <c r="E989" s="95">
        <v>292588.90000000002</v>
      </c>
      <c r="F989" s="95" t="s">
        <v>1037</v>
      </c>
      <c r="G989" s="95">
        <v>0</v>
      </c>
      <c r="H989" s="95" t="s">
        <v>1037</v>
      </c>
      <c r="I989" s="95">
        <v>0</v>
      </c>
    </row>
    <row r="990" spans="1:9" ht="14.1" customHeight="1" x14ac:dyDescent="0.2">
      <c r="A990" s="95" t="s">
        <v>2266</v>
      </c>
      <c r="B990" s="95">
        <v>66</v>
      </c>
      <c r="C990" s="95" t="s">
        <v>484</v>
      </c>
      <c r="D990" s="95">
        <v>2012</v>
      </c>
      <c r="E990" s="95">
        <v>141</v>
      </c>
      <c r="F990" s="95" t="s">
        <v>837</v>
      </c>
      <c r="G990" s="95">
        <v>0</v>
      </c>
      <c r="H990" s="95" t="s">
        <v>837</v>
      </c>
      <c r="I990" s="95">
        <v>0</v>
      </c>
    </row>
    <row r="991" spans="1:9" ht="14.1" customHeight="1" x14ac:dyDescent="0.2">
      <c r="A991" s="95" t="s">
        <v>2267</v>
      </c>
      <c r="B991" s="95">
        <v>66</v>
      </c>
      <c r="C991" s="95" t="s">
        <v>485</v>
      </c>
      <c r="D991" s="95">
        <v>2012</v>
      </c>
      <c r="E991" s="95">
        <v>677184</v>
      </c>
      <c r="F991" s="95" t="s">
        <v>583</v>
      </c>
      <c r="G991" s="95" t="s">
        <v>565</v>
      </c>
      <c r="H991" s="95" t="s">
        <v>583</v>
      </c>
      <c r="I991" s="95" t="s">
        <v>802</v>
      </c>
    </row>
    <row r="992" spans="1:9" ht="14.1" customHeight="1" x14ac:dyDescent="0.2">
      <c r="A992" s="95" t="s">
        <v>2268</v>
      </c>
      <c r="B992" s="95">
        <v>67</v>
      </c>
      <c r="C992" s="95" t="s">
        <v>518</v>
      </c>
      <c r="D992" s="95">
        <v>2012</v>
      </c>
      <c r="E992" s="95">
        <v>245748.56</v>
      </c>
      <c r="F992" s="95" t="s">
        <v>556</v>
      </c>
      <c r="G992" s="95" t="s">
        <v>1052</v>
      </c>
      <c r="H992" s="95" t="s">
        <v>556</v>
      </c>
      <c r="I992" s="95" t="s">
        <v>1053</v>
      </c>
    </row>
    <row r="993" spans="1:9" ht="14.1" customHeight="1" x14ac:dyDescent="0.2">
      <c r="A993" s="95" t="s">
        <v>2269</v>
      </c>
      <c r="B993" s="95">
        <v>67</v>
      </c>
      <c r="C993" s="95" t="s">
        <v>520</v>
      </c>
      <c r="D993" s="95">
        <v>2012</v>
      </c>
      <c r="E993" s="95">
        <v>20610.189999999999</v>
      </c>
      <c r="F993" s="95" t="s">
        <v>637</v>
      </c>
      <c r="G993" s="95" t="s">
        <v>1059</v>
      </c>
      <c r="H993" s="95" t="s">
        <v>637</v>
      </c>
      <c r="I993" s="95" t="s">
        <v>1060</v>
      </c>
    </row>
    <row r="994" spans="1:9" ht="14.1" customHeight="1" x14ac:dyDescent="0.2">
      <c r="A994" s="95" t="s">
        <v>2270</v>
      </c>
      <c r="B994" s="95">
        <v>67</v>
      </c>
      <c r="C994" s="95" t="s">
        <v>522</v>
      </c>
      <c r="D994" s="95">
        <v>2012</v>
      </c>
      <c r="E994" s="95">
        <v>20447.3539552906</v>
      </c>
      <c r="F994" s="95" t="s">
        <v>952</v>
      </c>
      <c r="G994" s="95" t="s">
        <v>907</v>
      </c>
      <c r="H994" s="95" t="s">
        <v>952</v>
      </c>
      <c r="I994" s="95" t="s">
        <v>908</v>
      </c>
    </row>
    <row r="995" spans="1:9" ht="14.1" customHeight="1" x14ac:dyDescent="0.2">
      <c r="A995" s="95" t="s">
        <v>2271</v>
      </c>
      <c r="B995" s="95">
        <v>67</v>
      </c>
      <c r="C995" s="95" t="s">
        <v>524</v>
      </c>
      <c r="D995" s="95">
        <v>2012</v>
      </c>
      <c r="E995" s="95">
        <v>761120.17299999995</v>
      </c>
      <c r="F995" s="95" t="s">
        <v>630</v>
      </c>
      <c r="G995" s="95" t="s">
        <v>1054</v>
      </c>
      <c r="H995" s="95" t="s">
        <v>630</v>
      </c>
      <c r="I995" s="95" t="s">
        <v>1055</v>
      </c>
    </row>
    <row r="996" spans="1:9" ht="14.1" customHeight="1" x14ac:dyDescent="0.2">
      <c r="A996" s="95" t="s">
        <v>2272</v>
      </c>
      <c r="B996" s="95">
        <v>67</v>
      </c>
      <c r="C996" s="95" t="s">
        <v>526</v>
      </c>
      <c r="D996" s="95">
        <v>2012</v>
      </c>
      <c r="E996" s="95">
        <v>7443.4920000000002</v>
      </c>
      <c r="F996" s="95" t="s">
        <v>1018</v>
      </c>
      <c r="G996" s="95">
        <v>0</v>
      </c>
      <c r="H996" s="95" t="s">
        <v>1018</v>
      </c>
      <c r="I996" s="95">
        <v>0</v>
      </c>
    </row>
    <row r="997" spans="1:9" ht="14.1" customHeight="1" x14ac:dyDescent="0.2">
      <c r="A997" s="95" t="s">
        <v>2273</v>
      </c>
      <c r="B997" s="95">
        <v>67</v>
      </c>
      <c r="C997" s="95" t="s">
        <v>528</v>
      </c>
      <c r="D997" s="95">
        <v>2012</v>
      </c>
      <c r="E997" s="95">
        <v>268354.86379148398</v>
      </c>
      <c r="F997" s="95" t="s">
        <v>633</v>
      </c>
      <c r="G997" s="95" t="s">
        <v>907</v>
      </c>
      <c r="H997" s="95" t="s">
        <v>633</v>
      </c>
      <c r="I997" s="95" t="s">
        <v>908</v>
      </c>
    </row>
    <row r="998" spans="1:9" ht="14.1" customHeight="1" x14ac:dyDescent="0.2">
      <c r="A998" s="95" t="s">
        <v>2274</v>
      </c>
      <c r="B998" s="95">
        <v>67</v>
      </c>
      <c r="C998" s="95" t="s">
        <v>530</v>
      </c>
      <c r="D998" s="95">
        <v>2012</v>
      </c>
      <c r="E998" s="95">
        <v>240196.98</v>
      </c>
      <c r="F998" s="95" t="s">
        <v>634</v>
      </c>
      <c r="G998" s="95" t="s">
        <v>1061</v>
      </c>
      <c r="H998" s="95" t="s">
        <v>634</v>
      </c>
      <c r="I998" s="95" t="s">
        <v>1062</v>
      </c>
    </row>
    <row r="999" spans="1:9" ht="14.1" customHeight="1" x14ac:dyDescent="0.2">
      <c r="A999" s="95" t="s">
        <v>2275</v>
      </c>
      <c r="B999" s="95">
        <v>67</v>
      </c>
      <c r="C999" s="95" t="s">
        <v>532</v>
      </c>
      <c r="D999" s="95">
        <v>2012</v>
      </c>
      <c r="E999" s="95">
        <v>5571.4911115021796</v>
      </c>
      <c r="F999" s="95" t="s">
        <v>635</v>
      </c>
      <c r="G999" s="95" t="s">
        <v>638</v>
      </c>
      <c r="H999" s="95" t="s">
        <v>635</v>
      </c>
      <c r="I999" s="95" t="s">
        <v>1063</v>
      </c>
    </row>
    <row r="1000" spans="1:9" ht="14.1" customHeight="1" x14ac:dyDescent="0.2">
      <c r="A1000" s="95" t="s">
        <v>2276</v>
      </c>
      <c r="B1000" s="95">
        <v>67</v>
      </c>
      <c r="C1000" s="95" t="s">
        <v>536</v>
      </c>
      <c r="D1000" s="95">
        <v>2012</v>
      </c>
      <c r="E1000" s="95">
        <v>12321.870999999999</v>
      </c>
      <c r="F1000" s="95" t="s">
        <v>631</v>
      </c>
      <c r="G1000" s="95">
        <v>0</v>
      </c>
      <c r="H1000" s="95" t="s">
        <v>631</v>
      </c>
      <c r="I1000" s="95">
        <v>0</v>
      </c>
    </row>
    <row r="1001" spans="1:9" ht="14.1" customHeight="1" x14ac:dyDescent="0.2">
      <c r="A1001" s="95" t="s">
        <v>2277</v>
      </c>
      <c r="B1001" s="95">
        <v>67</v>
      </c>
      <c r="C1001" s="95" t="s">
        <v>538</v>
      </c>
      <c r="D1001" s="95">
        <v>2012</v>
      </c>
      <c r="E1001" s="95">
        <v>275877.63699999999</v>
      </c>
      <c r="F1001" s="95" t="s">
        <v>3088</v>
      </c>
      <c r="G1001" s="95" t="s">
        <v>1057</v>
      </c>
      <c r="H1001" s="95" t="s">
        <v>3088</v>
      </c>
      <c r="I1001" s="95" t="s">
        <v>1058</v>
      </c>
    </row>
    <row r="1002" spans="1:9" ht="14.1" customHeight="1" x14ac:dyDescent="0.2">
      <c r="A1002" s="95" t="s">
        <v>2278</v>
      </c>
      <c r="B1002" s="95">
        <v>67</v>
      </c>
      <c r="C1002" s="95" t="s">
        <v>540</v>
      </c>
      <c r="D1002" s="95">
        <v>2012</v>
      </c>
      <c r="E1002" s="95">
        <v>22877.182452000001</v>
      </c>
      <c r="F1002" s="95" t="s">
        <v>639</v>
      </c>
      <c r="G1002" s="95" t="s">
        <v>821</v>
      </c>
      <c r="H1002" s="95" t="s">
        <v>639</v>
      </c>
      <c r="I1002" s="95" t="s">
        <v>822</v>
      </c>
    </row>
    <row r="1003" spans="1:9" ht="14.1" customHeight="1" x14ac:dyDescent="0.2">
      <c r="A1003" s="95" t="s">
        <v>2279</v>
      </c>
      <c r="B1003" s="95">
        <v>67</v>
      </c>
      <c r="C1003" s="95" t="s">
        <v>542</v>
      </c>
      <c r="D1003" s="95">
        <v>2012</v>
      </c>
      <c r="E1003" s="95">
        <v>7059.0773958810196</v>
      </c>
      <c r="F1003" s="95" t="s">
        <v>1030</v>
      </c>
      <c r="G1003" s="95" t="s">
        <v>565</v>
      </c>
      <c r="H1003" s="95" t="s">
        <v>1030</v>
      </c>
      <c r="I1003" s="95" t="s">
        <v>802</v>
      </c>
    </row>
    <row r="1004" spans="1:9" ht="14.1" customHeight="1" x14ac:dyDescent="0.2">
      <c r="A1004" s="95" t="s">
        <v>2280</v>
      </c>
      <c r="B1004" s="95">
        <v>67</v>
      </c>
      <c r="C1004" s="95" t="s">
        <v>544</v>
      </c>
      <c r="D1004" s="95">
        <v>2012</v>
      </c>
      <c r="E1004" s="95">
        <v>41746.620000000003</v>
      </c>
      <c r="F1004" s="95" t="s">
        <v>1032</v>
      </c>
      <c r="G1004" s="95" t="s">
        <v>907</v>
      </c>
      <c r="H1004" s="95" t="s">
        <v>1032</v>
      </c>
      <c r="I1004" s="95" t="s">
        <v>908</v>
      </c>
    </row>
    <row r="1005" spans="1:9" ht="14.1" customHeight="1" x14ac:dyDescent="0.2">
      <c r="A1005" s="95" t="s">
        <v>2281</v>
      </c>
      <c r="B1005" s="95">
        <v>67</v>
      </c>
      <c r="C1005" s="95" t="s">
        <v>546</v>
      </c>
      <c r="D1005" s="95">
        <v>2012</v>
      </c>
      <c r="E1005" s="95">
        <v>30985</v>
      </c>
      <c r="F1005" s="95" t="s">
        <v>640</v>
      </c>
      <c r="G1005" s="95" t="s">
        <v>821</v>
      </c>
      <c r="H1005" s="95" t="s">
        <v>640</v>
      </c>
      <c r="I1005" s="95" t="s">
        <v>822</v>
      </c>
    </row>
    <row r="1006" spans="1:9" ht="14.1" customHeight="1" x14ac:dyDescent="0.2">
      <c r="A1006" s="95" t="s">
        <v>2282</v>
      </c>
      <c r="B1006" s="95">
        <v>67</v>
      </c>
      <c r="C1006" s="95" t="s">
        <v>548</v>
      </c>
      <c r="D1006" s="95">
        <v>2012</v>
      </c>
      <c r="E1006" s="95">
        <v>100342.499646387</v>
      </c>
      <c r="F1006" s="95" t="s">
        <v>825</v>
      </c>
      <c r="G1006" s="95" t="s">
        <v>565</v>
      </c>
      <c r="H1006" s="95" t="s">
        <v>825</v>
      </c>
      <c r="I1006" s="95" t="s">
        <v>802</v>
      </c>
    </row>
    <row r="1007" spans="1:9" ht="14.1" customHeight="1" x14ac:dyDescent="0.2">
      <c r="A1007" s="95" t="s">
        <v>2283</v>
      </c>
      <c r="B1007" s="95">
        <v>67</v>
      </c>
      <c r="C1007" s="95" t="s">
        <v>483</v>
      </c>
      <c r="D1007" s="95">
        <v>2012</v>
      </c>
      <c r="E1007" s="95">
        <v>3163.3186655951699</v>
      </c>
      <c r="F1007" s="95" t="s">
        <v>1273</v>
      </c>
      <c r="G1007" s="95" t="s">
        <v>565</v>
      </c>
      <c r="H1007" s="95" t="s">
        <v>1273</v>
      </c>
      <c r="I1007" s="95" t="s">
        <v>802</v>
      </c>
    </row>
    <row r="1008" spans="1:9" ht="14.1" customHeight="1" x14ac:dyDescent="0.2">
      <c r="A1008" s="95" t="s">
        <v>2284</v>
      </c>
      <c r="B1008" s="95">
        <v>67</v>
      </c>
      <c r="C1008" s="95" t="s">
        <v>488</v>
      </c>
      <c r="D1008" s="95">
        <v>2012</v>
      </c>
      <c r="E1008" s="95">
        <v>623792</v>
      </c>
      <c r="F1008" s="95" t="s">
        <v>636</v>
      </c>
      <c r="G1008" s="95">
        <v>0</v>
      </c>
      <c r="H1008" s="95" t="s">
        <v>636</v>
      </c>
      <c r="I1008" s="95">
        <v>0</v>
      </c>
    </row>
    <row r="1009" spans="1:9" ht="14.1" customHeight="1" x14ac:dyDescent="0.2">
      <c r="A1009" s="95" t="s">
        <v>2285</v>
      </c>
      <c r="B1009" s="95">
        <v>67</v>
      </c>
      <c r="C1009" s="95" t="s">
        <v>487</v>
      </c>
      <c r="D1009" s="95">
        <v>2012</v>
      </c>
      <c r="E1009" s="95">
        <v>94775.017999999996</v>
      </c>
      <c r="F1009" s="95" t="s">
        <v>3089</v>
      </c>
      <c r="G1009" s="95">
        <v>0</v>
      </c>
      <c r="H1009" s="95" t="s">
        <v>3089</v>
      </c>
      <c r="I1009" s="95">
        <v>0</v>
      </c>
    </row>
    <row r="1010" spans="1:9" ht="14.1" customHeight="1" x14ac:dyDescent="0.2">
      <c r="A1010" s="95" t="s">
        <v>2286</v>
      </c>
      <c r="B1010" s="95">
        <v>67</v>
      </c>
      <c r="C1010" s="95" t="s">
        <v>486</v>
      </c>
      <c r="D1010" s="95">
        <v>2012</v>
      </c>
      <c r="E1010" s="95">
        <v>23362.679</v>
      </c>
      <c r="F1010" s="95" t="s">
        <v>510</v>
      </c>
      <c r="G1010" s="95">
        <v>0</v>
      </c>
      <c r="H1010" s="95" t="s">
        <v>510</v>
      </c>
      <c r="I1010" s="95">
        <v>0</v>
      </c>
    </row>
    <row r="1011" spans="1:9" ht="14.1" customHeight="1" x14ac:dyDescent="0.2">
      <c r="A1011" s="95" t="s">
        <v>2287</v>
      </c>
      <c r="B1011" s="95">
        <v>67</v>
      </c>
      <c r="C1011" s="95" t="s">
        <v>482</v>
      </c>
      <c r="D1011" s="95">
        <v>2012</v>
      </c>
      <c r="E1011" s="95">
        <v>50994.618999999999</v>
      </c>
      <c r="F1011" s="95" t="s">
        <v>641</v>
      </c>
      <c r="G1011" s="95">
        <v>0</v>
      </c>
      <c r="H1011" s="95" t="s">
        <v>641</v>
      </c>
      <c r="I1011" s="95">
        <v>0</v>
      </c>
    </row>
    <row r="1012" spans="1:9" ht="14.1" customHeight="1" x14ac:dyDescent="0.2">
      <c r="A1012" s="95" t="s">
        <v>2288</v>
      </c>
      <c r="B1012" s="95">
        <v>67</v>
      </c>
      <c r="C1012" s="95" t="s">
        <v>490</v>
      </c>
      <c r="D1012" s="95">
        <v>2012</v>
      </c>
      <c r="E1012" s="95">
        <v>28632</v>
      </c>
      <c r="F1012" s="95" t="s">
        <v>1273</v>
      </c>
      <c r="G1012" s="95" t="s">
        <v>572</v>
      </c>
      <c r="H1012" s="95" t="s">
        <v>1273</v>
      </c>
      <c r="I1012" s="95" t="s">
        <v>814</v>
      </c>
    </row>
    <row r="1013" spans="1:9" ht="14.1" customHeight="1" x14ac:dyDescent="0.2">
      <c r="A1013" s="95" t="s">
        <v>2289</v>
      </c>
      <c r="B1013" s="95">
        <v>67</v>
      </c>
      <c r="C1013" s="95" t="s">
        <v>481</v>
      </c>
      <c r="D1013" s="95">
        <v>2012</v>
      </c>
      <c r="E1013" s="95">
        <v>312811.09999999998</v>
      </c>
      <c r="F1013" s="95" t="s">
        <v>1037</v>
      </c>
      <c r="G1013" s="95">
        <v>0</v>
      </c>
      <c r="H1013" s="95" t="s">
        <v>1037</v>
      </c>
      <c r="I1013" s="95">
        <v>0</v>
      </c>
    </row>
    <row r="1014" spans="1:9" ht="14.1" customHeight="1" x14ac:dyDescent="0.2">
      <c r="A1014" s="95" t="s">
        <v>2290</v>
      </c>
      <c r="B1014" s="95">
        <v>67</v>
      </c>
      <c r="C1014" s="95" t="s">
        <v>484</v>
      </c>
      <c r="D1014" s="95">
        <v>2012</v>
      </c>
      <c r="E1014" s="95">
        <v>22979</v>
      </c>
      <c r="F1014" s="95" t="s">
        <v>837</v>
      </c>
      <c r="G1014" s="95">
        <v>0</v>
      </c>
      <c r="H1014" s="95" t="s">
        <v>837</v>
      </c>
      <c r="I1014" s="95">
        <v>0</v>
      </c>
    </row>
    <row r="1015" spans="1:9" ht="14.1" customHeight="1" x14ac:dyDescent="0.2">
      <c r="A1015" s="95" t="s">
        <v>2291</v>
      </c>
      <c r="B1015" s="95">
        <v>67</v>
      </c>
      <c r="C1015" s="95" t="s">
        <v>485</v>
      </c>
      <c r="D1015" s="95">
        <v>2012</v>
      </c>
      <c r="E1015" s="95">
        <v>120066</v>
      </c>
      <c r="F1015" s="95" t="s">
        <v>583</v>
      </c>
      <c r="G1015" s="95">
        <v>0</v>
      </c>
      <c r="H1015" s="95" t="s">
        <v>583</v>
      </c>
      <c r="I1015" s="95">
        <v>0</v>
      </c>
    </row>
    <row r="1016" spans="1:9" ht="14.1" customHeight="1" x14ac:dyDescent="0.2">
      <c r="A1016" s="95" t="s">
        <v>2292</v>
      </c>
      <c r="B1016" s="95">
        <v>67</v>
      </c>
      <c r="C1016" s="95" t="s">
        <v>489</v>
      </c>
      <c r="D1016" s="95">
        <v>2012</v>
      </c>
      <c r="E1016" s="95">
        <v>83910</v>
      </c>
      <c r="F1016" s="95" t="s">
        <v>1273</v>
      </c>
      <c r="G1016" s="95" t="s">
        <v>573</v>
      </c>
      <c r="H1016" s="95" t="s">
        <v>1273</v>
      </c>
      <c r="I1016" s="95" t="s">
        <v>816</v>
      </c>
    </row>
    <row r="1017" spans="1:9" ht="14.1" customHeight="1" x14ac:dyDescent="0.2">
      <c r="A1017" s="95" t="s">
        <v>2293</v>
      </c>
      <c r="B1017" s="95">
        <v>68</v>
      </c>
      <c r="C1017" s="95" t="s">
        <v>524</v>
      </c>
      <c r="D1017" s="95">
        <v>2012</v>
      </c>
      <c r="E1017" s="95">
        <v>9590.3958116850008</v>
      </c>
      <c r="F1017" s="95" t="s">
        <v>642</v>
      </c>
      <c r="G1017" s="95" t="s">
        <v>1064</v>
      </c>
      <c r="H1017" s="95" t="s">
        <v>642</v>
      </c>
      <c r="I1017" s="95" t="s">
        <v>1065</v>
      </c>
    </row>
    <row r="1018" spans="1:9" ht="14.1" customHeight="1" x14ac:dyDescent="0.2">
      <c r="A1018" s="95" t="s">
        <v>2294</v>
      </c>
      <c r="B1018" s="95">
        <v>68</v>
      </c>
      <c r="C1018" s="95" t="s">
        <v>488</v>
      </c>
      <c r="D1018" s="95">
        <v>2012</v>
      </c>
      <c r="E1018" s="95">
        <v>74</v>
      </c>
      <c r="F1018" s="95" t="s">
        <v>636</v>
      </c>
      <c r="G1018" s="95">
        <v>0</v>
      </c>
      <c r="H1018" s="95" t="s">
        <v>636</v>
      </c>
      <c r="I1018" s="95">
        <v>0</v>
      </c>
    </row>
    <row r="1019" spans="1:9" ht="14.1" customHeight="1" x14ac:dyDescent="0.2">
      <c r="A1019" s="95" t="s">
        <v>2295</v>
      </c>
      <c r="B1019" s="95">
        <v>69</v>
      </c>
      <c r="C1019" s="95" t="s">
        <v>518</v>
      </c>
      <c r="D1019" s="95">
        <v>2012</v>
      </c>
      <c r="E1019" s="95">
        <v>32.808398950131199</v>
      </c>
      <c r="F1019" s="95" t="s">
        <v>1066</v>
      </c>
      <c r="G1019" s="95" t="s">
        <v>643</v>
      </c>
      <c r="H1019" s="95" t="s">
        <v>1066</v>
      </c>
      <c r="I1019" s="95" t="s">
        <v>1067</v>
      </c>
    </row>
    <row r="1020" spans="1:9" ht="14.1" customHeight="1" x14ac:dyDescent="0.2">
      <c r="A1020" s="95" t="s">
        <v>2296</v>
      </c>
      <c r="B1020" s="95">
        <v>69</v>
      </c>
      <c r="C1020" s="95" t="s">
        <v>520</v>
      </c>
      <c r="D1020" s="95">
        <v>2012</v>
      </c>
      <c r="E1020" s="95">
        <v>36.089238845144401</v>
      </c>
      <c r="F1020" s="95" t="s">
        <v>644</v>
      </c>
      <c r="G1020" s="95" t="s">
        <v>1068</v>
      </c>
      <c r="H1020" s="95" t="s">
        <v>644</v>
      </c>
      <c r="I1020" s="95" t="s">
        <v>1069</v>
      </c>
    </row>
    <row r="1021" spans="1:9" ht="14.1" customHeight="1" x14ac:dyDescent="0.2">
      <c r="A1021" s="95" t="s">
        <v>2297</v>
      </c>
      <c r="B1021" s="95">
        <v>69</v>
      </c>
      <c r="C1021" s="95" t="s">
        <v>524</v>
      </c>
      <c r="D1021" s="95">
        <v>2012</v>
      </c>
      <c r="E1021" s="95">
        <v>43.635170603674503</v>
      </c>
      <c r="F1021" s="95" t="s">
        <v>645</v>
      </c>
      <c r="G1021" s="95" t="s">
        <v>646</v>
      </c>
      <c r="H1021" s="95" t="s">
        <v>645</v>
      </c>
      <c r="I1021" s="95" t="s">
        <v>1070</v>
      </c>
    </row>
    <row r="1022" spans="1:9" ht="14.1" customHeight="1" x14ac:dyDescent="0.2">
      <c r="A1022" s="95" t="s">
        <v>2298</v>
      </c>
      <c r="B1022" s="95">
        <v>69</v>
      </c>
      <c r="C1022" s="95" t="s">
        <v>526</v>
      </c>
      <c r="D1022" s="95">
        <v>2012</v>
      </c>
      <c r="E1022" s="95">
        <v>52.493438320209997</v>
      </c>
      <c r="F1022" s="95" t="s">
        <v>647</v>
      </c>
      <c r="G1022" s="95" t="s">
        <v>1071</v>
      </c>
      <c r="H1022" s="95" t="s">
        <v>647</v>
      </c>
      <c r="I1022" s="95" t="s">
        <v>1072</v>
      </c>
    </row>
    <row r="1023" spans="1:9" ht="14.1" customHeight="1" x14ac:dyDescent="0.2">
      <c r="A1023" s="95" t="s">
        <v>2299</v>
      </c>
      <c r="B1023" s="95">
        <v>69</v>
      </c>
      <c r="C1023" s="95" t="s">
        <v>528</v>
      </c>
      <c r="D1023" s="95">
        <v>2012</v>
      </c>
      <c r="E1023" s="95">
        <v>44.291338582677199</v>
      </c>
      <c r="F1023" s="95" t="s">
        <v>1073</v>
      </c>
      <c r="G1023" s="95" t="s">
        <v>1074</v>
      </c>
      <c r="H1023" s="95" t="s">
        <v>1073</v>
      </c>
      <c r="I1023" s="95" t="s">
        <v>1075</v>
      </c>
    </row>
    <row r="1024" spans="1:9" ht="14.1" customHeight="1" x14ac:dyDescent="0.2">
      <c r="A1024" s="95" t="s">
        <v>2300</v>
      </c>
      <c r="B1024" s="95">
        <v>69</v>
      </c>
      <c r="C1024" s="95" t="s">
        <v>530</v>
      </c>
      <c r="D1024" s="95">
        <v>2012</v>
      </c>
      <c r="E1024" s="95">
        <v>36.089238845144401</v>
      </c>
      <c r="F1024" s="95" t="s">
        <v>1076</v>
      </c>
      <c r="G1024" s="95" t="s">
        <v>1077</v>
      </c>
      <c r="H1024" s="95" t="s">
        <v>1076</v>
      </c>
      <c r="I1024" s="95" t="s">
        <v>1078</v>
      </c>
    </row>
    <row r="1025" spans="1:9" ht="14.1" customHeight="1" x14ac:dyDescent="0.2">
      <c r="A1025" s="95" t="s">
        <v>2301</v>
      </c>
      <c r="B1025" s="95">
        <v>69</v>
      </c>
      <c r="C1025" s="95" t="s">
        <v>532</v>
      </c>
      <c r="D1025" s="95">
        <v>2012</v>
      </c>
      <c r="E1025" s="95">
        <v>22</v>
      </c>
      <c r="F1025" s="95" t="s">
        <v>1079</v>
      </c>
      <c r="G1025" s="95" t="s">
        <v>1080</v>
      </c>
      <c r="H1025" s="95" t="s">
        <v>1079</v>
      </c>
      <c r="I1025" s="95" t="s">
        <v>1081</v>
      </c>
    </row>
    <row r="1026" spans="1:9" ht="14.1" customHeight="1" x14ac:dyDescent="0.2">
      <c r="A1026" s="95" t="s">
        <v>2302</v>
      </c>
      <c r="B1026" s="95">
        <v>69</v>
      </c>
      <c r="C1026" s="95" t="s">
        <v>534</v>
      </c>
      <c r="D1026" s="95">
        <v>2012</v>
      </c>
      <c r="E1026" s="95">
        <v>32.808398950131199</v>
      </c>
      <c r="F1026" s="95" t="s">
        <v>648</v>
      </c>
      <c r="G1026" s="95" t="s">
        <v>1082</v>
      </c>
      <c r="H1026" s="95" t="s">
        <v>648</v>
      </c>
      <c r="I1026" s="95" t="s">
        <v>1083</v>
      </c>
    </row>
    <row r="1027" spans="1:9" ht="14.1" customHeight="1" x14ac:dyDescent="0.2">
      <c r="A1027" s="95" t="s">
        <v>2303</v>
      </c>
      <c r="B1027" s="95">
        <v>69</v>
      </c>
      <c r="C1027" s="95" t="s">
        <v>536</v>
      </c>
      <c r="D1027" s="95">
        <v>2012</v>
      </c>
      <c r="E1027" s="95">
        <v>42.650918635170598</v>
      </c>
      <c r="F1027" s="95" t="s">
        <v>649</v>
      </c>
      <c r="G1027" s="95" t="s">
        <v>1084</v>
      </c>
      <c r="H1027" s="95" t="s">
        <v>649</v>
      </c>
      <c r="I1027" s="95" t="s">
        <v>1085</v>
      </c>
    </row>
    <row r="1028" spans="1:9" ht="14.1" customHeight="1" x14ac:dyDescent="0.2">
      <c r="A1028" s="95" t="s">
        <v>2304</v>
      </c>
      <c r="B1028" s="95">
        <v>69</v>
      </c>
      <c r="C1028" s="95" t="s">
        <v>538</v>
      </c>
      <c r="D1028" s="95">
        <v>2012</v>
      </c>
      <c r="E1028" s="95">
        <v>52.493438320209997</v>
      </c>
      <c r="F1028" s="95" t="s">
        <v>648</v>
      </c>
      <c r="G1028" s="95" t="s">
        <v>1086</v>
      </c>
      <c r="H1028" s="95" t="s">
        <v>648</v>
      </c>
      <c r="I1028" s="95" t="s">
        <v>1087</v>
      </c>
    </row>
    <row r="1029" spans="1:9" ht="14.1" customHeight="1" x14ac:dyDescent="0.2">
      <c r="A1029" s="95" t="s">
        <v>2305</v>
      </c>
      <c r="B1029" s="95">
        <v>69</v>
      </c>
      <c r="C1029" s="95" t="s">
        <v>542</v>
      </c>
      <c r="D1029" s="95">
        <v>2012</v>
      </c>
      <c r="E1029" s="95">
        <v>30</v>
      </c>
      <c r="F1029" s="95" t="s">
        <v>833</v>
      </c>
      <c r="G1029" s="95" t="s">
        <v>1088</v>
      </c>
      <c r="H1029" s="95" t="s">
        <v>833</v>
      </c>
      <c r="I1029" s="95" t="s">
        <v>1088</v>
      </c>
    </row>
    <row r="1030" spans="1:9" ht="14.1" customHeight="1" x14ac:dyDescent="0.2">
      <c r="A1030" s="95" t="s">
        <v>2306</v>
      </c>
      <c r="B1030" s="95">
        <v>69</v>
      </c>
      <c r="C1030" s="95" t="s">
        <v>544</v>
      </c>
      <c r="D1030" s="95">
        <v>2012</v>
      </c>
      <c r="E1030" s="95">
        <v>39.370078740157503</v>
      </c>
      <c r="F1030" s="95" t="s">
        <v>1089</v>
      </c>
      <c r="G1030" s="95" t="s">
        <v>1090</v>
      </c>
      <c r="H1030" s="95" t="s">
        <v>1089</v>
      </c>
      <c r="I1030" s="95" t="s">
        <v>1091</v>
      </c>
    </row>
    <row r="1031" spans="1:9" ht="14.1" customHeight="1" x14ac:dyDescent="0.2">
      <c r="A1031" s="95" t="s">
        <v>2307</v>
      </c>
      <c r="B1031" s="95">
        <v>69</v>
      </c>
      <c r="C1031" s="95" t="s">
        <v>546</v>
      </c>
      <c r="D1031" s="95">
        <v>2012</v>
      </c>
      <c r="E1031" s="95">
        <v>36.089238845144401</v>
      </c>
      <c r="F1031" s="95" t="s">
        <v>589</v>
      </c>
      <c r="G1031" s="95" t="s">
        <v>1092</v>
      </c>
      <c r="H1031" s="95" t="s">
        <v>589</v>
      </c>
      <c r="I1031" s="95" t="s">
        <v>1093</v>
      </c>
    </row>
    <row r="1032" spans="1:9" ht="14.1" customHeight="1" x14ac:dyDescent="0.2">
      <c r="A1032" s="95" t="s">
        <v>2308</v>
      </c>
      <c r="B1032" s="95">
        <v>69</v>
      </c>
      <c r="C1032" s="95" t="s">
        <v>548</v>
      </c>
      <c r="D1032" s="95">
        <v>2012</v>
      </c>
      <c r="E1032" s="95">
        <v>37.729658792650902</v>
      </c>
      <c r="F1032" s="95" t="s">
        <v>825</v>
      </c>
      <c r="G1032" s="95" t="s">
        <v>1094</v>
      </c>
      <c r="H1032" s="95" t="s">
        <v>825</v>
      </c>
      <c r="I1032" s="95" t="s">
        <v>1094</v>
      </c>
    </row>
    <row r="1033" spans="1:9" ht="14.1" customHeight="1" x14ac:dyDescent="0.2">
      <c r="A1033" s="95" t="s">
        <v>2309</v>
      </c>
      <c r="B1033" s="95">
        <v>69</v>
      </c>
      <c r="C1033" s="95" t="s">
        <v>483</v>
      </c>
      <c r="D1033" s="95">
        <v>2012</v>
      </c>
      <c r="E1033" s="95">
        <v>32.808</v>
      </c>
      <c r="F1033" s="95" t="s">
        <v>1273</v>
      </c>
      <c r="G1033" s="95" t="s">
        <v>1095</v>
      </c>
      <c r="H1033" s="95" t="s">
        <v>1273</v>
      </c>
      <c r="I1033" s="95" t="s">
        <v>1096</v>
      </c>
    </row>
    <row r="1034" spans="1:9" ht="14.1" customHeight="1" x14ac:dyDescent="0.2">
      <c r="A1034" s="95" t="s">
        <v>2310</v>
      </c>
      <c r="B1034" s="95">
        <v>69</v>
      </c>
      <c r="C1034" s="95" t="s">
        <v>488</v>
      </c>
      <c r="D1034" s="95">
        <v>2012</v>
      </c>
      <c r="E1034" s="95">
        <v>44.291338582677199</v>
      </c>
      <c r="F1034" s="95" t="s">
        <v>1273</v>
      </c>
      <c r="G1034" s="95" t="s">
        <v>1097</v>
      </c>
      <c r="H1034" s="95" t="s">
        <v>1273</v>
      </c>
      <c r="I1034" s="95" t="s">
        <v>1098</v>
      </c>
    </row>
    <row r="1035" spans="1:9" ht="14.1" customHeight="1" x14ac:dyDescent="0.2">
      <c r="A1035" s="95" t="s">
        <v>2311</v>
      </c>
      <c r="B1035" s="95">
        <v>69</v>
      </c>
      <c r="C1035" s="95" t="s">
        <v>487</v>
      </c>
      <c r="D1035" s="95">
        <v>2012</v>
      </c>
      <c r="E1035" s="95">
        <v>36</v>
      </c>
      <c r="F1035" s="95" t="s">
        <v>1273</v>
      </c>
      <c r="G1035" s="95" t="s">
        <v>1099</v>
      </c>
      <c r="H1035" s="95" t="s">
        <v>1273</v>
      </c>
      <c r="I1035" s="95" t="s">
        <v>1100</v>
      </c>
    </row>
    <row r="1036" spans="1:9" ht="14.1" customHeight="1" x14ac:dyDescent="0.2">
      <c r="A1036" s="95" t="s">
        <v>2312</v>
      </c>
      <c r="B1036" s="95">
        <v>69</v>
      </c>
      <c r="C1036" s="95" t="s">
        <v>486</v>
      </c>
      <c r="D1036" s="95">
        <v>2012</v>
      </c>
      <c r="E1036" s="95">
        <v>49</v>
      </c>
      <c r="F1036" s="95" t="s">
        <v>1273</v>
      </c>
      <c r="G1036" s="95" t="s">
        <v>1101</v>
      </c>
      <c r="H1036" s="95" t="s">
        <v>1273</v>
      </c>
      <c r="I1036" s="95" t="s">
        <v>1101</v>
      </c>
    </row>
    <row r="1037" spans="1:9" ht="14.1" customHeight="1" x14ac:dyDescent="0.2">
      <c r="A1037" s="95" t="s">
        <v>2313</v>
      </c>
      <c r="B1037" s="95">
        <v>69</v>
      </c>
      <c r="C1037" s="95" t="s">
        <v>482</v>
      </c>
      <c r="D1037" s="95">
        <v>2012</v>
      </c>
      <c r="E1037" s="95">
        <v>36.089238845144401</v>
      </c>
      <c r="F1037" s="95" t="s">
        <v>1273</v>
      </c>
      <c r="G1037" s="95" t="s">
        <v>1102</v>
      </c>
      <c r="H1037" s="95" t="s">
        <v>1273</v>
      </c>
      <c r="I1037" s="95" t="s">
        <v>1102</v>
      </c>
    </row>
    <row r="1038" spans="1:9" ht="14.1" customHeight="1" x14ac:dyDescent="0.2">
      <c r="A1038" s="95" t="s">
        <v>2314</v>
      </c>
      <c r="B1038" s="95">
        <v>69</v>
      </c>
      <c r="C1038" s="95" t="s">
        <v>490</v>
      </c>
      <c r="D1038" s="95">
        <v>2012</v>
      </c>
      <c r="E1038" s="95">
        <v>36.089238845144401</v>
      </c>
      <c r="F1038" s="95" t="s">
        <v>1273</v>
      </c>
      <c r="G1038" s="95" t="s">
        <v>1103</v>
      </c>
      <c r="H1038" s="95" t="s">
        <v>1273</v>
      </c>
      <c r="I1038" s="95" t="s">
        <v>1104</v>
      </c>
    </row>
    <row r="1039" spans="1:9" ht="14.1" customHeight="1" x14ac:dyDescent="0.2">
      <c r="A1039" s="95" t="s">
        <v>2315</v>
      </c>
      <c r="B1039" s="95">
        <v>69</v>
      </c>
      <c r="C1039" s="95" t="s">
        <v>481</v>
      </c>
      <c r="D1039" s="95">
        <v>2012</v>
      </c>
      <c r="E1039" s="95">
        <v>52.493438320209997</v>
      </c>
      <c r="F1039" s="95" t="s">
        <v>1273</v>
      </c>
      <c r="G1039" s="95" t="s">
        <v>1105</v>
      </c>
      <c r="H1039" s="95" t="s">
        <v>1273</v>
      </c>
      <c r="I1039" s="95" t="s">
        <v>1106</v>
      </c>
    </row>
    <row r="1040" spans="1:9" ht="14.1" customHeight="1" x14ac:dyDescent="0.2">
      <c r="A1040" s="95" t="s">
        <v>2316</v>
      </c>
      <c r="B1040" s="95">
        <v>69</v>
      </c>
      <c r="C1040" s="95" t="s">
        <v>484</v>
      </c>
      <c r="D1040" s="95">
        <v>2012</v>
      </c>
      <c r="E1040" s="95">
        <v>32.5</v>
      </c>
      <c r="F1040" s="95" t="s">
        <v>1273</v>
      </c>
      <c r="G1040" s="95" t="s">
        <v>1107</v>
      </c>
      <c r="H1040" s="95" t="s">
        <v>1273</v>
      </c>
      <c r="I1040" s="95" t="s">
        <v>1108</v>
      </c>
    </row>
    <row r="1041" spans="1:9" ht="14.1" customHeight="1" x14ac:dyDescent="0.2">
      <c r="A1041" s="95" t="s">
        <v>2317</v>
      </c>
      <c r="B1041" s="95">
        <v>69</v>
      </c>
      <c r="C1041" s="95" t="s">
        <v>485</v>
      </c>
      <c r="D1041" s="95">
        <v>2012</v>
      </c>
      <c r="E1041" s="95">
        <v>55.5</v>
      </c>
      <c r="F1041" s="95" t="s">
        <v>1273</v>
      </c>
      <c r="G1041" s="95" t="s">
        <v>1109</v>
      </c>
      <c r="H1041" s="95" t="s">
        <v>1273</v>
      </c>
      <c r="I1041" s="95" t="s">
        <v>1110</v>
      </c>
    </row>
    <row r="1042" spans="1:9" ht="14.1" customHeight="1" x14ac:dyDescent="0.2">
      <c r="A1042" s="95" t="s">
        <v>2318</v>
      </c>
      <c r="B1042" s="95">
        <v>69</v>
      </c>
      <c r="C1042" s="95" t="s">
        <v>489</v>
      </c>
      <c r="D1042" s="95">
        <v>2012</v>
      </c>
      <c r="E1042" s="95">
        <v>45</v>
      </c>
      <c r="F1042" s="95" t="s">
        <v>1273</v>
      </c>
      <c r="G1042" s="95" t="s">
        <v>1111</v>
      </c>
      <c r="H1042" s="95" t="s">
        <v>1273</v>
      </c>
      <c r="I1042" s="95" t="s">
        <v>1112</v>
      </c>
    </row>
    <row r="1043" spans="1:9" ht="14.1" customHeight="1" x14ac:dyDescent="0.2">
      <c r="A1043" s="95" t="s">
        <v>2319</v>
      </c>
      <c r="B1043" s="95">
        <v>70</v>
      </c>
      <c r="C1043" s="95" t="s">
        <v>518</v>
      </c>
      <c r="D1043" s="95">
        <v>2012</v>
      </c>
      <c r="E1043" s="95">
        <v>18</v>
      </c>
      <c r="F1043" s="95" t="s">
        <v>1066</v>
      </c>
      <c r="G1043" s="95" t="s">
        <v>1113</v>
      </c>
      <c r="H1043" s="95" t="s">
        <v>1066</v>
      </c>
      <c r="I1043" s="95" t="s">
        <v>1114</v>
      </c>
    </row>
    <row r="1044" spans="1:9" ht="14.1" customHeight="1" x14ac:dyDescent="0.2">
      <c r="A1044" s="95" t="s">
        <v>2320</v>
      </c>
      <c r="B1044" s="95">
        <v>70</v>
      </c>
      <c r="C1044" s="95" t="s">
        <v>520</v>
      </c>
      <c r="D1044" s="95">
        <v>2012</v>
      </c>
      <c r="E1044" s="95">
        <v>1</v>
      </c>
      <c r="F1044" s="95" t="s">
        <v>644</v>
      </c>
      <c r="G1044" s="95" t="s">
        <v>1115</v>
      </c>
      <c r="H1044" s="95" t="s">
        <v>644</v>
      </c>
      <c r="I1044" s="95" t="s">
        <v>1116</v>
      </c>
    </row>
    <row r="1045" spans="1:9" ht="14.1" customHeight="1" x14ac:dyDescent="0.2">
      <c r="A1045" s="95" t="s">
        <v>2321</v>
      </c>
      <c r="B1045" s="95">
        <v>70</v>
      </c>
      <c r="C1045" s="95" t="s">
        <v>524</v>
      </c>
      <c r="D1045" s="95">
        <v>2012</v>
      </c>
      <c r="E1045" s="95">
        <v>28</v>
      </c>
      <c r="F1045" s="95" t="s">
        <v>645</v>
      </c>
      <c r="G1045" s="95" t="s">
        <v>1117</v>
      </c>
      <c r="H1045" s="95" t="s">
        <v>645</v>
      </c>
      <c r="I1045" s="95" t="s">
        <v>1118</v>
      </c>
    </row>
    <row r="1046" spans="1:9" ht="14.1" customHeight="1" x14ac:dyDescent="0.2">
      <c r="A1046" s="95" t="s">
        <v>2322</v>
      </c>
      <c r="B1046" s="95">
        <v>70</v>
      </c>
      <c r="C1046" s="95" t="s">
        <v>526</v>
      </c>
      <c r="D1046" s="95">
        <v>2012</v>
      </c>
      <c r="E1046" s="95">
        <v>10</v>
      </c>
      <c r="F1046" s="95" t="s">
        <v>647</v>
      </c>
      <c r="G1046" s="95" t="s">
        <v>1071</v>
      </c>
      <c r="H1046" s="95" t="s">
        <v>647</v>
      </c>
      <c r="I1046" s="95" t="s">
        <v>1072</v>
      </c>
    </row>
    <row r="1047" spans="1:9" ht="14.1" customHeight="1" x14ac:dyDescent="0.2">
      <c r="A1047" s="95" t="s">
        <v>2323</v>
      </c>
      <c r="B1047" s="95">
        <v>70</v>
      </c>
      <c r="C1047" s="95" t="s">
        <v>528</v>
      </c>
      <c r="D1047" s="95">
        <v>2012</v>
      </c>
      <c r="E1047" s="95">
        <v>11</v>
      </c>
      <c r="F1047" s="95" t="s">
        <v>1073</v>
      </c>
      <c r="G1047" s="95" t="s">
        <v>1119</v>
      </c>
      <c r="H1047" s="95" t="s">
        <v>1073</v>
      </c>
      <c r="I1047" s="95" t="s">
        <v>1120</v>
      </c>
    </row>
    <row r="1048" spans="1:9" ht="14.1" customHeight="1" x14ac:dyDescent="0.2">
      <c r="A1048" s="95" t="s">
        <v>2324</v>
      </c>
      <c r="B1048" s="95">
        <v>70</v>
      </c>
      <c r="C1048" s="95" t="s">
        <v>530</v>
      </c>
      <c r="D1048" s="95">
        <v>2012</v>
      </c>
      <c r="E1048" s="95">
        <v>5</v>
      </c>
      <c r="F1048" s="95" t="s">
        <v>1076</v>
      </c>
      <c r="G1048" s="95" t="s">
        <v>1077</v>
      </c>
      <c r="H1048" s="95" t="s">
        <v>1076</v>
      </c>
      <c r="I1048" s="95" t="s">
        <v>1078</v>
      </c>
    </row>
    <row r="1049" spans="1:9" ht="14.1" customHeight="1" x14ac:dyDescent="0.2">
      <c r="A1049" s="95" t="s">
        <v>2325</v>
      </c>
      <c r="B1049" s="95">
        <v>70</v>
      </c>
      <c r="C1049" s="95" t="s">
        <v>532</v>
      </c>
      <c r="D1049" s="95">
        <v>2012</v>
      </c>
      <c r="E1049" s="95">
        <v>0</v>
      </c>
      <c r="F1049" s="95" t="s">
        <v>1079</v>
      </c>
      <c r="G1049" s="95">
        <v>0</v>
      </c>
      <c r="H1049" s="95" t="s">
        <v>1079</v>
      </c>
      <c r="I1049" s="95">
        <v>0</v>
      </c>
    </row>
    <row r="1050" spans="1:9" ht="14.1" customHeight="1" x14ac:dyDescent="0.2">
      <c r="A1050" s="95" t="s">
        <v>2326</v>
      </c>
      <c r="B1050" s="95">
        <v>70</v>
      </c>
      <c r="C1050" s="95" t="s">
        <v>534</v>
      </c>
      <c r="D1050" s="95">
        <v>2012</v>
      </c>
      <c r="E1050" s="95">
        <v>0</v>
      </c>
      <c r="F1050" s="95" t="s">
        <v>648</v>
      </c>
      <c r="G1050" s="95">
        <v>0</v>
      </c>
      <c r="H1050" s="95" t="s">
        <v>648</v>
      </c>
      <c r="I1050" s="95">
        <v>0</v>
      </c>
    </row>
    <row r="1051" spans="1:9" ht="14.1" customHeight="1" x14ac:dyDescent="0.2">
      <c r="A1051" s="95" t="s">
        <v>2327</v>
      </c>
      <c r="B1051" s="95">
        <v>70</v>
      </c>
      <c r="C1051" s="95" t="s">
        <v>536</v>
      </c>
      <c r="D1051" s="95">
        <v>2012</v>
      </c>
      <c r="E1051" s="95">
        <v>19</v>
      </c>
      <c r="F1051" s="95" t="s">
        <v>649</v>
      </c>
      <c r="G1051" s="95" t="s">
        <v>1084</v>
      </c>
      <c r="H1051" s="95" t="s">
        <v>649</v>
      </c>
      <c r="I1051" s="95" t="s">
        <v>1121</v>
      </c>
    </row>
    <row r="1052" spans="1:9" ht="14.1" customHeight="1" x14ac:dyDescent="0.2">
      <c r="A1052" s="95" t="s">
        <v>2328</v>
      </c>
      <c r="B1052" s="95">
        <v>70</v>
      </c>
      <c r="C1052" s="95" t="s">
        <v>538</v>
      </c>
      <c r="D1052" s="95">
        <v>2012</v>
      </c>
      <c r="E1052" s="95">
        <v>8</v>
      </c>
      <c r="F1052" s="95" t="s">
        <v>648</v>
      </c>
      <c r="G1052" s="95" t="s">
        <v>1086</v>
      </c>
      <c r="H1052" s="95" t="s">
        <v>648</v>
      </c>
      <c r="I1052" s="95" t="s">
        <v>1087</v>
      </c>
    </row>
    <row r="1053" spans="1:9" ht="14.1" customHeight="1" x14ac:dyDescent="0.2">
      <c r="A1053" s="95" t="s">
        <v>2329</v>
      </c>
      <c r="B1053" s="95">
        <v>70</v>
      </c>
      <c r="C1053" s="95" t="s">
        <v>540</v>
      </c>
      <c r="D1053" s="95">
        <v>2012</v>
      </c>
      <c r="E1053" s="95">
        <v>2</v>
      </c>
      <c r="F1053" s="95" t="s">
        <v>1122</v>
      </c>
      <c r="G1053" s="95" t="s">
        <v>1123</v>
      </c>
      <c r="H1053" s="95" t="s">
        <v>1122</v>
      </c>
      <c r="I1053" s="95" t="s">
        <v>1124</v>
      </c>
    </row>
    <row r="1054" spans="1:9" ht="14.1" customHeight="1" x14ac:dyDescent="0.2">
      <c r="A1054" s="95" t="s">
        <v>2330</v>
      </c>
      <c r="B1054" s="95">
        <v>70</v>
      </c>
      <c r="C1054" s="95" t="s">
        <v>542</v>
      </c>
      <c r="D1054" s="95">
        <v>2012</v>
      </c>
      <c r="E1054" s="95">
        <v>0</v>
      </c>
      <c r="F1054" s="95" t="s">
        <v>833</v>
      </c>
      <c r="G1054" s="95">
        <v>0</v>
      </c>
      <c r="H1054" s="95" t="s">
        <v>833</v>
      </c>
      <c r="I1054" s="95">
        <v>0</v>
      </c>
    </row>
    <row r="1055" spans="1:9" ht="14.1" customHeight="1" x14ac:dyDescent="0.2">
      <c r="A1055" s="95" t="s">
        <v>2331</v>
      </c>
      <c r="B1055" s="95">
        <v>70</v>
      </c>
      <c r="C1055" s="95" t="s">
        <v>544</v>
      </c>
      <c r="D1055" s="95">
        <v>2012</v>
      </c>
      <c r="E1055" s="95">
        <v>4</v>
      </c>
      <c r="F1055" s="95" t="s">
        <v>1089</v>
      </c>
      <c r="G1055" s="95" t="s">
        <v>1090</v>
      </c>
      <c r="H1055" s="95" t="s">
        <v>1089</v>
      </c>
      <c r="I1055" s="95" t="s">
        <v>1091</v>
      </c>
    </row>
    <row r="1056" spans="1:9" ht="14.1" customHeight="1" x14ac:dyDescent="0.2">
      <c r="A1056" s="95" t="s">
        <v>2332</v>
      </c>
      <c r="B1056" s="95">
        <v>70</v>
      </c>
      <c r="C1056" s="95" t="s">
        <v>546</v>
      </c>
      <c r="D1056" s="95">
        <v>2012</v>
      </c>
      <c r="E1056" s="95">
        <v>7</v>
      </c>
      <c r="F1056" s="95" t="s">
        <v>589</v>
      </c>
      <c r="G1056" s="95" t="s">
        <v>1092</v>
      </c>
      <c r="H1056" s="95" t="s">
        <v>589</v>
      </c>
      <c r="I1056" s="95" t="s">
        <v>1093</v>
      </c>
    </row>
    <row r="1057" spans="1:9" ht="14.1" customHeight="1" x14ac:dyDescent="0.2">
      <c r="A1057" s="95" t="s">
        <v>2333</v>
      </c>
      <c r="B1057" s="95">
        <v>70</v>
      </c>
      <c r="C1057" s="95" t="s">
        <v>548</v>
      </c>
      <c r="D1057" s="95">
        <v>2012</v>
      </c>
      <c r="E1057" s="95">
        <v>0</v>
      </c>
      <c r="F1057" s="95" t="s">
        <v>825</v>
      </c>
      <c r="G1057" s="95">
        <v>0</v>
      </c>
      <c r="H1057" s="95" t="s">
        <v>825</v>
      </c>
      <c r="I1057" s="95">
        <v>0</v>
      </c>
    </row>
    <row r="1058" spans="1:9" ht="14.1" customHeight="1" x14ac:dyDescent="0.2">
      <c r="A1058" s="95" t="s">
        <v>2334</v>
      </c>
      <c r="B1058" s="95">
        <v>70</v>
      </c>
      <c r="C1058" s="95" t="s">
        <v>483</v>
      </c>
      <c r="D1058" s="95">
        <v>2012</v>
      </c>
      <c r="E1058" s="95">
        <v>0</v>
      </c>
      <c r="F1058" s="95" t="s">
        <v>815</v>
      </c>
      <c r="G1058" s="95">
        <v>0</v>
      </c>
      <c r="H1058" s="95" t="s">
        <v>815</v>
      </c>
      <c r="I1058" s="95">
        <v>0</v>
      </c>
    </row>
    <row r="1059" spans="1:9" ht="14.1" customHeight="1" x14ac:dyDescent="0.2">
      <c r="A1059" s="95" t="s">
        <v>2335</v>
      </c>
      <c r="B1059" s="95">
        <v>70</v>
      </c>
      <c r="C1059" s="95" t="s">
        <v>488</v>
      </c>
      <c r="D1059" s="95">
        <v>2012</v>
      </c>
      <c r="E1059" s="95">
        <v>16</v>
      </c>
      <c r="F1059" s="95" t="s">
        <v>1273</v>
      </c>
      <c r="G1059" s="95" t="s">
        <v>1125</v>
      </c>
      <c r="H1059" s="95" t="s">
        <v>1273</v>
      </c>
      <c r="I1059" s="95" t="s">
        <v>1125</v>
      </c>
    </row>
    <row r="1060" spans="1:9" ht="14.1" customHeight="1" x14ac:dyDescent="0.2">
      <c r="A1060" s="95" t="s">
        <v>2336</v>
      </c>
      <c r="B1060" s="95">
        <v>70</v>
      </c>
      <c r="C1060" s="95" t="s">
        <v>487</v>
      </c>
      <c r="D1060" s="95">
        <v>2012</v>
      </c>
      <c r="E1060" s="95">
        <v>1</v>
      </c>
      <c r="F1060" s="95" t="s">
        <v>1273</v>
      </c>
      <c r="G1060" s="95" t="s">
        <v>1126</v>
      </c>
      <c r="H1060" s="95" t="s">
        <v>1273</v>
      </c>
      <c r="I1060" s="95" t="s">
        <v>1127</v>
      </c>
    </row>
    <row r="1061" spans="1:9" ht="14.1" customHeight="1" x14ac:dyDescent="0.2">
      <c r="A1061" s="95" t="s">
        <v>2337</v>
      </c>
      <c r="B1061" s="95">
        <v>70</v>
      </c>
      <c r="C1061" s="95" t="s">
        <v>486</v>
      </c>
      <c r="D1061" s="95">
        <v>2012</v>
      </c>
      <c r="E1061" s="95">
        <v>0</v>
      </c>
      <c r="F1061" s="95" t="s">
        <v>815</v>
      </c>
      <c r="G1061" s="95" t="s">
        <v>1128</v>
      </c>
      <c r="H1061" s="95" t="s">
        <v>815</v>
      </c>
      <c r="I1061" s="95" t="s">
        <v>1101</v>
      </c>
    </row>
    <row r="1062" spans="1:9" ht="14.1" customHeight="1" x14ac:dyDescent="0.2">
      <c r="A1062" s="95" t="s">
        <v>2338</v>
      </c>
      <c r="B1062" s="95">
        <v>70</v>
      </c>
      <c r="C1062" s="95" t="s">
        <v>482</v>
      </c>
      <c r="D1062" s="95">
        <v>2012</v>
      </c>
      <c r="E1062" s="95">
        <v>1</v>
      </c>
      <c r="F1062" s="95" t="s">
        <v>1273</v>
      </c>
      <c r="G1062" s="95" t="s">
        <v>1129</v>
      </c>
      <c r="H1062" s="95" t="s">
        <v>1273</v>
      </c>
      <c r="I1062" s="95" t="s">
        <v>1130</v>
      </c>
    </row>
    <row r="1063" spans="1:9" ht="14.1" customHeight="1" x14ac:dyDescent="0.2">
      <c r="A1063" s="95" t="s">
        <v>2339</v>
      </c>
      <c r="B1063" s="95">
        <v>70</v>
      </c>
      <c r="C1063" s="95" t="s">
        <v>490</v>
      </c>
      <c r="D1063" s="95">
        <v>2012</v>
      </c>
      <c r="E1063" s="95">
        <v>2</v>
      </c>
      <c r="F1063" s="95" t="s">
        <v>1273</v>
      </c>
      <c r="G1063" s="95" t="s">
        <v>1103</v>
      </c>
      <c r="H1063" s="95" t="s">
        <v>1273</v>
      </c>
      <c r="I1063" s="95" t="s">
        <v>1104</v>
      </c>
    </row>
    <row r="1064" spans="1:9" ht="14.1" customHeight="1" x14ac:dyDescent="0.2">
      <c r="A1064" s="95" t="s">
        <v>2340</v>
      </c>
      <c r="B1064" s="95">
        <v>70</v>
      </c>
      <c r="C1064" s="95" t="s">
        <v>481</v>
      </c>
      <c r="D1064" s="95">
        <v>2012</v>
      </c>
      <c r="E1064" s="95">
        <v>32</v>
      </c>
      <c r="F1064" s="95" t="s">
        <v>1273</v>
      </c>
      <c r="G1064" s="95" t="s">
        <v>1131</v>
      </c>
      <c r="H1064" s="95" t="s">
        <v>1273</v>
      </c>
      <c r="I1064" s="95" t="s">
        <v>1131</v>
      </c>
    </row>
    <row r="1065" spans="1:9" ht="14.1" customHeight="1" x14ac:dyDescent="0.2">
      <c r="A1065" s="95" t="s">
        <v>2341</v>
      </c>
      <c r="B1065" s="95">
        <v>70</v>
      </c>
      <c r="C1065" s="95" t="s">
        <v>484</v>
      </c>
      <c r="D1065" s="95">
        <v>2012</v>
      </c>
      <c r="E1065" s="95">
        <v>1</v>
      </c>
      <c r="F1065" s="95" t="s">
        <v>1273</v>
      </c>
      <c r="G1065" s="95" t="s">
        <v>1132</v>
      </c>
      <c r="H1065" s="95" t="s">
        <v>1273</v>
      </c>
      <c r="I1065" s="95" t="s">
        <v>1132</v>
      </c>
    </row>
    <row r="1066" spans="1:9" ht="14.1" customHeight="1" x14ac:dyDescent="0.2">
      <c r="A1066" s="95" t="s">
        <v>2342</v>
      </c>
      <c r="B1066" s="95">
        <v>70</v>
      </c>
      <c r="C1066" s="95" t="s">
        <v>485</v>
      </c>
      <c r="D1066" s="95">
        <v>2012</v>
      </c>
      <c r="E1066" s="95">
        <v>63</v>
      </c>
      <c r="F1066" s="95" t="s">
        <v>1273</v>
      </c>
      <c r="G1066" s="95" t="s">
        <v>1133</v>
      </c>
      <c r="H1066" s="95" t="s">
        <v>1273</v>
      </c>
      <c r="I1066" s="95" t="s">
        <v>1133</v>
      </c>
    </row>
    <row r="1067" spans="1:9" ht="14.1" customHeight="1" x14ac:dyDescent="0.2">
      <c r="A1067" s="95" t="s">
        <v>2343</v>
      </c>
      <c r="B1067" s="95">
        <v>70</v>
      </c>
      <c r="C1067" s="95" t="s">
        <v>489</v>
      </c>
      <c r="D1067" s="95">
        <v>2012</v>
      </c>
      <c r="E1067" s="95">
        <v>11</v>
      </c>
      <c r="F1067" s="95" t="s">
        <v>1273</v>
      </c>
      <c r="G1067" s="95" t="s">
        <v>1134</v>
      </c>
      <c r="H1067" s="95" t="s">
        <v>1273</v>
      </c>
      <c r="I1067" s="95" t="s">
        <v>1134</v>
      </c>
    </row>
    <row r="1068" spans="1:9" ht="14.1" customHeight="1" x14ac:dyDescent="0.2">
      <c r="A1068" s="95" t="s">
        <v>2344</v>
      </c>
      <c r="B1068" s="95">
        <v>71</v>
      </c>
      <c r="C1068" s="95" t="s">
        <v>518</v>
      </c>
      <c r="D1068" s="95">
        <v>2012</v>
      </c>
      <c r="E1068" s="95">
        <v>26446.51</v>
      </c>
      <c r="F1068" s="95" t="s">
        <v>1066</v>
      </c>
      <c r="G1068" s="95" t="s">
        <v>1135</v>
      </c>
      <c r="H1068" s="95" t="s">
        <v>1066</v>
      </c>
      <c r="I1068" s="95" t="s">
        <v>1135</v>
      </c>
    </row>
    <row r="1069" spans="1:9" ht="14.1" customHeight="1" x14ac:dyDescent="0.2">
      <c r="A1069" s="95" t="s">
        <v>2345</v>
      </c>
      <c r="B1069" s="95">
        <v>71</v>
      </c>
      <c r="C1069" s="95" t="s">
        <v>520</v>
      </c>
      <c r="D1069" s="95">
        <v>2012</v>
      </c>
      <c r="E1069" s="95">
        <v>550</v>
      </c>
      <c r="F1069" s="95" t="s">
        <v>644</v>
      </c>
      <c r="G1069" s="95" t="s">
        <v>1136</v>
      </c>
      <c r="H1069" s="95" t="s">
        <v>644</v>
      </c>
      <c r="I1069" s="95" t="s">
        <v>1116</v>
      </c>
    </row>
    <row r="1070" spans="1:9" ht="14.1" customHeight="1" x14ac:dyDescent="0.2">
      <c r="A1070" s="95" t="s">
        <v>2346</v>
      </c>
      <c r="B1070" s="95">
        <v>71</v>
      </c>
      <c r="C1070" s="95" t="s">
        <v>524</v>
      </c>
      <c r="D1070" s="95">
        <v>2012</v>
      </c>
      <c r="E1070" s="95">
        <v>60417</v>
      </c>
      <c r="F1070" s="95" t="s">
        <v>645</v>
      </c>
      <c r="G1070" s="95" t="s">
        <v>1137</v>
      </c>
      <c r="H1070" s="95" t="s">
        <v>645</v>
      </c>
      <c r="I1070" s="95" t="s">
        <v>1138</v>
      </c>
    </row>
    <row r="1071" spans="1:9" ht="14.1" customHeight="1" x14ac:dyDescent="0.2">
      <c r="A1071" s="95" t="s">
        <v>2347</v>
      </c>
      <c r="B1071" s="95">
        <v>71</v>
      </c>
      <c r="C1071" s="95" t="s">
        <v>526</v>
      </c>
      <c r="D1071" s="95">
        <v>2012</v>
      </c>
      <c r="E1071" s="95">
        <v>1036</v>
      </c>
      <c r="F1071" s="95" t="s">
        <v>647</v>
      </c>
      <c r="G1071" s="95" t="s">
        <v>1139</v>
      </c>
      <c r="H1071" s="95" t="s">
        <v>647</v>
      </c>
      <c r="I1071" s="95" t="s">
        <v>1139</v>
      </c>
    </row>
    <row r="1072" spans="1:9" ht="14.1" customHeight="1" x14ac:dyDescent="0.2">
      <c r="A1072" s="95" t="s">
        <v>2348</v>
      </c>
      <c r="B1072" s="95">
        <v>71</v>
      </c>
      <c r="C1072" s="95" t="s">
        <v>528</v>
      </c>
      <c r="D1072" s="95">
        <v>2012</v>
      </c>
      <c r="E1072" s="95">
        <v>27346.23</v>
      </c>
      <c r="F1072" s="95" t="s">
        <v>1073</v>
      </c>
      <c r="G1072" s="95" t="s">
        <v>1140</v>
      </c>
      <c r="H1072" s="95" t="s">
        <v>1073</v>
      </c>
      <c r="I1072" s="95" t="s">
        <v>1140</v>
      </c>
    </row>
    <row r="1073" spans="1:9" ht="14.1" customHeight="1" x14ac:dyDescent="0.2">
      <c r="A1073" s="95" t="s">
        <v>2349</v>
      </c>
      <c r="B1073" s="95">
        <v>71</v>
      </c>
      <c r="C1073" s="95" t="s">
        <v>530</v>
      </c>
      <c r="D1073" s="95">
        <v>2012</v>
      </c>
      <c r="E1073" s="95">
        <v>2880</v>
      </c>
      <c r="F1073" s="95" t="s">
        <v>1076</v>
      </c>
      <c r="G1073" s="95" t="s">
        <v>1141</v>
      </c>
      <c r="H1073" s="95" t="s">
        <v>1076</v>
      </c>
      <c r="I1073" s="95" t="s">
        <v>1141</v>
      </c>
    </row>
    <row r="1074" spans="1:9" ht="14.1" customHeight="1" x14ac:dyDescent="0.2">
      <c r="A1074" s="95" t="s">
        <v>2350</v>
      </c>
      <c r="B1074" s="95">
        <v>71</v>
      </c>
      <c r="C1074" s="95" t="s">
        <v>534</v>
      </c>
      <c r="D1074" s="95">
        <v>2012</v>
      </c>
      <c r="E1074" s="95">
        <v>900</v>
      </c>
      <c r="F1074" s="95" t="s">
        <v>648</v>
      </c>
      <c r="G1074" s="95">
        <v>0</v>
      </c>
      <c r="H1074" s="95" t="s">
        <v>648</v>
      </c>
      <c r="I1074" s="95">
        <v>0</v>
      </c>
    </row>
    <row r="1075" spans="1:9" ht="14.1" customHeight="1" x14ac:dyDescent="0.2">
      <c r="A1075" s="95" t="s">
        <v>2351</v>
      </c>
      <c r="B1075" s="95">
        <v>71</v>
      </c>
      <c r="C1075" s="95" t="s">
        <v>536</v>
      </c>
      <c r="D1075" s="95">
        <v>2012</v>
      </c>
      <c r="E1075" s="95">
        <v>3728</v>
      </c>
      <c r="F1075" s="95" t="s">
        <v>649</v>
      </c>
      <c r="G1075" s="95" t="s">
        <v>1084</v>
      </c>
      <c r="H1075" s="95" t="s">
        <v>649</v>
      </c>
      <c r="I1075" s="95" t="s">
        <v>1121</v>
      </c>
    </row>
    <row r="1076" spans="1:9" ht="14.1" customHeight="1" x14ac:dyDescent="0.2">
      <c r="A1076" s="95" t="s">
        <v>2352</v>
      </c>
      <c r="B1076" s="95">
        <v>71</v>
      </c>
      <c r="C1076" s="95" t="s">
        <v>538</v>
      </c>
      <c r="D1076" s="95">
        <v>2012</v>
      </c>
      <c r="E1076" s="95">
        <v>1040</v>
      </c>
      <c r="F1076" s="95" t="s">
        <v>648</v>
      </c>
      <c r="G1076" s="95">
        <v>0</v>
      </c>
      <c r="H1076" s="95" t="s">
        <v>648</v>
      </c>
      <c r="I1076" s="95">
        <v>0</v>
      </c>
    </row>
    <row r="1077" spans="1:9" ht="14.1" customHeight="1" x14ac:dyDescent="0.2">
      <c r="A1077" s="95" t="s">
        <v>2353</v>
      </c>
      <c r="B1077" s="95">
        <v>71</v>
      </c>
      <c r="C1077" s="95" t="s">
        <v>540</v>
      </c>
      <c r="D1077" s="95">
        <v>2012</v>
      </c>
      <c r="E1077" s="95">
        <v>5940</v>
      </c>
      <c r="F1077" s="95" t="s">
        <v>894</v>
      </c>
      <c r="G1077" s="95" t="s">
        <v>1142</v>
      </c>
      <c r="H1077" s="95" t="s">
        <v>894</v>
      </c>
      <c r="I1077" s="95" t="s">
        <v>1142</v>
      </c>
    </row>
    <row r="1078" spans="1:9" ht="14.1" customHeight="1" x14ac:dyDescent="0.2">
      <c r="A1078" s="95" t="s">
        <v>2354</v>
      </c>
      <c r="B1078" s="95">
        <v>71</v>
      </c>
      <c r="C1078" s="95" t="s">
        <v>542</v>
      </c>
      <c r="D1078" s="95">
        <v>2012</v>
      </c>
      <c r="E1078" s="95">
        <v>1849</v>
      </c>
      <c r="F1078" s="95" t="s">
        <v>833</v>
      </c>
      <c r="G1078" s="95" t="s">
        <v>1143</v>
      </c>
      <c r="H1078" s="95" t="s">
        <v>833</v>
      </c>
      <c r="I1078" s="95" t="s">
        <v>1143</v>
      </c>
    </row>
    <row r="1079" spans="1:9" ht="14.1" customHeight="1" x14ac:dyDescent="0.2">
      <c r="A1079" s="95" t="s">
        <v>2355</v>
      </c>
      <c r="B1079" s="95">
        <v>71</v>
      </c>
      <c r="C1079" s="95" t="s">
        <v>544</v>
      </c>
      <c r="D1079" s="95">
        <v>2012</v>
      </c>
      <c r="E1079" s="95">
        <v>1060</v>
      </c>
      <c r="F1079" s="95" t="s">
        <v>1089</v>
      </c>
      <c r="G1079" s="95" t="s">
        <v>1144</v>
      </c>
      <c r="H1079" s="95" t="s">
        <v>1089</v>
      </c>
      <c r="I1079" s="95" t="s">
        <v>1144</v>
      </c>
    </row>
    <row r="1080" spans="1:9" ht="14.1" customHeight="1" x14ac:dyDescent="0.2">
      <c r="A1080" s="95" t="s">
        <v>2356</v>
      </c>
      <c r="B1080" s="95">
        <v>71</v>
      </c>
      <c r="C1080" s="95" t="s">
        <v>546</v>
      </c>
      <c r="D1080" s="95">
        <v>2012</v>
      </c>
      <c r="E1080" s="95">
        <v>7340</v>
      </c>
      <c r="F1080" s="95" t="s">
        <v>589</v>
      </c>
      <c r="G1080" s="95" t="s">
        <v>1145</v>
      </c>
      <c r="H1080" s="95" t="s">
        <v>589</v>
      </c>
      <c r="I1080" s="95" t="s">
        <v>1145</v>
      </c>
    </row>
    <row r="1081" spans="1:9" ht="14.1" customHeight="1" x14ac:dyDescent="0.2">
      <c r="A1081" s="95" t="s">
        <v>2357</v>
      </c>
      <c r="B1081" s="95">
        <v>71</v>
      </c>
      <c r="C1081" s="95" t="s">
        <v>548</v>
      </c>
      <c r="D1081" s="95">
        <v>2012</v>
      </c>
      <c r="E1081" s="95">
        <v>600</v>
      </c>
      <c r="F1081" s="95" t="s">
        <v>1146</v>
      </c>
      <c r="G1081" s="95">
        <v>0</v>
      </c>
      <c r="H1081" s="95" t="s">
        <v>1146</v>
      </c>
      <c r="I1081" s="95">
        <v>0</v>
      </c>
    </row>
    <row r="1082" spans="1:9" ht="14.1" customHeight="1" x14ac:dyDescent="0.2">
      <c r="A1082" s="95" t="s">
        <v>2358</v>
      </c>
      <c r="B1082" s="95">
        <v>71</v>
      </c>
      <c r="C1082" s="95" t="s">
        <v>483</v>
      </c>
      <c r="D1082" s="95">
        <v>2012</v>
      </c>
      <c r="E1082" s="95">
        <v>2330</v>
      </c>
      <c r="F1082" s="95" t="s">
        <v>1273</v>
      </c>
      <c r="G1082" s="95">
        <v>0</v>
      </c>
      <c r="H1082" s="95" t="s">
        <v>1273</v>
      </c>
      <c r="I1082" s="95">
        <v>0</v>
      </c>
    </row>
    <row r="1083" spans="1:9" ht="14.1" customHeight="1" x14ac:dyDescent="0.2">
      <c r="A1083" s="95" t="s">
        <v>2359</v>
      </c>
      <c r="B1083" s="95">
        <v>71</v>
      </c>
      <c r="C1083" s="95" t="s">
        <v>488</v>
      </c>
      <c r="D1083" s="95">
        <v>2012</v>
      </c>
      <c r="E1083" s="95">
        <v>12496</v>
      </c>
      <c r="F1083" s="95" t="s">
        <v>1273</v>
      </c>
      <c r="G1083" s="95">
        <v>0</v>
      </c>
      <c r="H1083" s="95" t="s">
        <v>1273</v>
      </c>
      <c r="I1083" s="95">
        <v>0</v>
      </c>
    </row>
    <row r="1084" spans="1:9" ht="14.1" customHeight="1" x14ac:dyDescent="0.2">
      <c r="A1084" s="95" t="s">
        <v>2360</v>
      </c>
      <c r="B1084" s="95">
        <v>71</v>
      </c>
      <c r="C1084" s="95" t="s">
        <v>487</v>
      </c>
      <c r="D1084" s="95">
        <v>2012</v>
      </c>
      <c r="E1084" s="95">
        <v>3103</v>
      </c>
      <c r="F1084" s="95" t="s">
        <v>1273</v>
      </c>
      <c r="G1084" s="95">
        <v>0</v>
      </c>
      <c r="H1084" s="95" t="s">
        <v>1273</v>
      </c>
      <c r="I1084" s="95">
        <v>0</v>
      </c>
    </row>
    <row r="1085" spans="1:9" ht="14.1" customHeight="1" x14ac:dyDescent="0.2">
      <c r="A1085" s="95" t="s">
        <v>2361</v>
      </c>
      <c r="B1085" s="95">
        <v>71</v>
      </c>
      <c r="C1085" s="95" t="s">
        <v>486</v>
      </c>
      <c r="D1085" s="95">
        <v>2012</v>
      </c>
      <c r="E1085" s="95">
        <v>3438</v>
      </c>
      <c r="F1085" s="95" t="s">
        <v>1273</v>
      </c>
      <c r="G1085" s="95" t="s">
        <v>1143</v>
      </c>
      <c r="H1085" s="95" t="s">
        <v>1273</v>
      </c>
      <c r="I1085" s="95" t="s">
        <v>1143</v>
      </c>
    </row>
    <row r="1086" spans="1:9" ht="14.1" customHeight="1" x14ac:dyDescent="0.2">
      <c r="A1086" s="95" t="s">
        <v>2362</v>
      </c>
      <c r="B1086" s="95">
        <v>71</v>
      </c>
      <c r="C1086" s="95" t="s">
        <v>482</v>
      </c>
      <c r="D1086" s="95">
        <v>2012</v>
      </c>
      <c r="E1086" s="95">
        <v>1315</v>
      </c>
      <c r="F1086" s="95" t="s">
        <v>1273</v>
      </c>
      <c r="G1086" s="95">
        <v>0</v>
      </c>
      <c r="H1086" s="95" t="s">
        <v>1273</v>
      </c>
      <c r="I1086" s="95">
        <v>0</v>
      </c>
    </row>
    <row r="1087" spans="1:9" ht="14.1" customHeight="1" x14ac:dyDescent="0.2">
      <c r="A1087" s="95" t="s">
        <v>2363</v>
      </c>
      <c r="B1087" s="95">
        <v>71</v>
      </c>
      <c r="C1087" s="95" t="s">
        <v>490</v>
      </c>
      <c r="D1087" s="95">
        <v>2012</v>
      </c>
      <c r="E1087" s="95">
        <v>2002</v>
      </c>
      <c r="F1087" s="95" t="s">
        <v>1273</v>
      </c>
      <c r="G1087" s="95">
        <v>0</v>
      </c>
      <c r="H1087" s="95" t="s">
        <v>1273</v>
      </c>
      <c r="I1087" s="95">
        <v>0</v>
      </c>
    </row>
    <row r="1088" spans="1:9" ht="14.1" customHeight="1" x14ac:dyDescent="0.2">
      <c r="A1088" s="95" t="s">
        <v>2364</v>
      </c>
      <c r="B1088" s="95">
        <v>71</v>
      </c>
      <c r="C1088" s="95" t="s">
        <v>481</v>
      </c>
      <c r="D1088" s="95">
        <v>2012</v>
      </c>
      <c r="E1088" s="95">
        <v>4851</v>
      </c>
      <c r="F1088" s="95" t="s">
        <v>1273</v>
      </c>
      <c r="G1088" s="95">
        <v>0</v>
      </c>
      <c r="H1088" s="95" t="s">
        <v>1273</v>
      </c>
      <c r="I1088" s="95">
        <v>0</v>
      </c>
    </row>
    <row r="1089" spans="1:9" ht="14.1" customHeight="1" x14ac:dyDescent="0.2">
      <c r="A1089" s="95" t="s">
        <v>2365</v>
      </c>
      <c r="B1089" s="95">
        <v>71</v>
      </c>
      <c r="C1089" s="95" t="s">
        <v>484</v>
      </c>
      <c r="D1089" s="95">
        <v>2012</v>
      </c>
      <c r="E1089" s="95">
        <v>510</v>
      </c>
      <c r="F1089" s="95" t="s">
        <v>1273</v>
      </c>
      <c r="G1089" s="95">
        <v>0</v>
      </c>
      <c r="H1089" s="95" t="s">
        <v>1273</v>
      </c>
      <c r="I1089" s="95">
        <v>0</v>
      </c>
    </row>
    <row r="1090" spans="1:9" ht="14.1" customHeight="1" x14ac:dyDescent="0.2">
      <c r="A1090" s="95" t="s">
        <v>2366</v>
      </c>
      <c r="B1090" s="95">
        <v>71</v>
      </c>
      <c r="C1090" s="95" t="s">
        <v>485</v>
      </c>
      <c r="D1090" s="95">
        <v>2012</v>
      </c>
      <c r="E1090" s="95">
        <v>7827.19</v>
      </c>
      <c r="F1090" s="95" t="s">
        <v>1273</v>
      </c>
      <c r="G1090" s="95">
        <v>0</v>
      </c>
      <c r="H1090" s="95" t="s">
        <v>1273</v>
      </c>
      <c r="I1090" s="95">
        <v>0</v>
      </c>
    </row>
    <row r="1091" spans="1:9" ht="14.1" customHeight="1" x14ac:dyDescent="0.2">
      <c r="A1091" s="95" t="s">
        <v>2367</v>
      </c>
      <c r="B1091" s="95">
        <v>71</v>
      </c>
      <c r="C1091" s="95" t="s">
        <v>489</v>
      </c>
      <c r="D1091" s="95">
        <v>2012</v>
      </c>
      <c r="E1091" s="95">
        <v>4022</v>
      </c>
      <c r="F1091" s="95" t="s">
        <v>1273</v>
      </c>
      <c r="G1091" s="95">
        <v>0</v>
      </c>
      <c r="H1091" s="95" t="s">
        <v>1273</v>
      </c>
      <c r="I1091" s="95">
        <v>0</v>
      </c>
    </row>
    <row r="1092" spans="1:9" ht="14.1" customHeight="1" x14ac:dyDescent="0.2">
      <c r="A1092" s="95" t="s">
        <v>2368</v>
      </c>
      <c r="B1092" s="95">
        <v>72</v>
      </c>
      <c r="C1092" s="95" t="s">
        <v>518</v>
      </c>
      <c r="D1092" s="95">
        <v>2012</v>
      </c>
      <c r="E1092" s="95">
        <v>354920</v>
      </c>
      <c r="F1092" s="95" t="s">
        <v>1066</v>
      </c>
      <c r="G1092" s="95" t="s">
        <v>1135</v>
      </c>
      <c r="H1092" s="95" t="s">
        <v>1066</v>
      </c>
      <c r="I1092" s="95" t="s">
        <v>1135</v>
      </c>
    </row>
    <row r="1093" spans="1:9" ht="14.1" customHeight="1" x14ac:dyDescent="0.2">
      <c r="A1093" s="95" t="s">
        <v>2369</v>
      </c>
      <c r="B1093" s="95">
        <v>72</v>
      </c>
      <c r="C1093" s="95" t="s">
        <v>520</v>
      </c>
      <c r="D1093" s="95">
        <v>2012</v>
      </c>
      <c r="E1093" s="95">
        <v>47348</v>
      </c>
      <c r="F1093" s="95" t="s">
        <v>644</v>
      </c>
      <c r="G1093" s="95" t="s">
        <v>1136</v>
      </c>
      <c r="H1093" s="95" t="s">
        <v>644</v>
      </c>
      <c r="I1093" s="95" t="s">
        <v>1116</v>
      </c>
    </row>
    <row r="1094" spans="1:9" ht="14.1" customHeight="1" x14ac:dyDescent="0.2">
      <c r="A1094" s="95" t="s">
        <v>2370</v>
      </c>
      <c r="B1094" s="95">
        <v>72</v>
      </c>
      <c r="C1094" s="95" t="s">
        <v>524</v>
      </c>
      <c r="D1094" s="95">
        <v>2012</v>
      </c>
      <c r="E1094" s="95">
        <v>1900674</v>
      </c>
      <c r="F1094" s="95" t="s">
        <v>645</v>
      </c>
      <c r="G1094" s="95">
        <v>0</v>
      </c>
      <c r="H1094" s="95" t="s">
        <v>645</v>
      </c>
      <c r="I1094" s="95">
        <v>0</v>
      </c>
    </row>
    <row r="1095" spans="1:9" ht="14.1" customHeight="1" x14ac:dyDescent="0.2">
      <c r="A1095" s="95" t="s">
        <v>2371</v>
      </c>
      <c r="B1095" s="95">
        <v>72</v>
      </c>
      <c r="C1095" s="95" t="s">
        <v>526</v>
      </c>
      <c r="D1095" s="95">
        <v>2012</v>
      </c>
      <c r="E1095" s="95">
        <v>57000</v>
      </c>
      <c r="F1095" s="95" t="s">
        <v>647</v>
      </c>
      <c r="G1095" s="95" t="s">
        <v>1147</v>
      </c>
      <c r="H1095" s="95" t="s">
        <v>647</v>
      </c>
      <c r="I1095" s="95" t="s">
        <v>1147</v>
      </c>
    </row>
    <row r="1096" spans="1:9" ht="14.1" customHeight="1" x14ac:dyDescent="0.2">
      <c r="A1096" s="95" t="s">
        <v>2372</v>
      </c>
      <c r="B1096" s="95">
        <v>72</v>
      </c>
      <c r="C1096" s="95" t="s">
        <v>528</v>
      </c>
      <c r="D1096" s="95">
        <v>2012</v>
      </c>
      <c r="E1096" s="95">
        <v>2446868</v>
      </c>
      <c r="F1096" s="95" t="s">
        <v>1073</v>
      </c>
      <c r="G1096" s="95" t="s">
        <v>1140</v>
      </c>
      <c r="H1096" s="95" t="s">
        <v>1073</v>
      </c>
      <c r="I1096" s="95" t="s">
        <v>1140</v>
      </c>
    </row>
    <row r="1097" spans="1:9" ht="14.1" customHeight="1" x14ac:dyDescent="0.2">
      <c r="A1097" s="95" t="s">
        <v>2373</v>
      </c>
      <c r="B1097" s="95">
        <v>72</v>
      </c>
      <c r="C1097" s="95" t="s">
        <v>530</v>
      </c>
      <c r="D1097" s="95">
        <v>2012</v>
      </c>
      <c r="E1097" s="95">
        <v>2903493</v>
      </c>
      <c r="F1097" s="95" t="s">
        <v>1076</v>
      </c>
      <c r="G1097" s="95" t="s">
        <v>1141</v>
      </c>
      <c r="H1097" s="95" t="s">
        <v>1076</v>
      </c>
      <c r="I1097" s="95" t="s">
        <v>1141</v>
      </c>
    </row>
    <row r="1098" spans="1:9" ht="14.1" customHeight="1" x14ac:dyDescent="0.2">
      <c r="A1098" s="95" t="s">
        <v>2374</v>
      </c>
      <c r="B1098" s="95">
        <v>72</v>
      </c>
      <c r="C1098" s="95" t="s">
        <v>532</v>
      </c>
      <c r="D1098" s="95">
        <v>2012</v>
      </c>
      <c r="E1098" s="95">
        <v>62087</v>
      </c>
      <c r="F1098" s="95" t="s">
        <v>1079</v>
      </c>
      <c r="G1098" s="95" t="s">
        <v>1148</v>
      </c>
      <c r="H1098" s="95" t="s">
        <v>1079</v>
      </c>
      <c r="I1098" s="95" t="s">
        <v>1148</v>
      </c>
    </row>
    <row r="1099" spans="1:9" ht="14.1" customHeight="1" x14ac:dyDescent="0.2">
      <c r="A1099" s="95" t="s">
        <v>2375</v>
      </c>
      <c r="B1099" s="95">
        <v>72</v>
      </c>
      <c r="C1099" s="95" t="s">
        <v>536</v>
      </c>
      <c r="D1099" s="95">
        <v>2012</v>
      </c>
      <c r="E1099" s="95">
        <v>1413000</v>
      </c>
      <c r="F1099" s="95" t="s">
        <v>649</v>
      </c>
      <c r="G1099" s="95" t="s">
        <v>1084</v>
      </c>
      <c r="H1099" s="95" t="s">
        <v>649</v>
      </c>
      <c r="I1099" s="95" t="s">
        <v>1121</v>
      </c>
    </row>
    <row r="1100" spans="1:9" ht="14.1" customHeight="1" x14ac:dyDescent="0.2">
      <c r="A1100" s="95" t="s">
        <v>2376</v>
      </c>
      <c r="B1100" s="95">
        <v>72</v>
      </c>
      <c r="C1100" s="95" t="s">
        <v>538</v>
      </c>
      <c r="D1100" s="95">
        <v>2012</v>
      </c>
      <c r="E1100" s="95">
        <v>560000</v>
      </c>
      <c r="F1100" s="95" t="s">
        <v>648</v>
      </c>
      <c r="G1100" s="95">
        <v>0</v>
      </c>
      <c r="H1100" s="95" t="s">
        <v>648</v>
      </c>
      <c r="I1100" s="95">
        <v>0</v>
      </c>
    </row>
    <row r="1101" spans="1:9" ht="14.1" customHeight="1" x14ac:dyDescent="0.2">
      <c r="A1101" s="95" t="s">
        <v>2377</v>
      </c>
      <c r="B1101" s="95">
        <v>72</v>
      </c>
      <c r="C1101" s="95" t="s">
        <v>540</v>
      </c>
      <c r="D1101" s="95">
        <v>2012</v>
      </c>
      <c r="E1101" s="95">
        <v>224000</v>
      </c>
      <c r="F1101" s="95" t="s">
        <v>894</v>
      </c>
      <c r="G1101" s="95">
        <v>0</v>
      </c>
      <c r="H1101" s="95" t="s">
        <v>894</v>
      </c>
      <c r="I1101" s="95">
        <v>0</v>
      </c>
    </row>
    <row r="1102" spans="1:9" ht="14.1" customHeight="1" x14ac:dyDescent="0.2">
      <c r="A1102" s="95" t="s">
        <v>2378</v>
      </c>
      <c r="B1102" s="95">
        <v>72</v>
      </c>
      <c r="C1102" s="95" t="s">
        <v>542</v>
      </c>
      <c r="D1102" s="95">
        <v>2012</v>
      </c>
      <c r="E1102" s="95">
        <v>60000</v>
      </c>
      <c r="F1102" s="95" t="s">
        <v>833</v>
      </c>
      <c r="G1102" s="95" t="s">
        <v>1143</v>
      </c>
      <c r="H1102" s="95" t="s">
        <v>833</v>
      </c>
      <c r="I1102" s="95" t="s">
        <v>1143</v>
      </c>
    </row>
    <row r="1103" spans="1:9" ht="14.1" customHeight="1" x14ac:dyDescent="0.2">
      <c r="A1103" s="95" t="s">
        <v>2379</v>
      </c>
      <c r="B1103" s="95">
        <v>72</v>
      </c>
      <c r="C1103" s="95" t="s">
        <v>544</v>
      </c>
      <c r="D1103" s="95">
        <v>2012</v>
      </c>
      <c r="E1103" s="95">
        <v>220000</v>
      </c>
      <c r="F1103" s="95" t="s">
        <v>1149</v>
      </c>
      <c r="G1103" s="95" t="s">
        <v>1144</v>
      </c>
      <c r="H1103" s="95" t="s">
        <v>1149</v>
      </c>
      <c r="I1103" s="95" t="s">
        <v>1150</v>
      </c>
    </row>
    <row r="1104" spans="1:9" ht="14.1" customHeight="1" x14ac:dyDescent="0.2">
      <c r="A1104" s="95" t="s">
        <v>2380</v>
      </c>
      <c r="B1104" s="95">
        <v>72</v>
      </c>
      <c r="C1104" s="95" t="s">
        <v>546</v>
      </c>
      <c r="D1104" s="95">
        <v>2012</v>
      </c>
      <c r="E1104" s="95">
        <v>629277.76</v>
      </c>
      <c r="F1104" s="95" t="s">
        <v>589</v>
      </c>
      <c r="G1104" s="95" t="s">
        <v>1145</v>
      </c>
      <c r="H1104" s="95" t="s">
        <v>589</v>
      </c>
      <c r="I1104" s="95" t="s">
        <v>1145</v>
      </c>
    </row>
    <row r="1105" spans="1:9" ht="14.1" customHeight="1" x14ac:dyDescent="0.2">
      <c r="A1105" s="95" t="s">
        <v>2381</v>
      </c>
      <c r="B1105" s="95">
        <v>72</v>
      </c>
      <c r="C1105" s="95" t="s">
        <v>548</v>
      </c>
      <c r="D1105" s="95">
        <v>2012</v>
      </c>
      <c r="E1105" s="95">
        <v>10200</v>
      </c>
      <c r="F1105" s="95" t="s">
        <v>1146</v>
      </c>
      <c r="G1105" s="95">
        <v>0</v>
      </c>
      <c r="H1105" s="95" t="s">
        <v>1146</v>
      </c>
      <c r="I1105" s="95">
        <v>0</v>
      </c>
    </row>
    <row r="1106" spans="1:9" ht="14.1" customHeight="1" x14ac:dyDescent="0.2">
      <c r="A1106" s="95" t="s">
        <v>2382</v>
      </c>
      <c r="B1106" s="95">
        <v>72</v>
      </c>
      <c r="C1106" s="95" t="s">
        <v>483</v>
      </c>
      <c r="D1106" s="95">
        <v>2012</v>
      </c>
      <c r="E1106" s="95">
        <v>302342.82</v>
      </c>
      <c r="F1106" s="95" t="s">
        <v>1273</v>
      </c>
      <c r="G1106" s="95">
        <v>0</v>
      </c>
      <c r="H1106" s="95" t="s">
        <v>1273</v>
      </c>
      <c r="I1106" s="95">
        <v>0</v>
      </c>
    </row>
    <row r="1107" spans="1:9" ht="14.1" customHeight="1" x14ac:dyDescent="0.2">
      <c r="A1107" s="95" t="s">
        <v>2383</v>
      </c>
      <c r="B1107" s="95">
        <v>72</v>
      </c>
      <c r="C1107" s="95" t="s">
        <v>488</v>
      </c>
      <c r="D1107" s="95">
        <v>2012</v>
      </c>
      <c r="E1107" s="95">
        <v>580552</v>
      </c>
      <c r="F1107" s="95" t="s">
        <v>1273</v>
      </c>
      <c r="G1107" s="95">
        <v>0</v>
      </c>
      <c r="H1107" s="95" t="s">
        <v>1273</v>
      </c>
      <c r="I1107" s="95">
        <v>0</v>
      </c>
    </row>
    <row r="1108" spans="1:9" ht="14.1" customHeight="1" x14ac:dyDescent="0.2">
      <c r="A1108" s="95" t="s">
        <v>2384</v>
      </c>
      <c r="B1108" s="95">
        <v>72</v>
      </c>
      <c r="C1108" s="95" t="s">
        <v>487</v>
      </c>
      <c r="D1108" s="95">
        <v>2012</v>
      </c>
      <c r="E1108" s="95">
        <v>219600</v>
      </c>
      <c r="F1108" s="95" t="s">
        <v>1273</v>
      </c>
      <c r="G1108" s="95">
        <v>0</v>
      </c>
      <c r="H1108" s="95" t="s">
        <v>1273</v>
      </c>
      <c r="I1108" s="95">
        <v>0</v>
      </c>
    </row>
    <row r="1109" spans="1:9" ht="14.1" customHeight="1" x14ac:dyDescent="0.2">
      <c r="A1109" s="95" t="s">
        <v>2385</v>
      </c>
      <c r="B1109" s="95">
        <v>72</v>
      </c>
      <c r="C1109" s="95" t="s">
        <v>486</v>
      </c>
      <c r="D1109" s="95">
        <v>2012</v>
      </c>
      <c r="E1109" s="95">
        <v>445444</v>
      </c>
      <c r="F1109" s="95" t="s">
        <v>1273</v>
      </c>
      <c r="G1109" s="95">
        <v>0</v>
      </c>
      <c r="H1109" s="95" t="s">
        <v>1273</v>
      </c>
      <c r="I1109" s="95">
        <v>0</v>
      </c>
    </row>
    <row r="1110" spans="1:9" ht="14.1" customHeight="1" x14ac:dyDescent="0.2">
      <c r="A1110" s="95" t="s">
        <v>2386</v>
      </c>
      <c r="B1110" s="95">
        <v>72</v>
      </c>
      <c r="C1110" s="95" t="s">
        <v>482</v>
      </c>
      <c r="D1110" s="95">
        <v>2012</v>
      </c>
      <c r="E1110" s="95">
        <v>38000</v>
      </c>
      <c r="F1110" s="95" t="s">
        <v>1273</v>
      </c>
      <c r="G1110" s="95">
        <v>0</v>
      </c>
      <c r="H1110" s="95" t="s">
        <v>1273</v>
      </c>
      <c r="I1110" s="95">
        <v>0</v>
      </c>
    </row>
    <row r="1111" spans="1:9" ht="14.1" customHeight="1" x14ac:dyDescent="0.2">
      <c r="A1111" s="95" t="s">
        <v>2387</v>
      </c>
      <c r="B1111" s="95">
        <v>72</v>
      </c>
      <c r="C1111" s="95" t="s">
        <v>490</v>
      </c>
      <c r="D1111" s="95">
        <v>2012</v>
      </c>
      <c r="E1111" s="95">
        <v>14400</v>
      </c>
      <c r="F1111" s="95" t="s">
        <v>1273</v>
      </c>
      <c r="G1111" s="95">
        <v>0</v>
      </c>
      <c r="H1111" s="95" t="s">
        <v>1273</v>
      </c>
      <c r="I1111" s="95">
        <v>0</v>
      </c>
    </row>
    <row r="1112" spans="1:9" ht="14.1" customHeight="1" x14ac:dyDescent="0.2">
      <c r="A1112" s="95" t="s">
        <v>2388</v>
      </c>
      <c r="B1112" s="95">
        <v>72</v>
      </c>
      <c r="C1112" s="95" t="s">
        <v>481</v>
      </c>
      <c r="D1112" s="95">
        <v>2012</v>
      </c>
      <c r="E1112" s="95">
        <v>260000</v>
      </c>
      <c r="F1112" s="95" t="s">
        <v>1151</v>
      </c>
      <c r="G1112" s="95">
        <v>0</v>
      </c>
      <c r="H1112" s="95" t="s">
        <v>1151</v>
      </c>
      <c r="I1112" s="95">
        <v>0</v>
      </c>
    </row>
    <row r="1113" spans="1:9" ht="14.1" customHeight="1" x14ac:dyDescent="0.2">
      <c r="A1113" s="95" t="s">
        <v>2389</v>
      </c>
      <c r="B1113" s="95">
        <v>72</v>
      </c>
      <c r="C1113" s="95" t="s">
        <v>484</v>
      </c>
      <c r="D1113" s="95">
        <v>2012</v>
      </c>
      <c r="E1113" s="95">
        <v>23000</v>
      </c>
      <c r="F1113" s="95" t="s">
        <v>1273</v>
      </c>
      <c r="G1113" s="95">
        <v>0</v>
      </c>
      <c r="H1113" s="95" t="s">
        <v>1273</v>
      </c>
      <c r="I1113" s="95">
        <v>0</v>
      </c>
    </row>
    <row r="1114" spans="1:9" ht="14.1" customHeight="1" x14ac:dyDescent="0.2">
      <c r="A1114" s="95" t="s">
        <v>2390</v>
      </c>
      <c r="B1114" s="95">
        <v>72</v>
      </c>
      <c r="C1114" s="95" t="s">
        <v>485</v>
      </c>
      <c r="D1114" s="95">
        <v>2012</v>
      </c>
      <c r="E1114" s="95">
        <v>98000</v>
      </c>
      <c r="F1114" s="95" t="s">
        <v>1273</v>
      </c>
      <c r="G1114" s="95">
        <v>0</v>
      </c>
      <c r="H1114" s="95" t="s">
        <v>1273</v>
      </c>
      <c r="I1114" s="95">
        <v>0</v>
      </c>
    </row>
    <row r="1115" spans="1:9" ht="14.1" customHeight="1" x14ac:dyDescent="0.2">
      <c r="A1115" s="95" t="s">
        <v>2391</v>
      </c>
      <c r="B1115" s="95">
        <v>72</v>
      </c>
      <c r="C1115" s="95" t="s">
        <v>489</v>
      </c>
      <c r="D1115" s="95">
        <v>2012</v>
      </c>
      <c r="E1115" s="95">
        <v>750000</v>
      </c>
      <c r="F1115" s="95" t="s">
        <v>1273</v>
      </c>
      <c r="G1115" s="95">
        <v>0</v>
      </c>
      <c r="H1115" s="95" t="s">
        <v>1273</v>
      </c>
      <c r="I1115" s="95">
        <v>0</v>
      </c>
    </row>
    <row r="1116" spans="1:9" ht="14.1" customHeight="1" x14ac:dyDescent="0.2">
      <c r="A1116" s="95" t="s">
        <v>2392</v>
      </c>
      <c r="B1116" s="95">
        <v>73</v>
      </c>
      <c r="C1116" s="95" t="s">
        <v>518</v>
      </c>
      <c r="D1116" s="95">
        <v>2012</v>
      </c>
      <c r="E1116" s="95">
        <v>829.16</v>
      </c>
      <c r="F1116" s="95" t="s">
        <v>615</v>
      </c>
      <c r="G1116" s="95">
        <v>0</v>
      </c>
      <c r="H1116" s="95" t="s">
        <v>615</v>
      </c>
      <c r="I1116" s="95">
        <v>0</v>
      </c>
    </row>
    <row r="1117" spans="1:9" ht="14.1" customHeight="1" x14ac:dyDescent="0.2">
      <c r="A1117" s="95" t="s">
        <v>2393</v>
      </c>
      <c r="B1117" s="95">
        <v>73</v>
      </c>
      <c r="C1117" s="95" t="s">
        <v>520</v>
      </c>
      <c r="D1117" s="95">
        <v>2012</v>
      </c>
      <c r="E1117" s="95">
        <v>2582.41</v>
      </c>
      <c r="F1117" s="95" t="s">
        <v>615</v>
      </c>
      <c r="G1117" s="95">
        <v>0</v>
      </c>
      <c r="H1117" s="95" t="s">
        <v>615</v>
      </c>
      <c r="I1117" s="95">
        <v>0</v>
      </c>
    </row>
    <row r="1118" spans="1:9" ht="14.1" customHeight="1" x14ac:dyDescent="0.2">
      <c r="A1118" s="95" t="s">
        <v>2394</v>
      </c>
      <c r="B1118" s="95">
        <v>73</v>
      </c>
      <c r="C1118" s="95" t="s">
        <v>522</v>
      </c>
      <c r="D1118" s="95">
        <v>2012</v>
      </c>
      <c r="E1118" s="95">
        <v>220.39</v>
      </c>
      <c r="F1118" s="95" t="s">
        <v>615</v>
      </c>
      <c r="G1118" s="95">
        <v>0</v>
      </c>
      <c r="H1118" s="95" t="s">
        <v>615</v>
      </c>
      <c r="I1118" s="95">
        <v>0</v>
      </c>
    </row>
    <row r="1119" spans="1:9" ht="14.1" customHeight="1" x14ac:dyDescent="0.2">
      <c r="A1119" s="95" t="s">
        <v>2395</v>
      </c>
      <c r="B1119" s="95">
        <v>73</v>
      </c>
      <c r="C1119" s="95" t="s">
        <v>524</v>
      </c>
      <c r="D1119" s="95">
        <v>2012</v>
      </c>
      <c r="E1119" s="95">
        <v>3429.72</v>
      </c>
      <c r="F1119" s="95" t="s">
        <v>615</v>
      </c>
      <c r="G1119" s="95">
        <v>0</v>
      </c>
      <c r="H1119" s="95" t="s">
        <v>615</v>
      </c>
      <c r="I1119" s="95">
        <v>0</v>
      </c>
    </row>
    <row r="1120" spans="1:9" ht="14.1" customHeight="1" x14ac:dyDescent="0.2">
      <c r="A1120" s="95" t="s">
        <v>2396</v>
      </c>
      <c r="B1120" s="95">
        <v>73</v>
      </c>
      <c r="C1120" s="95" t="s">
        <v>526</v>
      </c>
      <c r="D1120" s="95">
        <v>2012</v>
      </c>
      <c r="E1120" s="95">
        <v>70821.740000000005</v>
      </c>
      <c r="F1120" s="95" t="s">
        <v>615</v>
      </c>
      <c r="G1120" s="95">
        <v>0</v>
      </c>
      <c r="H1120" s="95" t="s">
        <v>615</v>
      </c>
      <c r="I1120" s="95">
        <v>0</v>
      </c>
    </row>
    <row r="1121" spans="1:9" ht="14.1" customHeight="1" x14ac:dyDescent="0.2">
      <c r="A1121" s="95" t="s">
        <v>2397</v>
      </c>
      <c r="B1121" s="95">
        <v>73</v>
      </c>
      <c r="C1121" s="95" t="s">
        <v>528</v>
      </c>
      <c r="D1121" s="95">
        <v>2012</v>
      </c>
      <c r="E1121" s="95">
        <v>868566</v>
      </c>
      <c r="F1121" s="95" t="s">
        <v>1152</v>
      </c>
      <c r="G1121" s="95">
        <v>0</v>
      </c>
      <c r="H1121" s="95" t="s">
        <v>1152</v>
      </c>
      <c r="I1121" s="95">
        <v>0</v>
      </c>
    </row>
    <row r="1122" spans="1:9" ht="14.1" customHeight="1" x14ac:dyDescent="0.2">
      <c r="A1122" s="95" t="s">
        <v>2398</v>
      </c>
      <c r="B1122" s="95">
        <v>73</v>
      </c>
      <c r="C1122" s="95" t="s">
        <v>530</v>
      </c>
      <c r="D1122" s="95">
        <v>2012</v>
      </c>
      <c r="E1122" s="95">
        <v>431</v>
      </c>
      <c r="F1122" s="95" t="s">
        <v>615</v>
      </c>
      <c r="G1122" s="95">
        <v>0</v>
      </c>
      <c r="H1122" s="95" t="s">
        <v>615</v>
      </c>
      <c r="I1122" s="95">
        <v>0</v>
      </c>
    </row>
    <row r="1123" spans="1:9" ht="14.1" customHeight="1" x14ac:dyDescent="0.2">
      <c r="A1123" s="95" t="s">
        <v>2399</v>
      </c>
      <c r="B1123" s="95">
        <v>73</v>
      </c>
      <c r="C1123" s="95" t="s">
        <v>532</v>
      </c>
      <c r="D1123" s="95">
        <v>2012</v>
      </c>
      <c r="E1123" s="95">
        <v>44.72</v>
      </c>
      <c r="F1123" s="95" t="s">
        <v>615</v>
      </c>
      <c r="G1123" s="95">
        <v>0</v>
      </c>
      <c r="H1123" s="95" t="s">
        <v>615</v>
      </c>
      <c r="I1123" s="95">
        <v>0</v>
      </c>
    </row>
    <row r="1124" spans="1:9" ht="14.1" customHeight="1" x14ac:dyDescent="0.2">
      <c r="A1124" s="95" t="s">
        <v>2400</v>
      </c>
      <c r="B1124" s="95">
        <v>73</v>
      </c>
      <c r="C1124" s="95" t="s">
        <v>534</v>
      </c>
      <c r="D1124" s="95">
        <v>2012</v>
      </c>
      <c r="E1124" s="95">
        <v>0.74</v>
      </c>
      <c r="F1124" s="95" t="s">
        <v>615</v>
      </c>
      <c r="G1124" s="95">
        <v>0</v>
      </c>
      <c r="H1124" s="95" t="s">
        <v>615</v>
      </c>
      <c r="I1124" s="95">
        <v>0</v>
      </c>
    </row>
    <row r="1125" spans="1:9" ht="14.1" customHeight="1" x14ac:dyDescent="0.2">
      <c r="A1125" s="95" t="s">
        <v>2401</v>
      </c>
      <c r="B1125" s="95">
        <v>73</v>
      </c>
      <c r="C1125" s="95" t="s">
        <v>536</v>
      </c>
      <c r="D1125" s="95">
        <v>2012</v>
      </c>
      <c r="E1125" s="95">
        <v>111.15</v>
      </c>
      <c r="F1125" s="95" t="s">
        <v>615</v>
      </c>
      <c r="G1125" s="95">
        <v>0</v>
      </c>
      <c r="H1125" s="95" t="s">
        <v>615</v>
      </c>
      <c r="I1125" s="95">
        <v>0</v>
      </c>
    </row>
    <row r="1126" spans="1:9" ht="14.1" customHeight="1" x14ac:dyDescent="0.2">
      <c r="A1126" s="95" t="s">
        <v>2402</v>
      </c>
      <c r="B1126" s="95">
        <v>73</v>
      </c>
      <c r="C1126" s="95" t="s">
        <v>538</v>
      </c>
      <c r="D1126" s="95">
        <v>2012</v>
      </c>
      <c r="E1126" s="95">
        <v>624.27</v>
      </c>
      <c r="F1126" s="95" t="s">
        <v>615</v>
      </c>
      <c r="G1126" s="95">
        <v>0</v>
      </c>
      <c r="H1126" s="95" t="s">
        <v>615</v>
      </c>
      <c r="I1126" s="95">
        <v>0</v>
      </c>
    </row>
    <row r="1127" spans="1:9" ht="14.1" customHeight="1" x14ac:dyDescent="0.2">
      <c r="A1127" s="95" t="s">
        <v>2403</v>
      </c>
      <c r="B1127" s="95">
        <v>73</v>
      </c>
      <c r="C1127" s="95" t="s">
        <v>540</v>
      </c>
      <c r="D1127" s="95">
        <v>2012</v>
      </c>
      <c r="E1127" s="95">
        <v>42.82</v>
      </c>
      <c r="F1127" s="95" t="s">
        <v>615</v>
      </c>
      <c r="G1127" s="95">
        <v>0</v>
      </c>
      <c r="H1127" s="95" t="s">
        <v>615</v>
      </c>
      <c r="I1127" s="95">
        <v>0</v>
      </c>
    </row>
    <row r="1128" spans="1:9" ht="14.1" customHeight="1" x14ac:dyDescent="0.2">
      <c r="A1128" s="95" t="s">
        <v>2404</v>
      </c>
      <c r="B1128" s="95">
        <v>73</v>
      </c>
      <c r="C1128" s="95" t="s">
        <v>542</v>
      </c>
      <c r="D1128" s="95">
        <v>2012</v>
      </c>
      <c r="E1128" s="95">
        <v>5.69</v>
      </c>
      <c r="F1128" s="95" t="s">
        <v>615</v>
      </c>
      <c r="G1128" s="95">
        <v>0</v>
      </c>
      <c r="H1128" s="95" t="s">
        <v>615</v>
      </c>
      <c r="I1128" s="95">
        <v>0</v>
      </c>
    </row>
    <row r="1129" spans="1:9" ht="14.1" customHeight="1" x14ac:dyDescent="0.2">
      <c r="A1129" s="95" t="s">
        <v>2405</v>
      </c>
      <c r="B1129" s="95">
        <v>73</v>
      </c>
      <c r="C1129" s="95" t="s">
        <v>544</v>
      </c>
      <c r="D1129" s="95">
        <v>2012</v>
      </c>
      <c r="E1129" s="95">
        <v>22.38</v>
      </c>
      <c r="F1129" s="95" t="s">
        <v>615</v>
      </c>
      <c r="G1129" s="95">
        <v>0</v>
      </c>
      <c r="H1129" s="95" t="s">
        <v>615</v>
      </c>
      <c r="I1129" s="95">
        <v>0</v>
      </c>
    </row>
    <row r="1130" spans="1:9" ht="14.1" customHeight="1" x14ac:dyDescent="0.2">
      <c r="A1130" s="95" t="s">
        <v>2406</v>
      </c>
      <c r="B1130" s="95">
        <v>73</v>
      </c>
      <c r="C1130" s="95" t="s">
        <v>546</v>
      </c>
      <c r="D1130" s="95">
        <v>2012</v>
      </c>
      <c r="E1130" s="95">
        <v>55.33</v>
      </c>
      <c r="F1130" s="95" t="s">
        <v>615</v>
      </c>
      <c r="G1130" s="95">
        <v>0</v>
      </c>
      <c r="H1130" s="95" t="s">
        <v>615</v>
      </c>
      <c r="I1130" s="95">
        <v>0</v>
      </c>
    </row>
    <row r="1131" spans="1:9" ht="14.1" customHeight="1" x14ac:dyDescent="0.2">
      <c r="A1131" s="95" t="s">
        <v>2407</v>
      </c>
      <c r="B1131" s="95">
        <v>73</v>
      </c>
      <c r="C1131" s="95" t="s">
        <v>548</v>
      </c>
      <c r="D1131" s="95">
        <v>2012</v>
      </c>
      <c r="E1131" s="95">
        <v>1577.36</v>
      </c>
      <c r="F1131" s="95" t="s">
        <v>615</v>
      </c>
      <c r="G1131" s="95">
        <v>0</v>
      </c>
      <c r="H1131" s="95" t="s">
        <v>615</v>
      </c>
      <c r="I1131" s="95">
        <v>0</v>
      </c>
    </row>
    <row r="1132" spans="1:9" ht="14.1" customHeight="1" x14ac:dyDescent="0.2">
      <c r="A1132" s="95" t="s">
        <v>2408</v>
      </c>
      <c r="B1132" s="95">
        <v>73</v>
      </c>
      <c r="C1132" s="95" t="s">
        <v>483</v>
      </c>
      <c r="D1132" s="95">
        <v>2012</v>
      </c>
      <c r="E1132" s="95">
        <v>1804.69</v>
      </c>
      <c r="F1132" s="95" t="s">
        <v>615</v>
      </c>
      <c r="G1132" s="95">
        <v>0</v>
      </c>
      <c r="H1132" s="95" t="s">
        <v>615</v>
      </c>
      <c r="I1132" s="95">
        <v>0</v>
      </c>
    </row>
    <row r="1133" spans="1:9" ht="14.1" customHeight="1" x14ac:dyDescent="0.2">
      <c r="A1133" s="95" t="s">
        <v>2409</v>
      </c>
      <c r="B1133" s="95">
        <v>73</v>
      </c>
      <c r="C1133" s="95" t="s">
        <v>488</v>
      </c>
      <c r="D1133" s="95">
        <v>2012</v>
      </c>
      <c r="E1133" s="95">
        <v>114.51031</v>
      </c>
      <c r="F1133" s="95" t="s">
        <v>615</v>
      </c>
      <c r="G1133" s="95">
        <v>0</v>
      </c>
      <c r="H1133" s="95" t="s">
        <v>615</v>
      </c>
      <c r="I1133" s="95">
        <v>0</v>
      </c>
    </row>
    <row r="1134" spans="1:9" ht="14.1" customHeight="1" x14ac:dyDescent="0.2">
      <c r="A1134" s="95" t="s">
        <v>2410</v>
      </c>
      <c r="B1134" s="95">
        <v>73</v>
      </c>
      <c r="C1134" s="95" t="s">
        <v>487</v>
      </c>
      <c r="D1134" s="95">
        <v>2012</v>
      </c>
      <c r="E1134" s="95">
        <v>0.66</v>
      </c>
      <c r="F1134" s="95" t="s">
        <v>615</v>
      </c>
      <c r="G1134" s="95">
        <v>0</v>
      </c>
      <c r="H1134" s="95" t="s">
        <v>615</v>
      </c>
      <c r="I1134" s="95">
        <v>0</v>
      </c>
    </row>
    <row r="1135" spans="1:9" ht="14.1" customHeight="1" x14ac:dyDescent="0.2">
      <c r="A1135" s="95" t="s">
        <v>2411</v>
      </c>
      <c r="B1135" s="95">
        <v>73</v>
      </c>
      <c r="C1135" s="95" t="s">
        <v>486</v>
      </c>
      <c r="D1135" s="95">
        <v>2012</v>
      </c>
      <c r="E1135" s="95">
        <v>1.65</v>
      </c>
      <c r="F1135" s="95" t="s">
        <v>615</v>
      </c>
      <c r="G1135" s="95">
        <v>0</v>
      </c>
      <c r="H1135" s="95" t="s">
        <v>615</v>
      </c>
      <c r="I1135" s="95">
        <v>0</v>
      </c>
    </row>
    <row r="1136" spans="1:9" ht="14.1" customHeight="1" x14ac:dyDescent="0.2">
      <c r="A1136" s="95" t="s">
        <v>2412</v>
      </c>
      <c r="B1136" s="95">
        <v>73</v>
      </c>
      <c r="C1136" s="95" t="s">
        <v>482</v>
      </c>
      <c r="D1136" s="95">
        <v>2012</v>
      </c>
      <c r="E1136" s="95">
        <v>2.847</v>
      </c>
      <c r="F1136" s="95" t="s">
        <v>615</v>
      </c>
      <c r="G1136" s="95">
        <v>0</v>
      </c>
      <c r="H1136" s="95" t="s">
        <v>615</v>
      </c>
      <c r="I1136" s="95">
        <v>0</v>
      </c>
    </row>
    <row r="1137" spans="1:9" ht="14.1" customHeight="1" x14ac:dyDescent="0.2">
      <c r="A1137" s="95" t="s">
        <v>2413</v>
      </c>
      <c r="B1137" s="95">
        <v>73</v>
      </c>
      <c r="C1137" s="95" t="s">
        <v>490</v>
      </c>
      <c r="D1137" s="95">
        <v>2012</v>
      </c>
      <c r="E1137" s="95">
        <v>398.38299999999998</v>
      </c>
      <c r="F1137" s="95" t="s">
        <v>615</v>
      </c>
      <c r="G1137" s="95">
        <v>0</v>
      </c>
      <c r="H1137" s="95" t="s">
        <v>615</v>
      </c>
      <c r="I1137" s="95">
        <v>0</v>
      </c>
    </row>
    <row r="1138" spans="1:9" ht="14.1" customHeight="1" x14ac:dyDescent="0.2">
      <c r="A1138" s="95" t="s">
        <v>2414</v>
      </c>
      <c r="B1138" s="95">
        <v>73</v>
      </c>
      <c r="C1138" s="95" t="s">
        <v>481</v>
      </c>
      <c r="D1138" s="95">
        <v>2012</v>
      </c>
      <c r="E1138" s="95">
        <v>1862.249</v>
      </c>
      <c r="F1138" s="95" t="s">
        <v>615</v>
      </c>
      <c r="G1138" s="95">
        <v>0</v>
      </c>
      <c r="H1138" s="95" t="s">
        <v>615</v>
      </c>
      <c r="I1138" s="95">
        <v>0</v>
      </c>
    </row>
    <row r="1139" spans="1:9" ht="14.1" customHeight="1" x14ac:dyDescent="0.2">
      <c r="A1139" s="95" t="s">
        <v>2415</v>
      </c>
      <c r="B1139" s="95">
        <v>73</v>
      </c>
      <c r="C1139" s="95" t="s">
        <v>484</v>
      </c>
      <c r="D1139" s="95">
        <v>2012</v>
      </c>
      <c r="E1139" s="95">
        <v>2.71</v>
      </c>
      <c r="F1139" s="95" t="s">
        <v>815</v>
      </c>
      <c r="G1139" s="95">
        <v>0</v>
      </c>
      <c r="H1139" s="95" t="s">
        <v>815</v>
      </c>
      <c r="I1139" s="95">
        <v>0</v>
      </c>
    </row>
    <row r="1140" spans="1:9" ht="14.1" customHeight="1" x14ac:dyDescent="0.2">
      <c r="A1140" s="95" t="s">
        <v>2416</v>
      </c>
      <c r="B1140" s="95">
        <v>73</v>
      </c>
      <c r="C1140" s="95" t="s">
        <v>485</v>
      </c>
      <c r="D1140" s="95">
        <v>2012</v>
      </c>
      <c r="E1140" s="95">
        <v>306031.636</v>
      </c>
      <c r="F1140" s="95" t="s">
        <v>615</v>
      </c>
      <c r="G1140" s="95">
        <v>0</v>
      </c>
      <c r="H1140" s="95" t="s">
        <v>615</v>
      </c>
      <c r="I1140" s="95">
        <v>0</v>
      </c>
    </row>
    <row r="1141" spans="1:9" ht="14.1" customHeight="1" x14ac:dyDescent="0.2">
      <c r="A1141" s="95" t="s">
        <v>2417</v>
      </c>
      <c r="B1141" s="95">
        <v>73</v>
      </c>
      <c r="C1141" s="95" t="s">
        <v>489</v>
      </c>
      <c r="D1141" s="95">
        <v>2012</v>
      </c>
      <c r="E1141" s="95">
        <v>1.891</v>
      </c>
      <c r="F1141" s="95" t="s">
        <v>815</v>
      </c>
      <c r="G1141" s="95">
        <v>0</v>
      </c>
      <c r="H1141" s="95" t="s">
        <v>815</v>
      </c>
      <c r="I1141" s="95">
        <v>0</v>
      </c>
    </row>
    <row r="1142" spans="1:9" ht="14.1" customHeight="1" x14ac:dyDescent="0.2">
      <c r="A1142" s="95" t="s">
        <v>2418</v>
      </c>
      <c r="B1142" s="95">
        <v>74</v>
      </c>
      <c r="C1142" s="95" t="s">
        <v>520</v>
      </c>
      <c r="D1142" s="95">
        <v>2012</v>
      </c>
      <c r="E1142" s="95">
        <v>1001722</v>
      </c>
      <c r="F1142" s="95" t="s">
        <v>574</v>
      </c>
      <c r="G1142" s="95">
        <v>0</v>
      </c>
      <c r="H1142" s="95" t="s">
        <v>574</v>
      </c>
      <c r="I1142" s="95">
        <v>0</v>
      </c>
    </row>
    <row r="1143" spans="1:9" ht="14.1" customHeight="1" x14ac:dyDescent="0.2">
      <c r="A1143" s="95" t="s">
        <v>2419</v>
      </c>
      <c r="B1143" s="95">
        <v>74</v>
      </c>
      <c r="C1143" s="95" t="s">
        <v>524</v>
      </c>
      <c r="D1143" s="95">
        <v>2012</v>
      </c>
      <c r="E1143" s="95">
        <v>903765474</v>
      </c>
      <c r="F1143" s="95" t="s">
        <v>645</v>
      </c>
      <c r="G1143" s="95">
        <v>0</v>
      </c>
      <c r="H1143" s="95" t="s">
        <v>645</v>
      </c>
      <c r="I1143" s="95">
        <v>0</v>
      </c>
    </row>
    <row r="1144" spans="1:9" ht="14.1" customHeight="1" x14ac:dyDescent="0.2">
      <c r="A1144" s="95" t="s">
        <v>2420</v>
      </c>
      <c r="B1144" s="95">
        <v>74</v>
      </c>
      <c r="C1144" s="95" t="s">
        <v>528</v>
      </c>
      <c r="D1144" s="95">
        <v>2012</v>
      </c>
      <c r="E1144" s="95">
        <v>138334273</v>
      </c>
      <c r="F1144" s="95" t="s">
        <v>3090</v>
      </c>
      <c r="G1144" s="95">
        <v>0</v>
      </c>
      <c r="H1144" s="95" t="s">
        <v>3090</v>
      </c>
      <c r="I1144" s="95">
        <v>0</v>
      </c>
    </row>
    <row r="1145" spans="1:9" ht="14.1" customHeight="1" x14ac:dyDescent="0.2">
      <c r="A1145" s="95" t="s">
        <v>2421</v>
      </c>
      <c r="B1145" s="95">
        <v>74</v>
      </c>
      <c r="C1145" s="95" t="s">
        <v>532</v>
      </c>
      <c r="D1145" s="95">
        <v>2012</v>
      </c>
      <c r="E1145" s="95">
        <v>3081370</v>
      </c>
      <c r="F1145" s="95" t="s">
        <v>1079</v>
      </c>
      <c r="G1145" s="95">
        <v>0</v>
      </c>
      <c r="H1145" s="95" t="s">
        <v>1079</v>
      </c>
      <c r="I1145" s="95">
        <v>0</v>
      </c>
    </row>
    <row r="1146" spans="1:9" ht="14.1" customHeight="1" x14ac:dyDescent="0.2">
      <c r="A1146" s="95" t="s">
        <v>2422</v>
      </c>
      <c r="B1146" s="95">
        <v>74</v>
      </c>
      <c r="C1146" s="95" t="s">
        <v>534</v>
      </c>
      <c r="D1146" s="95">
        <v>2012</v>
      </c>
      <c r="E1146" s="95">
        <v>3582994</v>
      </c>
      <c r="F1146" s="95" t="s">
        <v>648</v>
      </c>
      <c r="G1146" s="95">
        <v>0</v>
      </c>
      <c r="H1146" s="95" t="s">
        <v>648</v>
      </c>
      <c r="I1146" s="95">
        <v>0</v>
      </c>
    </row>
    <row r="1147" spans="1:9" ht="14.1" customHeight="1" x14ac:dyDescent="0.2">
      <c r="A1147" s="95" t="s">
        <v>2423</v>
      </c>
      <c r="B1147" s="95">
        <v>74</v>
      </c>
      <c r="C1147" s="95" t="s">
        <v>536</v>
      </c>
      <c r="D1147" s="95">
        <v>2012</v>
      </c>
      <c r="E1147" s="95">
        <v>23704005</v>
      </c>
      <c r="F1147" s="95" t="s">
        <v>649</v>
      </c>
      <c r="G1147" s="95">
        <v>0</v>
      </c>
      <c r="H1147" s="95" t="s">
        <v>649</v>
      </c>
      <c r="I1147" s="95">
        <v>0</v>
      </c>
    </row>
    <row r="1148" spans="1:9" ht="14.1" customHeight="1" x14ac:dyDescent="0.2">
      <c r="A1148" s="95" t="s">
        <v>2424</v>
      </c>
      <c r="B1148" s="95">
        <v>74</v>
      </c>
      <c r="C1148" s="95" t="s">
        <v>538</v>
      </c>
      <c r="D1148" s="95">
        <v>2012</v>
      </c>
      <c r="E1148" s="95">
        <v>93168896</v>
      </c>
      <c r="F1148" s="95" t="s">
        <v>648</v>
      </c>
      <c r="G1148" s="95">
        <v>0</v>
      </c>
      <c r="H1148" s="95" t="s">
        <v>648</v>
      </c>
      <c r="I1148" s="95">
        <v>0</v>
      </c>
    </row>
    <row r="1149" spans="1:9" ht="14.1" customHeight="1" x14ac:dyDescent="0.2">
      <c r="A1149" s="95" t="s">
        <v>2425</v>
      </c>
      <c r="B1149" s="95">
        <v>74</v>
      </c>
      <c r="C1149" s="95" t="s">
        <v>540</v>
      </c>
      <c r="D1149" s="95">
        <v>2012</v>
      </c>
      <c r="E1149" s="95">
        <v>9039236.5864480007</v>
      </c>
      <c r="F1149" s="95" t="s">
        <v>659</v>
      </c>
      <c r="G1149" s="95">
        <v>0</v>
      </c>
      <c r="H1149" s="95" t="s">
        <v>659</v>
      </c>
      <c r="I1149" s="95">
        <v>0</v>
      </c>
    </row>
    <row r="1150" spans="1:9" ht="14.1" customHeight="1" x14ac:dyDescent="0.2">
      <c r="A1150" s="95" t="s">
        <v>2426</v>
      </c>
      <c r="B1150" s="95">
        <v>74</v>
      </c>
      <c r="C1150" s="95" t="s">
        <v>542</v>
      </c>
      <c r="D1150" s="95">
        <v>2012</v>
      </c>
      <c r="E1150" s="95">
        <v>7626000</v>
      </c>
      <c r="F1150" s="95" t="s">
        <v>562</v>
      </c>
      <c r="G1150" s="95">
        <v>0</v>
      </c>
      <c r="H1150" s="95" t="s">
        <v>562</v>
      </c>
      <c r="I1150" s="95">
        <v>0</v>
      </c>
    </row>
    <row r="1151" spans="1:9" ht="14.1" customHeight="1" x14ac:dyDescent="0.2">
      <c r="A1151" s="95" t="s">
        <v>2427</v>
      </c>
      <c r="B1151" s="95">
        <v>74</v>
      </c>
      <c r="C1151" s="95" t="s">
        <v>546</v>
      </c>
      <c r="D1151" s="95">
        <v>2012</v>
      </c>
      <c r="E1151" s="95">
        <v>22995391.1928</v>
      </c>
      <c r="F1151" s="95" t="s">
        <v>3091</v>
      </c>
      <c r="G1151" s="95">
        <v>0</v>
      </c>
      <c r="H1151" s="95" t="s">
        <v>3091</v>
      </c>
      <c r="I1151" s="95">
        <v>0</v>
      </c>
    </row>
    <row r="1152" spans="1:9" ht="14.1" customHeight="1" x14ac:dyDescent="0.2">
      <c r="A1152" s="95" t="s">
        <v>2428</v>
      </c>
      <c r="B1152" s="95">
        <v>74</v>
      </c>
      <c r="C1152" s="95" t="s">
        <v>483</v>
      </c>
      <c r="D1152" s="95">
        <v>2012</v>
      </c>
      <c r="E1152" s="95">
        <v>1502886</v>
      </c>
      <c r="F1152" s="95" t="s">
        <v>1273</v>
      </c>
      <c r="G1152" s="95">
        <v>0</v>
      </c>
      <c r="H1152" s="95" t="s">
        <v>1273</v>
      </c>
      <c r="I1152" s="95">
        <v>0</v>
      </c>
    </row>
    <row r="1153" spans="1:9" ht="14.1" customHeight="1" x14ac:dyDescent="0.2">
      <c r="A1153" s="95" t="s">
        <v>2429</v>
      </c>
      <c r="B1153" s="95">
        <v>74</v>
      </c>
      <c r="C1153" s="95" t="s">
        <v>488</v>
      </c>
      <c r="D1153" s="95">
        <v>2012</v>
      </c>
      <c r="E1153" s="95">
        <v>176797901.40000001</v>
      </c>
      <c r="F1153" s="95" t="s">
        <v>836</v>
      </c>
      <c r="G1153" s="95">
        <v>0</v>
      </c>
      <c r="H1153" s="95" t="s">
        <v>836</v>
      </c>
      <c r="I1153" s="95">
        <v>0</v>
      </c>
    </row>
    <row r="1154" spans="1:9" ht="14.1" customHeight="1" x14ac:dyDescent="0.2">
      <c r="A1154" s="95" t="s">
        <v>2430</v>
      </c>
      <c r="B1154" s="95">
        <v>74</v>
      </c>
      <c r="C1154" s="95" t="s">
        <v>487</v>
      </c>
      <c r="D1154" s="95">
        <v>2012</v>
      </c>
      <c r="E1154" s="95">
        <v>14399967</v>
      </c>
      <c r="F1154" s="95" t="s">
        <v>1280</v>
      </c>
      <c r="G1154" s="95">
        <v>0</v>
      </c>
      <c r="H1154" s="95" t="s">
        <v>1280</v>
      </c>
      <c r="I1154" s="95">
        <v>0</v>
      </c>
    </row>
    <row r="1155" spans="1:9" ht="14.1" customHeight="1" x14ac:dyDescent="0.2">
      <c r="A1155" s="95" t="s">
        <v>2431</v>
      </c>
      <c r="B1155" s="95">
        <v>74</v>
      </c>
      <c r="C1155" s="95" t="s">
        <v>486</v>
      </c>
      <c r="D1155" s="95">
        <v>2012</v>
      </c>
      <c r="E1155" s="95">
        <v>8512000</v>
      </c>
      <c r="F1155" s="95" t="s">
        <v>1273</v>
      </c>
      <c r="G1155" s="95">
        <v>0</v>
      </c>
      <c r="H1155" s="95" t="s">
        <v>1273</v>
      </c>
      <c r="I1155" s="95">
        <v>0</v>
      </c>
    </row>
    <row r="1156" spans="1:9" ht="14.1" customHeight="1" x14ac:dyDescent="0.2">
      <c r="A1156" s="95" t="s">
        <v>2432</v>
      </c>
      <c r="B1156" s="95">
        <v>74</v>
      </c>
      <c r="C1156" s="95" t="s">
        <v>482</v>
      </c>
      <c r="D1156" s="95">
        <v>2012</v>
      </c>
      <c r="E1156" s="95">
        <v>18466000</v>
      </c>
      <c r="F1156" s="95" t="s">
        <v>1153</v>
      </c>
      <c r="G1156" s="95">
        <v>0</v>
      </c>
      <c r="H1156" s="95" t="s">
        <v>1153</v>
      </c>
      <c r="I1156" s="95">
        <v>0</v>
      </c>
    </row>
    <row r="1157" spans="1:9" ht="14.1" customHeight="1" x14ac:dyDescent="0.2">
      <c r="A1157" s="95" t="s">
        <v>2433</v>
      </c>
      <c r="B1157" s="95">
        <v>74</v>
      </c>
      <c r="C1157" s="95" t="s">
        <v>490</v>
      </c>
      <c r="D1157" s="95">
        <v>2012</v>
      </c>
      <c r="E1157" s="95">
        <v>34854933</v>
      </c>
      <c r="F1157" s="95" t="s">
        <v>1273</v>
      </c>
      <c r="G1157" s="95">
        <v>0</v>
      </c>
      <c r="H1157" s="95" t="s">
        <v>1273</v>
      </c>
      <c r="I1157" s="95">
        <v>0</v>
      </c>
    </row>
    <row r="1158" spans="1:9" ht="14.1" customHeight="1" x14ac:dyDescent="0.2">
      <c r="A1158" s="95" t="s">
        <v>2434</v>
      </c>
      <c r="B1158" s="95">
        <v>74</v>
      </c>
      <c r="C1158" s="95" t="s">
        <v>481</v>
      </c>
      <c r="D1158" s="95">
        <v>2012</v>
      </c>
      <c r="E1158" s="95">
        <v>282125604</v>
      </c>
      <c r="F1158" s="95" t="s">
        <v>1154</v>
      </c>
      <c r="G1158" s="95">
        <v>0</v>
      </c>
      <c r="H1158" s="95" t="s">
        <v>1154</v>
      </c>
      <c r="I1158" s="95">
        <v>0</v>
      </c>
    </row>
    <row r="1159" spans="1:9" ht="14.1" customHeight="1" x14ac:dyDescent="0.2">
      <c r="A1159" s="95" t="s">
        <v>2435</v>
      </c>
      <c r="B1159" s="95">
        <v>74</v>
      </c>
      <c r="C1159" s="95" t="s">
        <v>484</v>
      </c>
      <c r="D1159" s="95">
        <v>2012</v>
      </c>
      <c r="E1159" s="95">
        <v>3909829</v>
      </c>
      <c r="F1159" s="95" t="s">
        <v>837</v>
      </c>
      <c r="G1159" s="95">
        <v>0</v>
      </c>
      <c r="H1159" s="95" t="s">
        <v>837</v>
      </c>
      <c r="I1159" s="95">
        <v>0</v>
      </c>
    </row>
    <row r="1160" spans="1:9" ht="14.1" customHeight="1" x14ac:dyDescent="0.2">
      <c r="A1160" s="95" t="s">
        <v>2436</v>
      </c>
      <c r="B1160" s="95">
        <v>74</v>
      </c>
      <c r="C1160" s="95" t="s">
        <v>485</v>
      </c>
      <c r="D1160" s="95">
        <v>2012</v>
      </c>
      <c r="E1160" s="95">
        <v>68191687</v>
      </c>
      <c r="F1160" s="95" t="s">
        <v>1273</v>
      </c>
      <c r="G1160" s="95">
        <v>0</v>
      </c>
      <c r="H1160" s="95" t="s">
        <v>1273</v>
      </c>
      <c r="I1160" s="95">
        <v>0</v>
      </c>
    </row>
    <row r="1161" spans="1:9" ht="14.1" customHeight="1" x14ac:dyDescent="0.2">
      <c r="A1161" s="95" t="s">
        <v>2437</v>
      </c>
      <c r="B1161" s="95">
        <v>74</v>
      </c>
      <c r="C1161" s="95" t="s">
        <v>489</v>
      </c>
      <c r="D1161" s="95">
        <v>2012</v>
      </c>
      <c r="E1161" s="95">
        <v>25804124</v>
      </c>
      <c r="F1161" s="95" t="s">
        <v>1273</v>
      </c>
      <c r="G1161" s="95">
        <v>0</v>
      </c>
      <c r="H1161" s="95" t="s">
        <v>1273</v>
      </c>
      <c r="I1161" s="95">
        <v>0</v>
      </c>
    </row>
    <row r="1162" spans="1:9" ht="14.1" customHeight="1" x14ac:dyDescent="0.2">
      <c r="A1162" s="95" t="s">
        <v>2438</v>
      </c>
      <c r="B1162" s="95">
        <v>75</v>
      </c>
      <c r="C1162" s="95" t="s">
        <v>518</v>
      </c>
      <c r="D1162" s="95">
        <v>2012</v>
      </c>
      <c r="E1162" s="95">
        <v>94187195.261287004</v>
      </c>
      <c r="F1162" s="95" t="s">
        <v>556</v>
      </c>
      <c r="G1162" s="95">
        <v>0</v>
      </c>
      <c r="H1162" s="95" t="s">
        <v>556</v>
      </c>
      <c r="I1162" s="95">
        <v>0</v>
      </c>
    </row>
    <row r="1163" spans="1:9" ht="14.1" customHeight="1" x14ac:dyDescent="0.2">
      <c r="A1163" s="95" t="s">
        <v>2439</v>
      </c>
      <c r="B1163" s="95">
        <v>75</v>
      </c>
      <c r="C1163" s="95" t="s">
        <v>520</v>
      </c>
      <c r="D1163" s="95">
        <v>2012</v>
      </c>
      <c r="E1163" s="95">
        <v>161071</v>
      </c>
      <c r="F1163" s="95" t="s">
        <v>574</v>
      </c>
      <c r="G1163" s="95">
        <v>0</v>
      </c>
      <c r="H1163" s="95" t="s">
        <v>574</v>
      </c>
      <c r="I1163" s="95">
        <v>0</v>
      </c>
    </row>
    <row r="1164" spans="1:9" ht="14.1" customHeight="1" x14ac:dyDescent="0.2">
      <c r="A1164" s="95" t="s">
        <v>2440</v>
      </c>
      <c r="B1164" s="95">
        <v>75</v>
      </c>
      <c r="C1164" s="95" t="s">
        <v>522</v>
      </c>
      <c r="D1164" s="95">
        <v>2012</v>
      </c>
      <c r="E1164" s="95">
        <v>3019040.9404042298</v>
      </c>
      <c r="F1164" s="95" t="s">
        <v>3069</v>
      </c>
      <c r="G1164" s="95">
        <v>0</v>
      </c>
      <c r="H1164" s="95" t="s">
        <v>3069</v>
      </c>
      <c r="I1164" s="95">
        <v>0</v>
      </c>
    </row>
    <row r="1165" spans="1:9" ht="14.1" customHeight="1" x14ac:dyDescent="0.2">
      <c r="A1165" s="95" t="s">
        <v>2441</v>
      </c>
      <c r="B1165" s="95">
        <v>75</v>
      </c>
      <c r="C1165" s="95" t="s">
        <v>524</v>
      </c>
      <c r="D1165" s="95">
        <v>2012</v>
      </c>
      <c r="E1165" s="95">
        <v>525431565</v>
      </c>
      <c r="F1165" s="95" t="s">
        <v>645</v>
      </c>
      <c r="G1165" s="95">
        <v>0</v>
      </c>
      <c r="H1165" s="95" t="s">
        <v>645</v>
      </c>
      <c r="I1165" s="95">
        <v>0</v>
      </c>
    </row>
    <row r="1166" spans="1:9" ht="14.1" customHeight="1" x14ac:dyDescent="0.2">
      <c r="A1166" s="95" t="s">
        <v>2442</v>
      </c>
      <c r="B1166" s="95">
        <v>75</v>
      </c>
      <c r="C1166" s="95" t="s">
        <v>528</v>
      </c>
      <c r="D1166" s="95">
        <v>2012</v>
      </c>
      <c r="E1166" s="95">
        <v>58046546</v>
      </c>
      <c r="F1166" s="95" t="s">
        <v>3090</v>
      </c>
      <c r="G1166" s="95">
        <v>0</v>
      </c>
      <c r="H1166" s="95" t="s">
        <v>3090</v>
      </c>
      <c r="I1166" s="95">
        <v>0</v>
      </c>
    </row>
    <row r="1167" spans="1:9" ht="14.1" customHeight="1" x14ac:dyDescent="0.2">
      <c r="A1167" s="95" t="s">
        <v>2443</v>
      </c>
      <c r="B1167" s="95">
        <v>75</v>
      </c>
      <c r="C1167" s="95" t="s">
        <v>530</v>
      </c>
      <c r="D1167" s="95">
        <v>2012</v>
      </c>
      <c r="E1167" s="95">
        <v>33856378.556359999</v>
      </c>
      <c r="F1167" s="95" t="s">
        <v>634</v>
      </c>
      <c r="G1167" s="95">
        <v>0</v>
      </c>
      <c r="H1167" s="95" t="s">
        <v>634</v>
      </c>
      <c r="I1167" s="95">
        <v>0</v>
      </c>
    </row>
    <row r="1168" spans="1:9" ht="14.1" customHeight="1" x14ac:dyDescent="0.2">
      <c r="A1168" s="95" t="s">
        <v>2444</v>
      </c>
      <c r="B1168" s="95">
        <v>75</v>
      </c>
      <c r="C1168" s="95" t="s">
        <v>532</v>
      </c>
      <c r="D1168" s="95">
        <v>2012</v>
      </c>
      <c r="E1168" s="95">
        <v>174404</v>
      </c>
      <c r="F1168" s="95" t="s">
        <v>1079</v>
      </c>
      <c r="G1168" s="95">
        <v>0</v>
      </c>
      <c r="H1168" s="95" t="s">
        <v>1079</v>
      </c>
      <c r="I1168" s="95">
        <v>0</v>
      </c>
    </row>
    <row r="1169" spans="1:9" ht="14.1" customHeight="1" x14ac:dyDescent="0.2">
      <c r="A1169" s="95" t="s">
        <v>2445</v>
      </c>
      <c r="B1169" s="95">
        <v>75</v>
      </c>
      <c r="C1169" s="95" t="s">
        <v>534</v>
      </c>
      <c r="D1169" s="95">
        <v>2012</v>
      </c>
      <c r="E1169" s="95">
        <v>111870</v>
      </c>
      <c r="F1169" s="95" t="s">
        <v>648</v>
      </c>
      <c r="G1169" s="95">
        <v>0</v>
      </c>
      <c r="H1169" s="95" t="s">
        <v>648</v>
      </c>
      <c r="I1169" s="95">
        <v>0</v>
      </c>
    </row>
    <row r="1170" spans="1:9" ht="14.1" customHeight="1" x14ac:dyDescent="0.2">
      <c r="A1170" s="95" t="s">
        <v>2446</v>
      </c>
      <c r="B1170" s="95">
        <v>75</v>
      </c>
      <c r="C1170" s="95" t="s">
        <v>536</v>
      </c>
      <c r="D1170" s="95">
        <v>2012</v>
      </c>
      <c r="E1170" s="95">
        <v>7619485</v>
      </c>
      <c r="F1170" s="95" t="s">
        <v>649</v>
      </c>
      <c r="G1170" s="95">
        <v>0</v>
      </c>
      <c r="H1170" s="95" t="s">
        <v>649</v>
      </c>
      <c r="I1170" s="95">
        <v>0</v>
      </c>
    </row>
    <row r="1171" spans="1:9" ht="14.1" customHeight="1" x14ac:dyDescent="0.2">
      <c r="A1171" s="95" t="s">
        <v>2447</v>
      </c>
      <c r="B1171" s="95">
        <v>75</v>
      </c>
      <c r="C1171" s="95" t="s">
        <v>538</v>
      </c>
      <c r="D1171" s="95">
        <v>2012</v>
      </c>
      <c r="E1171" s="95">
        <v>42043514</v>
      </c>
      <c r="F1171" s="95" t="s">
        <v>648</v>
      </c>
      <c r="G1171" s="95">
        <v>0</v>
      </c>
      <c r="H1171" s="95" t="s">
        <v>648</v>
      </c>
      <c r="I1171" s="95">
        <v>0</v>
      </c>
    </row>
    <row r="1172" spans="1:9" ht="14.1" customHeight="1" x14ac:dyDescent="0.2">
      <c r="A1172" s="95" t="s">
        <v>2448</v>
      </c>
      <c r="B1172" s="95">
        <v>75</v>
      </c>
      <c r="C1172" s="95" t="s">
        <v>540</v>
      </c>
      <c r="D1172" s="95">
        <v>2012</v>
      </c>
      <c r="E1172" s="95">
        <v>5648214.047088</v>
      </c>
      <c r="F1172" s="95" t="s">
        <v>659</v>
      </c>
      <c r="G1172" s="95">
        <v>0</v>
      </c>
      <c r="H1172" s="95" t="s">
        <v>659</v>
      </c>
      <c r="I1172" s="95">
        <v>0</v>
      </c>
    </row>
    <row r="1173" spans="1:9" ht="14.1" customHeight="1" x14ac:dyDescent="0.2">
      <c r="A1173" s="95" t="s">
        <v>2449</v>
      </c>
      <c r="B1173" s="95">
        <v>75</v>
      </c>
      <c r="C1173" s="95" t="s">
        <v>542</v>
      </c>
      <c r="D1173" s="95">
        <v>2012</v>
      </c>
      <c r="E1173" s="95">
        <v>2373000</v>
      </c>
      <c r="F1173" s="95" t="s">
        <v>562</v>
      </c>
      <c r="G1173" s="95">
        <v>0</v>
      </c>
      <c r="H1173" s="95" t="s">
        <v>562</v>
      </c>
      <c r="I1173" s="95">
        <v>0</v>
      </c>
    </row>
    <row r="1174" spans="1:9" ht="14.1" customHeight="1" x14ac:dyDescent="0.2">
      <c r="A1174" s="95" t="s">
        <v>2450</v>
      </c>
      <c r="B1174" s="95">
        <v>75</v>
      </c>
      <c r="C1174" s="95" t="s">
        <v>546</v>
      </c>
      <c r="D1174" s="95">
        <v>2012</v>
      </c>
      <c r="E1174" s="95">
        <v>7685757.7438899903</v>
      </c>
      <c r="F1174" s="95" t="s">
        <v>589</v>
      </c>
      <c r="G1174" s="95">
        <v>0</v>
      </c>
      <c r="H1174" s="95" t="s">
        <v>589</v>
      </c>
      <c r="I1174" s="95">
        <v>0</v>
      </c>
    </row>
    <row r="1175" spans="1:9" ht="14.1" customHeight="1" x14ac:dyDescent="0.2">
      <c r="A1175" s="95" t="s">
        <v>2451</v>
      </c>
      <c r="B1175" s="95">
        <v>75</v>
      </c>
      <c r="C1175" s="95" t="s">
        <v>488</v>
      </c>
      <c r="D1175" s="95">
        <v>2012</v>
      </c>
      <c r="E1175" s="95">
        <v>127656587.93000001</v>
      </c>
      <c r="F1175" s="95" t="s">
        <v>660</v>
      </c>
      <c r="G1175" s="95">
        <v>0</v>
      </c>
      <c r="H1175" s="95" t="s">
        <v>660</v>
      </c>
      <c r="I1175" s="95">
        <v>0</v>
      </c>
    </row>
    <row r="1176" spans="1:9" ht="14.1" customHeight="1" x14ac:dyDescent="0.2">
      <c r="A1176" s="95" t="s">
        <v>2452</v>
      </c>
      <c r="B1176" s="95">
        <v>75</v>
      </c>
      <c r="C1176" s="95" t="s">
        <v>487</v>
      </c>
      <c r="D1176" s="95">
        <v>2012</v>
      </c>
      <c r="E1176" s="95">
        <v>6566270.5256000003</v>
      </c>
      <c r="F1176" s="95" t="s">
        <v>1280</v>
      </c>
      <c r="G1176" s="95">
        <v>0</v>
      </c>
      <c r="H1176" s="95" t="s">
        <v>1280</v>
      </c>
      <c r="I1176" s="95">
        <v>0</v>
      </c>
    </row>
    <row r="1177" spans="1:9" ht="14.1" customHeight="1" x14ac:dyDescent="0.2">
      <c r="A1177" s="95" t="s">
        <v>2453</v>
      </c>
      <c r="B1177" s="95">
        <v>75</v>
      </c>
      <c r="C1177" s="95" t="s">
        <v>486</v>
      </c>
      <c r="D1177" s="95">
        <v>2012</v>
      </c>
      <c r="E1177" s="95">
        <v>2315698</v>
      </c>
      <c r="F1177" s="95" t="s">
        <v>1273</v>
      </c>
      <c r="G1177" s="95">
        <v>0</v>
      </c>
      <c r="H1177" s="95" t="s">
        <v>1273</v>
      </c>
      <c r="I1177" s="95">
        <v>0</v>
      </c>
    </row>
    <row r="1178" spans="1:9" ht="14.1" customHeight="1" x14ac:dyDescent="0.2">
      <c r="A1178" s="95" t="s">
        <v>2454</v>
      </c>
      <c r="B1178" s="95">
        <v>75</v>
      </c>
      <c r="C1178" s="95" t="s">
        <v>482</v>
      </c>
      <c r="D1178" s="95">
        <v>2012</v>
      </c>
      <c r="E1178" s="95">
        <v>7157620</v>
      </c>
      <c r="F1178" s="95" t="s">
        <v>1153</v>
      </c>
      <c r="G1178" s="95">
        <v>0</v>
      </c>
      <c r="H1178" s="95" t="s">
        <v>1153</v>
      </c>
      <c r="I1178" s="95">
        <v>0</v>
      </c>
    </row>
    <row r="1179" spans="1:9" ht="14.1" customHeight="1" x14ac:dyDescent="0.2">
      <c r="A1179" s="95" t="s">
        <v>2455</v>
      </c>
      <c r="B1179" s="95">
        <v>75</v>
      </c>
      <c r="C1179" s="95" t="s">
        <v>490</v>
      </c>
      <c r="D1179" s="95">
        <v>2012</v>
      </c>
      <c r="E1179" s="95">
        <v>9688300</v>
      </c>
      <c r="F1179" s="95" t="s">
        <v>1273</v>
      </c>
      <c r="G1179" s="95">
        <v>0</v>
      </c>
      <c r="H1179" s="95" t="s">
        <v>1273</v>
      </c>
      <c r="I1179" s="95">
        <v>0</v>
      </c>
    </row>
    <row r="1180" spans="1:9" ht="14.1" customHeight="1" x14ac:dyDescent="0.2">
      <c r="A1180" s="95" t="s">
        <v>2456</v>
      </c>
      <c r="B1180" s="95">
        <v>75</v>
      </c>
      <c r="C1180" s="95" t="s">
        <v>481</v>
      </c>
      <c r="D1180" s="95">
        <v>2012</v>
      </c>
      <c r="E1180" s="95">
        <v>123972231</v>
      </c>
      <c r="F1180" s="95" t="s">
        <v>1154</v>
      </c>
      <c r="G1180" s="95">
        <v>0</v>
      </c>
      <c r="H1180" s="95" t="s">
        <v>1154</v>
      </c>
      <c r="I1180" s="95">
        <v>0</v>
      </c>
    </row>
    <row r="1181" spans="1:9" ht="14.1" customHeight="1" x14ac:dyDescent="0.2">
      <c r="A1181" s="95" t="s">
        <v>2457</v>
      </c>
      <c r="B1181" s="95">
        <v>75</v>
      </c>
      <c r="C1181" s="95" t="s">
        <v>484</v>
      </c>
      <c r="D1181" s="95">
        <v>2012</v>
      </c>
      <c r="E1181" s="95">
        <v>768136</v>
      </c>
      <c r="F1181" s="95" t="s">
        <v>837</v>
      </c>
      <c r="G1181" s="95">
        <v>0</v>
      </c>
      <c r="H1181" s="95" t="s">
        <v>837</v>
      </c>
      <c r="I1181" s="95">
        <v>0</v>
      </c>
    </row>
    <row r="1182" spans="1:9" ht="14.1" customHeight="1" x14ac:dyDescent="0.2">
      <c r="A1182" s="95" t="s">
        <v>2458</v>
      </c>
      <c r="B1182" s="95">
        <v>75</v>
      </c>
      <c r="C1182" s="95" t="s">
        <v>485</v>
      </c>
      <c r="D1182" s="95">
        <v>2012</v>
      </c>
      <c r="E1182" s="95">
        <v>1790937.9950000001</v>
      </c>
      <c r="F1182" s="95" t="s">
        <v>1273</v>
      </c>
      <c r="G1182" s="95">
        <v>0</v>
      </c>
      <c r="H1182" s="95" t="s">
        <v>1273</v>
      </c>
      <c r="I1182" s="95">
        <v>0</v>
      </c>
    </row>
    <row r="1183" spans="1:9" ht="14.1" customHeight="1" x14ac:dyDescent="0.2">
      <c r="A1183" s="95" t="s">
        <v>2459</v>
      </c>
      <c r="B1183" s="95">
        <v>75</v>
      </c>
      <c r="C1183" s="95" t="s">
        <v>489</v>
      </c>
      <c r="D1183" s="95">
        <v>2012</v>
      </c>
      <c r="E1183" s="95">
        <v>3601722</v>
      </c>
      <c r="F1183" s="95" t="s">
        <v>1273</v>
      </c>
      <c r="G1183" s="95">
        <v>0</v>
      </c>
      <c r="H1183" s="95" t="s">
        <v>1273</v>
      </c>
      <c r="I1183" s="95">
        <v>0</v>
      </c>
    </row>
    <row r="1184" spans="1:9" ht="14.1" customHeight="1" x14ac:dyDescent="0.2">
      <c r="A1184" s="95" t="s">
        <v>2460</v>
      </c>
      <c r="B1184" s="95">
        <v>76</v>
      </c>
      <c r="C1184" s="95" t="s">
        <v>518</v>
      </c>
      <c r="D1184" s="95">
        <v>2012</v>
      </c>
      <c r="E1184" s="95">
        <v>36662289.182351999</v>
      </c>
      <c r="F1184" s="95" t="s">
        <v>556</v>
      </c>
      <c r="G1184" s="95">
        <v>0</v>
      </c>
      <c r="H1184" s="95" t="s">
        <v>556</v>
      </c>
      <c r="I1184" s="95">
        <v>0</v>
      </c>
    </row>
    <row r="1185" spans="1:9" ht="14.1" customHeight="1" x14ac:dyDescent="0.2">
      <c r="A1185" s="95" t="s">
        <v>2461</v>
      </c>
      <c r="B1185" s="95">
        <v>76</v>
      </c>
      <c r="C1185" s="95" t="s">
        <v>520</v>
      </c>
      <c r="D1185" s="95">
        <v>2012</v>
      </c>
      <c r="E1185" s="95">
        <v>802713</v>
      </c>
      <c r="F1185" s="95" t="s">
        <v>574</v>
      </c>
      <c r="G1185" s="95">
        <v>0</v>
      </c>
      <c r="H1185" s="95" t="s">
        <v>574</v>
      </c>
      <c r="I1185" s="95">
        <v>0</v>
      </c>
    </row>
    <row r="1186" spans="1:9" ht="14.1" customHeight="1" x14ac:dyDescent="0.2">
      <c r="A1186" s="95" t="s">
        <v>2462</v>
      </c>
      <c r="B1186" s="95">
        <v>76</v>
      </c>
      <c r="C1186" s="95" t="s">
        <v>522</v>
      </c>
      <c r="D1186" s="95">
        <v>2012</v>
      </c>
      <c r="E1186" s="95">
        <v>258554.67369805399</v>
      </c>
      <c r="F1186" s="95" t="s">
        <v>3069</v>
      </c>
      <c r="G1186" s="95">
        <v>0</v>
      </c>
      <c r="H1186" s="95" t="s">
        <v>3069</v>
      </c>
      <c r="I1186" s="95">
        <v>0</v>
      </c>
    </row>
    <row r="1187" spans="1:9" ht="14.1" customHeight="1" x14ac:dyDescent="0.2">
      <c r="A1187" s="95" t="s">
        <v>2463</v>
      </c>
      <c r="B1187" s="95">
        <v>76</v>
      </c>
      <c r="C1187" s="95" t="s">
        <v>524</v>
      </c>
      <c r="D1187" s="95">
        <v>2012</v>
      </c>
      <c r="E1187" s="95">
        <v>144822121</v>
      </c>
      <c r="F1187" s="95" t="s">
        <v>645</v>
      </c>
      <c r="G1187" s="95">
        <v>0</v>
      </c>
      <c r="H1187" s="95" t="s">
        <v>645</v>
      </c>
      <c r="I1187" s="95">
        <v>0</v>
      </c>
    </row>
    <row r="1188" spans="1:9" ht="14.1" customHeight="1" x14ac:dyDescent="0.2">
      <c r="A1188" s="95" t="s">
        <v>2464</v>
      </c>
      <c r="B1188" s="95">
        <v>76</v>
      </c>
      <c r="C1188" s="95" t="s">
        <v>528</v>
      </c>
      <c r="D1188" s="95">
        <v>2012</v>
      </c>
      <c r="E1188" s="95">
        <v>52103586</v>
      </c>
      <c r="F1188" s="95" t="s">
        <v>3090</v>
      </c>
      <c r="G1188" s="95">
        <v>0</v>
      </c>
      <c r="H1188" s="95" t="s">
        <v>3090</v>
      </c>
      <c r="I1188" s="95">
        <v>0</v>
      </c>
    </row>
    <row r="1189" spans="1:9" ht="14.1" customHeight="1" x14ac:dyDescent="0.2">
      <c r="A1189" s="95" t="s">
        <v>2465</v>
      </c>
      <c r="B1189" s="95">
        <v>76</v>
      </c>
      <c r="C1189" s="95" t="s">
        <v>530</v>
      </c>
      <c r="D1189" s="95">
        <v>2012</v>
      </c>
      <c r="E1189" s="95">
        <v>10986449.503180001</v>
      </c>
      <c r="F1189" s="95" t="s">
        <v>634</v>
      </c>
      <c r="G1189" s="95">
        <v>0</v>
      </c>
      <c r="H1189" s="95" t="s">
        <v>634</v>
      </c>
      <c r="I1189" s="95">
        <v>0</v>
      </c>
    </row>
    <row r="1190" spans="1:9" ht="14.1" customHeight="1" x14ac:dyDescent="0.2">
      <c r="A1190" s="95" t="s">
        <v>2466</v>
      </c>
      <c r="B1190" s="95">
        <v>76</v>
      </c>
      <c r="C1190" s="95" t="s">
        <v>532</v>
      </c>
      <c r="D1190" s="95">
        <v>2012</v>
      </c>
      <c r="E1190" s="95">
        <v>2906966</v>
      </c>
      <c r="F1190" s="95" t="s">
        <v>1079</v>
      </c>
      <c r="G1190" s="95">
        <v>0</v>
      </c>
      <c r="H1190" s="95" t="s">
        <v>1079</v>
      </c>
      <c r="I1190" s="95">
        <v>0</v>
      </c>
    </row>
    <row r="1191" spans="1:9" ht="14.1" customHeight="1" x14ac:dyDescent="0.2">
      <c r="A1191" s="95" t="s">
        <v>2467</v>
      </c>
      <c r="B1191" s="95">
        <v>76</v>
      </c>
      <c r="C1191" s="95" t="s">
        <v>534</v>
      </c>
      <c r="D1191" s="95">
        <v>2012</v>
      </c>
      <c r="E1191" s="95">
        <v>3471124</v>
      </c>
      <c r="F1191" s="95" t="s">
        <v>648</v>
      </c>
      <c r="G1191" s="95">
        <v>0</v>
      </c>
      <c r="H1191" s="95" t="s">
        <v>648</v>
      </c>
      <c r="I1191" s="95">
        <v>0</v>
      </c>
    </row>
    <row r="1192" spans="1:9" ht="14.1" customHeight="1" x14ac:dyDescent="0.2">
      <c r="A1192" s="95" t="s">
        <v>2468</v>
      </c>
      <c r="B1192" s="95">
        <v>76</v>
      </c>
      <c r="C1192" s="95" t="s">
        <v>536</v>
      </c>
      <c r="D1192" s="95">
        <v>2012</v>
      </c>
      <c r="E1192" s="95">
        <v>2347561</v>
      </c>
      <c r="F1192" s="95" t="s">
        <v>649</v>
      </c>
      <c r="G1192" s="95">
        <v>0</v>
      </c>
      <c r="H1192" s="95" t="s">
        <v>649</v>
      </c>
      <c r="I1192" s="95">
        <v>0</v>
      </c>
    </row>
    <row r="1193" spans="1:9" ht="14.1" customHeight="1" x14ac:dyDescent="0.2">
      <c r="A1193" s="95" t="s">
        <v>2469</v>
      </c>
      <c r="B1193" s="95">
        <v>76</v>
      </c>
      <c r="C1193" s="95" t="s">
        <v>538</v>
      </c>
      <c r="D1193" s="95">
        <v>2012</v>
      </c>
      <c r="E1193" s="95">
        <v>29622665</v>
      </c>
      <c r="F1193" s="95" t="s">
        <v>648</v>
      </c>
      <c r="G1193" s="95">
        <v>0</v>
      </c>
      <c r="H1193" s="95" t="s">
        <v>648</v>
      </c>
      <c r="I1193" s="95">
        <v>0</v>
      </c>
    </row>
    <row r="1194" spans="1:9" ht="14.1" customHeight="1" x14ac:dyDescent="0.2">
      <c r="A1194" s="95" t="s">
        <v>2470</v>
      </c>
      <c r="B1194" s="95">
        <v>76</v>
      </c>
      <c r="C1194" s="95" t="s">
        <v>540</v>
      </c>
      <c r="D1194" s="95">
        <v>2012</v>
      </c>
      <c r="E1194" s="95">
        <v>3391022.5393599998</v>
      </c>
      <c r="F1194" s="95" t="s">
        <v>659</v>
      </c>
      <c r="G1194" s="95">
        <v>0</v>
      </c>
      <c r="H1194" s="95" t="s">
        <v>659</v>
      </c>
      <c r="I1194" s="95">
        <v>0</v>
      </c>
    </row>
    <row r="1195" spans="1:9" ht="14.1" customHeight="1" x14ac:dyDescent="0.2">
      <c r="A1195" s="95" t="s">
        <v>2471</v>
      </c>
      <c r="B1195" s="95">
        <v>76</v>
      </c>
      <c r="C1195" s="95" t="s">
        <v>542</v>
      </c>
      <c r="D1195" s="95">
        <v>2012</v>
      </c>
      <c r="E1195" s="95">
        <v>3608000</v>
      </c>
      <c r="F1195" s="95" t="s">
        <v>562</v>
      </c>
      <c r="G1195" s="95">
        <v>0</v>
      </c>
      <c r="H1195" s="95" t="s">
        <v>562</v>
      </c>
      <c r="I1195" s="95">
        <v>0</v>
      </c>
    </row>
    <row r="1196" spans="1:9" ht="14.1" customHeight="1" x14ac:dyDescent="0.2">
      <c r="A1196" s="95" t="s">
        <v>2472</v>
      </c>
      <c r="B1196" s="95">
        <v>76</v>
      </c>
      <c r="C1196" s="95" t="s">
        <v>546</v>
      </c>
      <c r="D1196" s="95">
        <v>2012</v>
      </c>
      <c r="E1196" s="95">
        <v>2409134.53616999</v>
      </c>
      <c r="F1196" s="95" t="s">
        <v>589</v>
      </c>
      <c r="G1196" s="95">
        <v>0</v>
      </c>
      <c r="H1196" s="95" t="s">
        <v>589</v>
      </c>
      <c r="I1196" s="95">
        <v>0</v>
      </c>
    </row>
    <row r="1197" spans="1:9" ht="14.1" customHeight="1" x14ac:dyDescent="0.2">
      <c r="A1197" s="95" t="s">
        <v>2473</v>
      </c>
      <c r="B1197" s="95">
        <v>76</v>
      </c>
      <c r="C1197" s="95" t="s">
        <v>488</v>
      </c>
      <c r="D1197" s="95">
        <v>2012</v>
      </c>
      <c r="E1197" s="95">
        <v>30141481</v>
      </c>
      <c r="F1197" s="95" t="s">
        <v>660</v>
      </c>
      <c r="G1197" s="95">
        <v>0</v>
      </c>
      <c r="H1197" s="95" t="s">
        <v>660</v>
      </c>
      <c r="I1197" s="95">
        <v>0</v>
      </c>
    </row>
    <row r="1198" spans="1:9" ht="14.1" customHeight="1" x14ac:dyDescent="0.2">
      <c r="A1198" s="95" t="s">
        <v>2474</v>
      </c>
      <c r="B1198" s="95">
        <v>76</v>
      </c>
      <c r="C1198" s="95" t="s">
        <v>487</v>
      </c>
      <c r="D1198" s="95">
        <v>2012</v>
      </c>
      <c r="E1198" s="95">
        <v>7833696.9349999996</v>
      </c>
      <c r="F1198" s="95" t="s">
        <v>1280</v>
      </c>
      <c r="G1198" s="95">
        <v>0</v>
      </c>
      <c r="H1198" s="95" t="s">
        <v>1280</v>
      </c>
      <c r="I1198" s="95">
        <v>0</v>
      </c>
    </row>
    <row r="1199" spans="1:9" ht="14.1" customHeight="1" x14ac:dyDescent="0.2">
      <c r="A1199" s="95" t="s">
        <v>2475</v>
      </c>
      <c r="B1199" s="95">
        <v>76</v>
      </c>
      <c r="C1199" s="95" t="s">
        <v>486</v>
      </c>
      <c r="D1199" s="95">
        <v>2012</v>
      </c>
      <c r="E1199" s="95">
        <v>6555416</v>
      </c>
      <c r="F1199" s="95" t="s">
        <v>1273</v>
      </c>
      <c r="G1199" s="95">
        <v>0</v>
      </c>
      <c r="H1199" s="95" t="s">
        <v>1273</v>
      </c>
      <c r="I1199" s="95">
        <v>0</v>
      </c>
    </row>
    <row r="1200" spans="1:9" ht="14.1" customHeight="1" x14ac:dyDescent="0.2">
      <c r="A1200" s="95" t="s">
        <v>2476</v>
      </c>
      <c r="B1200" s="95">
        <v>76</v>
      </c>
      <c r="C1200" s="95" t="s">
        <v>482</v>
      </c>
      <c r="D1200" s="95">
        <v>2012</v>
      </c>
      <c r="E1200" s="95">
        <v>11309000</v>
      </c>
      <c r="F1200" s="95" t="s">
        <v>1153</v>
      </c>
      <c r="G1200" s="95">
        <v>0</v>
      </c>
      <c r="H1200" s="95" t="s">
        <v>1153</v>
      </c>
      <c r="I1200" s="95">
        <v>0</v>
      </c>
    </row>
    <row r="1201" spans="1:9" ht="14.1" customHeight="1" x14ac:dyDescent="0.2">
      <c r="A1201" s="95" t="s">
        <v>2477</v>
      </c>
      <c r="B1201" s="95">
        <v>76</v>
      </c>
      <c r="C1201" s="95" t="s">
        <v>490</v>
      </c>
      <c r="D1201" s="95">
        <v>2012</v>
      </c>
      <c r="E1201" s="95">
        <v>14585046</v>
      </c>
      <c r="F1201" s="95" t="s">
        <v>1273</v>
      </c>
      <c r="G1201" s="95">
        <v>0</v>
      </c>
      <c r="H1201" s="95" t="s">
        <v>1273</v>
      </c>
      <c r="I1201" s="95">
        <v>0</v>
      </c>
    </row>
    <row r="1202" spans="1:9" ht="14.1" customHeight="1" x14ac:dyDescent="0.2">
      <c r="A1202" s="95" t="s">
        <v>2478</v>
      </c>
      <c r="B1202" s="95">
        <v>76</v>
      </c>
      <c r="C1202" s="95" t="s">
        <v>481</v>
      </c>
      <c r="D1202" s="95">
        <v>2012</v>
      </c>
      <c r="E1202" s="95">
        <v>87008207</v>
      </c>
      <c r="F1202" s="95" t="s">
        <v>1154</v>
      </c>
      <c r="G1202" s="95">
        <v>0</v>
      </c>
      <c r="H1202" s="95" t="s">
        <v>1154</v>
      </c>
      <c r="I1202" s="95">
        <v>0</v>
      </c>
    </row>
    <row r="1203" spans="1:9" ht="14.1" customHeight="1" x14ac:dyDescent="0.2">
      <c r="A1203" s="95" t="s">
        <v>2479</v>
      </c>
      <c r="B1203" s="95">
        <v>76</v>
      </c>
      <c r="C1203" s="95" t="s">
        <v>484</v>
      </c>
      <c r="D1203" s="95">
        <v>2012</v>
      </c>
      <c r="E1203" s="95">
        <v>2883311</v>
      </c>
      <c r="F1203" s="95" t="s">
        <v>837</v>
      </c>
      <c r="G1203" s="95">
        <v>0</v>
      </c>
      <c r="H1203" s="95" t="s">
        <v>837</v>
      </c>
      <c r="I1203" s="95">
        <v>0</v>
      </c>
    </row>
    <row r="1204" spans="1:9" ht="14.1" customHeight="1" x14ac:dyDescent="0.2">
      <c r="A1204" s="95" t="s">
        <v>2480</v>
      </c>
      <c r="B1204" s="95">
        <v>76</v>
      </c>
      <c r="C1204" s="95" t="s">
        <v>485</v>
      </c>
      <c r="D1204" s="95">
        <v>2012</v>
      </c>
      <c r="E1204" s="95">
        <v>5100540.6830000002</v>
      </c>
      <c r="F1204" s="95" t="s">
        <v>1273</v>
      </c>
      <c r="G1204" s="95">
        <v>0</v>
      </c>
      <c r="H1204" s="95" t="s">
        <v>1273</v>
      </c>
      <c r="I1204" s="95">
        <v>0</v>
      </c>
    </row>
    <row r="1205" spans="1:9" ht="14.1" customHeight="1" x14ac:dyDescent="0.2">
      <c r="A1205" s="95" t="s">
        <v>2481</v>
      </c>
      <c r="B1205" s="95">
        <v>76</v>
      </c>
      <c r="C1205" s="95" t="s">
        <v>489</v>
      </c>
      <c r="D1205" s="95">
        <v>2012</v>
      </c>
      <c r="E1205" s="95">
        <v>16124140</v>
      </c>
      <c r="F1205" s="95" t="s">
        <v>1273</v>
      </c>
      <c r="G1205" s="95">
        <v>0</v>
      </c>
      <c r="H1205" s="95" t="s">
        <v>1273</v>
      </c>
      <c r="I1205" s="95">
        <v>0</v>
      </c>
    </row>
    <row r="1206" spans="1:9" ht="14.1" customHeight="1" x14ac:dyDescent="0.2">
      <c r="A1206" s="95" t="s">
        <v>2482</v>
      </c>
      <c r="B1206" s="95">
        <v>77</v>
      </c>
      <c r="C1206" s="95" t="s">
        <v>520</v>
      </c>
      <c r="D1206" s="95">
        <v>2012</v>
      </c>
      <c r="E1206" s="95">
        <v>963784</v>
      </c>
      <c r="F1206" s="95" t="s">
        <v>574</v>
      </c>
      <c r="G1206" s="95">
        <v>0</v>
      </c>
      <c r="H1206" s="95" t="s">
        <v>574</v>
      </c>
      <c r="I1206" s="95">
        <v>0</v>
      </c>
    </row>
    <row r="1207" spans="1:9" ht="14.1" customHeight="1" x14ac:dyDescent="0.2">
      <c r="A1207" s="95" t="s">
        <v>2483</v>
      </c>
      <c r="B1207" s="95">
        <v>77</v>
      </c>
      <c r="C1207" s="95" t="s">
        <v>524</v>
      </c>
      <c r="D1207" s="95">
        <v>2012</v>
      </c>
      <c r="E1207" s="95">
        <v>201015907</v>
      </c>
      <c r="F1207" s="95" t="s">
        <v>645</v>
      </c>
      <c r="G1207" s="95">
        <v>0</v>
      </c>
      <c r="H1207" s="95" t="s">
        <v>645</v>
      </c>
      <c r="I1207" s="95">
        <v>0</v>
      </c>
    </row>
    <row r="1208" spans="1:9" ht="14.1" customHeight="1" x14ac:dyDescent="0.2">
      <c r="A1208" s="95" t="s">
        <v>2484</v>
      </c>
      <c r="B1208" s="95">
        <v>77</v>
      </c>
      <c r="C1208" s="95" t="s">
        <v>528</v>
      </c>
      <c r="D1208" s="95">
        <v>2012</v>
      </c>
      <c r="E1208" s="95">
        <v>26571226</v>
      </c>
      <c r="F1208" s="95" t="s">
        <v>1152</v>
      </c>
      <c r="G1208" s="95">
        <v>0</v>
      </c>
      <c r="H1208" s="95" t="s">
        <v>1152</v>
      </c>
      <c r="I1208" s="95">
        <v>0</v>
      </c>
    </row>
    <row r="1209" spans="1:9" ht="14.1" customHeight="1" x14ac:dyDescent="0.2">
      <c r="A1209" s="95" t="s">
        <v>2485</v>
      </c>
      <c r="B1209" s="95">
        <v>77</v>
      </c>
      <c r="C1209" s="95" t="s">
        <v>532</v>
      </c>
      <c r="D1209" s="95">
        <v>2012</v>
      </c>
      <c r="E1209" s="95">
        <v>140650</v>
      </c>
      <c r="F1209" s="95" t="s">
        <v>1079</v>
      </c>
      <c r="G1209" s="95">
        <v>0</v>
      </c>
      <c r="H1209" s="95" t="s">
        <v>1079</v>
      </c>
      <c r="I1209" s="95">
        <v>0</v>
      </c>
    </row>
    <row r="1210" spans="1:9" ht="14.1" customHeight="1" x14ac:dyDescent="0.2">
      <c r="A1210" s="95" t="s">
        <v>2486</v>
      </c>
      <c r="B1210" s="95">
        <v>77</v>
      </c>
      <c r="C1210" s="95" t="s">
        <v>534</v>
      </c>
      <c r="D1210" s="95">
        <v>2012</v>
      </c>
      <c r="E1210" s="95">
        <v>175090</v>
      </c>
      <c r="F1210" s="95" t="s">
        <v>648</v>
      </c>
      <c r="G1210" s="95">
        <v>0</v>
      </c>
      <c r="H1210" s="95" t="s">
        <v>648</v>
      </c>
      <c r="I1210" s="95">
        <v>0</v>
      </c>
    </row>
    <row r="1211" spans="1:9" ht="14.1" customHeight="1" x14ac:dyDescent="0.2">
      <c r="A1211" s="95" t="s">
        <v>2487</v>
      </c>
      <c r="B1211" s="95">
        <v>77</v>
      </c>
      <c r="C1211" s="95" t="s">
        <v>536</v>
      </c>
      <c r="D1211" s="95">
        <v>2012</v>
      </c>
      <c r="E1211" s="95">
        <v>15458478</v>
      </c>
      <c r="F1211" s="95" t="s">
        <v>649</v>
      </c>
      <c r="G1211" s="95">
        <v>0</v>
      </c>
      <c r="H1211" s="95" t="s">
        <v>649</v>
      </c>
      <c r="I1211" s="95">
        <v>0</v>
      </c>
    </row>
    <row r="1212" spans="1:9" ht="14.1" customHeight="1" x14ac:dyDescent="0.2">
      <c r="A1212" s="95" t="s">
        <v>2488</v>
      </c>
      <c r="B1212" s="95">
        <v>77</v>
      </c>
      <c r="C1212" s="95" t="s">
        <v>538</v>
      </c>
      <c r="D1212" s="95">
        <v>2012</v>
      </c>
      <c r="E1212" s="95">
        <v>17070000</v>
      </c>
      <c r="F1212" s="95" t="s">
        <v>648</v>
      </c>
      <c r="G1212" s="95">
        <v>0</v>
      </c>
      <c r="H1212" s="95" t="s">
        <v>648</v>
      </c>
      <c r="I1212" s="95">
        <v>0</v>
      </c>
    </row>
    <row r="1213" spans="1:9" ht="14.1" customHeight="1" x14ac:dyDescent="0.2">
      <c r="A1213" s="95" t="s">
        <v>2489</v>
      </c>
      <c r="B1213" s="95">
        <v>77</v>
      </c>
      <c r="C1213" s="95" t="s">
        <v>542</v>
      </c>
      <c r="D1213" s="95">
        <v>2012</v>
      </c>
      <c r="E1213" s="95">
        <v>1645000</v>
      </c>
      <c r="F1213" s="95" t="s">
        <v>562</v>
      </c>
      <c r="G1213" s="95">
        <v>0</v>
      </c>
      <c r="H1213" s="95" t="s">
        <v>562</v>
      </c>
      <c r="I1213" s="95">
        <v>0</v>
      </c>
    </row>
    <row r="1214" spans="1:9" ht="14.1" customHeight="1" x14ac:dyDescent="0.2">
      <c r="A1214" s="95" t="s">
        <v>2490</v>
      </c>
      <c r="B1214" s="95">
        <v>77</v>
      </c>
      <c r="C1214" s="95" t="s">
        <v>546</v>
      </c>
      <c r="D1214" s="95">
        <v>2012</v>
      </c>
      <c r="E1214" s="95">
        <v>2297842.1568800001</v>
      </c>
      <c r="F1214" s="95" t="s">
        <v>589</v>
      </c>
      <c r="G1214" s="95">
        <v>0</v>
      </c>
      <c r="H1214" s="95" t="s">
        <v>589</v>
      </c>
      <c r="I1214" s="95">
        <v>0</v>
      </c>
    </row>
    <row r="1215" spans="1:9" ht="14.1" customHeight="1" x14ac:dyDescent="0.2">
      <c r="A1215" s="95" t="s">
        <v>2491</v>
      </c>
      <c r="B1215" s="95">
        <v>77</v>
      </c>
      <c r="C1215" s="95" t="s">
        <v>481</v>
      </c>
      <c r="D1215" s="95">
        <v>2012</v>
      </c>
      <c r="E1215" s="95">
        <v>71145166</v>
      </c>
      <c r="F1215" s="95" t="s">
        <v>1154</v>
      </c>
      <c r="G1215" s="95">
        <v>0</v>
      </c>
      <c r="H1215" s="95" t="s">
        <v>1154</v>
      </c>
      <c r="I1215" s="95">
        <v>0</v>
      </c>
    </row>
    <row r="1216" spans="1:9" ht="14.1" customHeight="1" x14ac:dyDescent="0.2">
      <c r="A1216" s="95" t="s">
        <v>2492</v>
      </c>
      <c r="B1216" s="95">
        <v>78</v>
      </c>
      <c r="C1216" s="95" t="s">
        <v>518</v>
      </c>
      <c r="D1216" s="95">
        <v>2012</v>
      </c>
      <c r="E1216" s="95">
        <v>1852160</v>
      </c>
      <c r="F1216" s="95" t="s">
        <v>615</v>
      </c>
      <c r="G1216" s="95">
        <v>0</v>
      </c>
      <c r="H1216" s="95" t="s">
        <v>615</v>
      </c>
      <c r="I1216" s="95">
        <v>0</v>
      </c>
    </row>
    <row r="1217" spans="1:9" ht="14.1" customHeight="1" x14ac:dyDescent="0.2">
      <c r="A1217" s="95" t="s">
        <v>2493</v>
      </c>
      <c r="B1217" s="95">
        <v>78</v>
      </c>
      <c r="C1217" s="95" t="s">
        <v>520</v>
      </c>
      <c r="D1217" s="95">
        <v>2012</v>
      </c>
      <c r="E1217" s="95">
        <v>72162.75</v>
      </c>
      <c r="F1217" s="95" t="s">
        <v>574</v>
      </c>
      <c r="G1217" s="95">
        <v>0</v>
      </c>
      <c r="H1217" s="95" t="s">
        <v>574</v>
      </c>
      <c r="I1217" s="95">
        <v>0</v>
      </c>
    </row>
    <row r="1218" spans="1:9" ht="14.1" customHeight="1" x14ac:dyDescent="0.2">
      <c r="A1218" s="95" t="s">
        <v>2494</v>
      </c>
      <c r="B1218" s="95">
        <v>78</v>
      </c>
      <c r="C1218" s="95" t="s">
        <v>524</v>
      </c>
      <c r="D1218" s="95">
        <v>2012</v>
      </c>
      <c r="E1218" s="95">
        <v>8186896</v>
      </c>
      <c r="F1218" s="95" t="s">
        <v>645</v>
      </c>
      <c r="G1218" s="95">
        <v>0</v>
      </c>
      <c r="H1218" s="95" t="s">
        <v>645</v>
      </c>
      <c r="I1218" s="95">
        <v>0</v>
      </c>
    </row>
    <row r="1219" spans="1:9" ht="14.1" customHeight="1" x14ac:dyDescent="0.2">
      <c r="A1219" s="95" t="s">
        <v>2495</v>
      </c>
      <c r="B1219" s="95">
        <v>78</v>
      </c>
      <c r="C1219" s="95" t="s">
        <v>526</v>
      </c>
      <c r="D1219" s="95">
        <v>2012</v>
      </c>
      <c r="E1219" s="95">
        <v>1202000</v>
      </c>
      <c r="F1219" s="95" t="s">
        <v>1155</v>
      </c>
      <c r="G1219" s="95">
        <v>0</v>
      </c>
      <c r="H1219" s="95" t="s">
        <v>1155</v>
      </c>
      <c r="I1219" s="95">
        <v>0</v>
      </c>
    </row>
    <row r="1220" spans="1:9" ht="14.1" customHeight="1" x14ac:dyDescent="0.2">
      <c r="A1220" s="95" t="s">
        <v>2496</v>
      </c>
      <c r="B1220" s="95">
        <v>78</v>
      </c>
      <c r="C1220" s="95" t="s">
        <v>528</v>
      </c>
      <c r="D1220" s="95">
        <v>2012</v>
      </c>
      <c r="E1220" s="95">
        <v>3426076</v>
      </c>
      <c r="F1220" s="95" t="s">
        <v>1152</v>
      </c>
      <c r="G1220" s="95">
        <v>0</v>
      </c>
      <c r="H1220" s="95" t="s">
        <v>1152</v>
      </c>
      <c r="I1220" s="95">
        <v>0</v>
      </c>
    </row>
    <row r="1221" spans="1:9" ht="14.1" customHeight="1" x14ac:dyDescent="0.2">
      <c r="A1221" s="95" t="s">
        <v>2497</v>
      </c>
      <c r="B1221" s="95">
        <v>78</v>
      </c>
      <c r="C1221" s="95" t="s">
        <v>530</v>
      </c>
      <c r="D1221" s="95">
        <v>2012</v>
      </c>
      <c r="E1221" s="95">
        <v>1489130</v>
      </c>
      <c r="F1221" s="95" t="s">
        <v>1156</v>
      </c>
      <c r="G1221" s="95" t="s">
        <v>565</v>
      </c>
      <c r="H1221" s="95" t="s">
        <v>1156</v>
      </c>
      <c r="I1221" s="95" t="s">
        <v>802</v>
      </c>
    </row>
    <row r="1222" spans="1:9" ht="14.1" customHeight="1" x14ac:dyDescent="0.2">
      <c r="A1222" s="95" t="s">
        <v>2498</v>
      </c>
      <c r="B1222" s="95">
        <v>78</v>
      </c>
      <c r="C1222" s="95" t="s">
        <v>532</v>
      </c>
      <c r="D1222" s="95">
        <v>2012</v>
      </c>
      <c r="E1222" s="95">
        <v>146183</v>
      </c>
      <c r="F1222" s="95" t="s">
        <v>1079</v>
      </c>
      <c r="G1222" s="95">
        <v>0</v>
      </c>
      <c r="H1222" s="95" t="s">
        <v>1079</v>
      </c>
      <c r="I1222" s="95">
        <v>0</v>
      </c>
    </row>
    <row r="1223" spans="1:9" ht="14.1" customHeight="1" x14ac:dyDescent="0.2">
      <c r="A1223" s="95" t="s">
        <v>2499</v>
      </c>
      <c r="B1223" s="95">
        <v>78</v>
      </c>
      <c r="C1223" s="95" t="s">
        <v>534</v>
      </c>
      <c r="D1223" s="95">
        <v>2012</v>
      </c>
      <c r="E1223" s="95">
        <v>173139</v>
      </c>
      <c r="F1223" s="95" t="s">
        <v>648</v>
      </c>
      <c r="G1223" s="95" t="s">
        <v>573</v>
      </c>
      <c r="H1223" s="95" t="s">
        <v>648</v>
      </c>
      <c r="I1223" s="95" t="s">
        <v>816</v>
      </c>
    </row>
    <row r="1224" spans="1:9" ht="14.1" customHeight="1" x14ac:dyDescent="0.2">
      <c r="A1224" s="95" t="s">
        <v>2500</v>
      </c>
      <c r="B1224" s="95">
        <v>78</v>
      </c>
      <c r="C1224" s="95" t="s">
        <v>536</v>
      </c>
      <c r="D1224" s="95">
        <v>2012</v>
      </c>
      <c r="E1224" s="95">
        <v>1855425</v>
      </c>
      <c r="F1224" s="95" t="s">
        <v>649</v>
      </c>
      <c r="G1224" s="95">
        <v>0</v>
      </c>
      <c r="H1224" s="95" t="s">
        <v>649</v>
      </c>
      <c r="I1224" s="95">
        <v>0</v>
      </c>
    </row>
    <row r="1225" spans="1:9" ht="14.1" customHeight="1" x14ac:dyDescent="0.2">
      <c r="A1225" s="95" t="s">
        <v>2501</v>
      </c>
      <c r="B1225" s="95">
        <v>78</v>
      </c>
      <c r="C1225" s="95" t="s">
        <v>538</v>
      </c>
      <c r="D1225" s="95">
        <v>2012</v>
      </c>
      <c r="E1225" s="95">
        <v>2010163</v>
      </c>
      <c r="F1225" s="95" t="s">
        <v>648</v>
      </c>
      <c r="G1225" s="95">
        <v>0</v>
      </c>
      <c r="H1225" s="95" t="s">
        <v>648</v>
      </c>
      <c r="I1225" s="95">
        <v>0</v>
      </c>
    </row>
    <row r="1226" spans="1:9" ht="14.1" customHeight="1" x14ac:dyDescent="0.2">
      <c r="A1226" s="95" t="s">
        <v>2502</v>
      </c>
      <c r="B1226" s="95">
        <v>78</v>
      </c>
      <c r="C1226" s="95" t="s">
        <v>540</v>
      </c>
      <c r="D1226" s="95">
        <v>2012</v>
      </c>
      <c r="E1226" s="95">
        <v>136314</v>
      </c>
      <c r="F1226" s="95" t="s">
        <v>1157</v>
      </c>
      <c r="G1226" s="95" t="s">
        <v>565</v>
      </c>
      <c r="H1226" s="95" t="s">
        <v>1157</v>
      </c>
      <c r="I1226" s="95" t="s">
        <v>802</v>
      </c>
    </row>
    <row r="1227" spans="1:9" ht="14.1" customHeight="1" x14ac:dyDescent="0.2">
      <c r="A1227" s="95" t="s">
        <v>2503</v>
      </c>
      <c r="B1227" s="95">
        <v>78</v>
      </c>
      <c r="C1227" s="95" t="s">
        <v>542</v>
      </c>
      <c r="D1227" s="95">
        <v>2012</v>
      </c>
      <c r="E1227" s="95">
        <v>97000</v>
      </c>
      <c r="F1227" s="95" t="s">
        <v>825</v>
      </c>
      <c r="G1227" s="95" t="s">
        <v>573</v>
      </c>
      <c r="H1227" s="95" t="s">
        <v>825</v>
      </c>
      <c r="I1227" s="95" t="s">
        <v>816</v>
      </c>
    </row>
    <row r="1228" spans="1:9" ht="14.1" customHeight="1" x14ac:dyDescent="0.2">
      <c r="A1228" s="95" t="s">
        <v>2504</v>
      </c>
      <c r="B1228" s="95">
        <v>78</v>
      </c>
      <c r="C1228" s="95" t="s">
        <v>544</v>
      </c>
      <c r="D1228" s="95">
        <v>2012</v>
      </c>
      <c r="E1228" s="95">
        <v>561199</v>
      </c>
      <c r="F1228" s="95" t="s">
        <v>1089</v>
      </c>
      <c r="G1228" s="95" t="s">
        <v>565</v>
      </c>
      <c r="H1228" s="95" t="s">
        <v>1089</v>
      </c>
      <c r="I1228" s="95" t="s">
        <v>802</v>
      </c>
    </row>
    <row r="1229" spans="1:9" ht="14.1" customHeight="1" x14ac:dyDescent="0.2">
      <c r="A1229" s="95" t="s">
        <v>2505</v>
      </c>
      <c r="B1229" s="95">
        <v>78</v>
      </c>
      <c r="C1229" s="95" t="s">
        <v>546</v>
      </c>
      <c r="D1229" s="95">
        <v>2012</v>
      </c>
      <c r="E1229" s="95">
        <v>1050376</v>
      </c>
      <c r="F1229" s="95" t="s">
        <v>1158</v>
      </c>
      <c r="G1229" s="95" t="s">
        <v>565</v>
      </c>
      <c r="H1229" s="95" t="s">
        <v>1158</v>
      </c>
      <c r="I1229" s="95" t="s">
        <v>802</v>
      </c>
    </row>
    <row r="1230" spans="1:9" ht="14.1" customHeight="1" x14ac:dyDescent="0.2">
      <c r="A1230" s="95" t="s">
        <v>2506</v>
      </c>
      <c r="B1230" s="95">
        <v>78</v>
      </c>
      <c r="C1230" s="95" t="s">
        <v>548</v>
      </c>
      <c r="D1230" s="95">
        <v>2012</v>
      </c>
      <c r="E1230" s="95">
        <v>1535149</v>
      </c>
      <c r="F1230" s="95" t="s">
        <v>615</v>
      </c>
      <c r="G1230" s="95">
        <v>0</v>
      </c>
      <c r="H1230" s="95" t="s">
        <v>615</v>
      </c>
      <c r="I1230" s="95">
        <v>0</v>
      </c>
    </row>
    <row r="1231" spans="1:9" ht="14.1" customHeight="1" x14ac:dyDescent="0.2">
      <c r="A1231" s="95" t="s">
        <v>2507</v>
      </c>
      <c r="B1231" s="95">
        <v>78</v>
      </c>
      <c r="C1231" s="95" t="s">
        <v>483</v>
      </c>
      <c r="D1231" s="95">
        <v>2012</v>
      </c>
      <c r="E1231" s="95">
        <v>63834</v>
      </c>
      <c r="F1231" s="95" t="s">
        <v>815</v>
      </c>
      <c r="G1231" s="95" t="s">
        <v>572</v>
      </c>
      <c r="H1231" s="95" t="s">
        <v>815</v>
      </c>
      <c r="I1231" s="95" t="s">
        <v>814</v>
      </c>
    </row>
    <row r="1232" spans="1:9" ht="14.1" customHeight="1" x14ac:dyDescent="0.2">
      <c r="A1232" s="95" t="s">
        <v>2508</v>
      </c>
      <c r="B1232" s="95">
        <v>78</v>
      </c>
      <c r="C1232" s="95" t="s">
        <v>488</v>
      </c>
      <c r="D1232" s="95">
        <v>2012</v>
      </c>
      <c r="E1232" s="95">
        <v>2144644</v>
      </c>
      <c r="F1232" s="95" t="s">
        <v>660</v>
      </c>
      <c r="G1232" s="95">
        <v>0</v>
      </c>
      <c r="H1232" s="95" t="s">
        <v>660</v>
      </c>
      <c r="I1232" s="95">
        <v>0</v>
      </c>
    </row>
    <row r="1233" spans="1:9" ht="14.1" customHeight="1" x14ac:dyDescent="0.2">
      <c r="A1233" s="95" t="s">
        <v>2509</v>
      </c>
      <c r="B1233" s="95">
        <v>78</v>
      </c>
      <c r="C1233" s="95" t="s">
        <v>487</v>
      </c>
      <c r="D1233" s="95">
        <v>2012</v>
      </c>
      <c r="E1233" s="95">
        <v>1109844</v>
      </c>
      <c r="F1233" s="95" t="s">
        <v>815</v>
      </c>
      <c r="G1233" s="95">
        <v>0</v>
      </c>
      <c r="H1233" s="95" t="s">
        <v>815</v>
      </c>
      <c r="I1233" s="95">
        <v>0</v>
      </c>
    </row>
    <row r="1234" spans="1:9" ht="14.1" customHeight="1" x14ac:dyDescent="0.2">
      <c r="A1234" s="95" t="s">
        <v>2510</v>
      </c>
      <c r="B1234" s="95">
        <v>78</v>
      </c>
      <c r="C1234" s="95" t="s">
        <v>486</v>
      </c>
      <c r="D1234" s="95">
        <v>2012</v>
      </c>
      <c r="E1234" s="95">
        <v>159879</v>
      </c>
      <c r="F1234" s="95" t="s">
        <v>815</v>
      </c>
      <c r="G1234" s="95">
        <v>0</v>
      </c>
      <c r="H1234" s="95" t="s">
        <v>815</v>
      </c>
      <c r="I1234" s="95">
        <v>0</v>
      </c>
    </row>
    <row r="1235" spans="1:9" ht="14.1" customHeight="1" x14ac:dyDescent="0.2">
      <c r="A1235" s="95" t="s">
        <v>2511</v>
      </c>
      <c r="B1235" s="95">
        <v>78</v>
      </c>
      <c r="C1235" s="95" t="s">
        <v>482</v>
      </c>
      <c r="D1235" s="95">
        <v>2012</v>
      </c>
      <c r="E1235" s="95">
        <v>1159000</v>
      </c>
      <c r="F1235" s="95" t="s">
        <v>1153</v>
      </c>
      <c r="G1235" s="95">
        <v>0</v>
      </c>
      <c r="H1235" s="95" t="s">
        <v>1153</v>
      </c>
      <c r="I1235" s="95">
        <v>0</v>
      </c>
    </row>
    <row r="1236" spans="1:9" ht="14.1" customHeight="1" x14ac:dyDescent="0.2">
      <c r="A1236" s="95" t="s">
        <v>2512</v>
      </c>
      <c r="B1236" s="95">
        <v>78</v>
      </c>
      <c r="C1236" s="95" t="s">
        <v>490</v>
      </c>
      <c r="D1236" s="95">
        <v>2012</v>
      </c>
      <c r="E1236" s="95">
        <v>663908</v>
      </c>
      <c r="F1236" s="95" t="s">
        <v>815</v>
      </c>
      <c r="G1236" s="95">
        <v>0</v>
      </c>
      <c r="H1236" s="95" t="s">
        <v>815</v>
      </c>
      <c r="I1236" s="95">
        <v>0</v>
      </c>
    </row>
    <row r="1237" spans="1:9" ht="14.1" customHeight="1" x14ac:dyDescent="0.2">
      <c r="A1237" s="95" t="s">
        <v>2513</v>
      </c>
      <c r="B1237" s="95">
        <v>78</v>
      </c>
      <c r="C1237" s="95" t="s">
        <v>481</v>
      </c>
      <c r="D1237" s="95">
        <v>2012</v>
      </c>
      <c r="E1237" s="95">
        <v>4810170</v>
      </c>
      <c r="F1237" s="95" t="s">
        <v>1154</v>
      </c>
      <c r="G1237" s="95">
        <v>0</v>
      </c>
      <c r="H1237" s="95" t="s">
        <v>1154</v>
      </c>
      <c r="I1237" s="95">
        <v>0</v>
      </c>
    </row>
    <row r="1238" spans="1:9" ht="14.1" customHeight="1" x14ac:dyDescent="0.2">
      <c r="A1238" s="95" t="s">
        <v>2514</v>
      </c>
      <c r="B1238" s="95">
        <v>78</v>
      </c>
      <c r="C1238" s="95" t="s">
        <v>484</v>
      </c>
      <c r="D1238" s="95">
        <v>2012</v>
      </c>
      <c r="E1238" s="95">
        <v>89537</v>
      </c>
      <c r="F1238" s="95" t="s">
        <v>815</v>
      </c>
      <c r="G1238" s="95">
        <v>0</v>
      </c>
      <c r="H1238" s="95" t="s">
        <v>815</v>
      </c>
      <c r="I1238" s="95">
        <v>0</v>
      </c>
    </row>
    <row r="1239" spans="1:9" ht="14.1" customHeight="1" x14ac:dyDescent="0.2">
      <c r="A1239" s="95" t="s">
        <v>2515</v>
      </c>
      <c r="B1239" s="95">
        <v>78</v>
      </c>
      <c r="C1239" s="95" t="s">
        <v>485</v>
      </c>
      <c r="D1239" s="95">
        <v>2012</v>
      </c>
      <c r="E1239" s="95">
        <v>4095542</v>
      </c>
      <c r="F1239" s="95" t="s">
        <v>815</v>
      </c>
      <c r="G1239" s="95">
        <v>0</v>
      </c>
      <c r="H1239" s="95" t="s">
        <v>815</v>
      </c>
      <c r="I1239" s="95">
        <v>0</v>
      </c>
    </row>
    <row r="1240" spans="1:9" ht="14.1" customHeight="1" x14ac:dyDescent="0.2">
      <c r="A1240" s="95" t="s">
        <v>2516</v>
      </c>
      <c r="B1240" s="95">
        <v>78</v>
      </c>
      <c r="C1240" s="95" t="s">
        <v>489</v>
      </c>
      <c r="D1240" s="95">
        <v>2012</v>
      </c>
      <c r="E1240" s="95">
        <v>1479455</v>
      </c>
      <c r="F1240" s="95" t="s">
        <v>815</v>
      </c>
      <c r="G1240" s="95" t="s">
        <v>573</v>
      </c>
      <c r="H1240" s="95" t="s">
        <v>815</v>
      </c>
      <c r="I1240" s="95" t="s">
        <v>816</v>
      </c>
    </row>
    <row r="1241" spans="1:9" ht="14.1" customHeight="1" x14ac:dyDescent="0.2">
      <c r="A1241" s="95" t="s">
        <v>2517</v>
      </c>
      <c r="B1241" s="95">
        <v>79</v>
      </c>
      <c r="C1241" s="95" t="s">
        <v>518</v>
      </c>
      <c r="D1241" s="95">
        <v>2012</v>
      </c>
      <c r="E1241" s="95">
        <v>225288304.88299999</v>
      </c>
      <c r="F1241" s="95" t="s">
        <v>556</v>
      </c>
      <c r="G1241" s="95" t="s">
        <v>907</v>
      </c>
      <c r="H1241" s="95" t="s">
        <v>556</v>
      </c>
      <c r="I1241" s="95" t="s">
        <v>908</v>
      </c>
    </row>
    <row r="1242" spans="1:9" ht="14.1" customHeight="1" x14ac:dyDescent="0.2">
      <c r="A1242" s="95" t="s">
        <v>2518</v>
      </c>
      <c r="B1242" s="95">
        <v>79</v>
      </c>
      <c r="C1242" s="95" t="s">
        <v>524</v>
      </c>
      <c r="D1242" s="95">
        <v>2012</v>
      </c>
      <c r="E1242" s="95">
        <v>29894867</v>
      </c>
      <c r="F1242" s="95" t="s">
        <v>645</v>
      </c>
      <c r="G1242" s="95">
        <v>0</v>
      </c>
      <c r="H1242" s="95" t="s">
        <v>645</v>
      </c>
      <c r="I1242" s="95">
        <v>0</v>
      </c>
    </row>
    <row r="1243" spans="1:9" ht="14.1" customHeight="1" x14ac:dyDescent="0.2">
      <c r="A1243" s="95" t="s">
        <v>2519</v>
      </c>
      <c r="B1243" s="95">
        <v>79</v>
      </c>
      <c r="C1243" s="95" t="s">
        <v>538</v>
      </c>
      <c r="D1243" s="95">
        <v>2012</v>
      </c>
      <c r="E1243" s="95">
        <v>1141875</v>
      </c>
      <c r="F1243" s="95" t="s">
        <v>648</v>
      </c>
      <c r="G1243" s="95">
        <v>0</v>
      </c>
      <c r="H1243" s="95" t="s">
        <v>648</v>
      </c>
      <c r="I1243" s="95">
        <v>0</v>
      </c>
    </row>
    <row r="1244" spans="1:9" ht="14.1" customHeight="1" x14ac:dyDescent="0.2">
      <c r="A1244" s="95" t="s">
        <v>2520</v>
      </c>
      <c r="B1244" s="95">
        <v>79</v>
      </c>
      <c r="C1244" s="95" t="s">
        <v>546</v>
      </c>
      <c r="D1244" s="95">
        <v>2012</v>
      </c>
      <c r="E1244" s="95">
        <v>2874872</v>
      </c>
      <c r="F1244" s="95" t="s">
        <v>3092</v>
      </c>
      <c r="G1244" s="95" t="s">
        <v>573</v>
      </c>
      <c r="H1244" s="95" t="s">
        <v>3092</v>
      </c>
      <c r="I1244" s="95" t="s">
        <v>816</v>
      </c>
    </row>
    <row r="1245" spans="1:9" ht="14.1" customHeight="1" x14ac:dyDescent="0.2">
      <c r="A1245" s="95" t="s">
        <v>2521</v>
      </c>
      <c r="B1245" s="95">
        <v>79</v>
      </c>
      <c r="C1245" s="95" t="s">
        <v>488</v>
      </c>
      <c r="D1245" s="95">
        <v>2012</v>
      </c>
      <c r="E1245" s="95">
        <v>88794.67</v>
      </c>
      <c r="F1245" s="95" t="s">
        <v>660</v>
      </c>
      <c r="G1245" s="95">
        <v>0</v>
      </c>
      <c r="H1245" s="95" t="s">
        <v>660</v>
      </c>
      <c r="I1245" s="95">
        <v>0</v>
      </c>
    </row>
    <row r="1246" spans="1:9" ht="14.1" customHeight="1" x14ac:dyDescent="0.2">
      <c r="A1246" s="95" t="s">
        <v>2522</v>
      </c>
      <c r="B1246" s="95">
        <v>79</v>
      </c>
      <c r="C1246" s="95" t="s">
        <v>484</v>
      </c>
      <c r="D1246" s="95">
        <v>2012</v>
      </c>
      <c r="E1246" s="95">
        <v>122545</v>
      </c>
      <c r="F1246" s="95" t="s">
        <v>837</v>
      </c>
      <c r="G1246" s="95">
        <v>0</v>
      </c>
      <c r="H1246" s="95" t="s">
        <v>837</v>
      </c>
      <c r="I1246" s="95">
        <v>0</v>
      </c>
    </row>
    <row r="1247" spans="1:9" ht="14.1" customHeight="1" x14ac:dyDescent="0.2">
      <c r="A1247" s="95" t="s">
        <v>2523</v>
      </c>
      <c r="B1247" s="95">
        <v>80</v>
      </c>
      <c r="C1247" s="95" t="s">
        <v>528</v>
      </c>
      <c r="D1247" s="95">
        <v>2012</v>
      </c>
      <c r="E1247" s="95">
        <v>26571226</v>
      </c>
      <c r="F1247" s="95" t="s">
        <v>1152</v>
      </c>
      <c r="G1247" s="95">
        <v>0</v>
      </c>
      <c r="H1247" s="95" t="s">
        <v>1152</v>
      </c>
      <c r="I1247" s="95">
        <v>0</v>
      </c>
    </row>
    <row r="1248" spans="1:9" ht="14.1" customHeight="1" x14ac:dyDescent="0.2">
      <c r="A1248" s="95" t="s">
        <v>2524</v>
      </c>
      <c r="B1248" s="95">
        <v>80</v>
      </c>
      <c r="C1248" s="95" t="s">
        <v>532</v>
      </c>
      <c r="D1248" s="95">
        <v>2012</v>
      </c>
      <c r="E1248" s="95">
        <v>242</v>
      </c>
      <c r="F1248" s="95" t="s">
        <v>1079</v>
      </c>
      <c r="G1248" s="95" t="s">
        <v>573</v>
      </c>
      <c r="H1248" s="95" t="s">
        <v>1079</v>
      </c>
      <c r="I1248" s="95" t="s">
        <v>816</v>
      </c>
    </row>
    <row r="1249" spans="1:9" ht="14.1" customHeight="1" x14ac:dyDescent="0.2">
      <c r="A1249" s="95" t="s">
        <v>2525</v>
      </c>
      <c r="B1249" s="95">
        <v>80</v>
      </c>
      <c r="C1249" s="95" t="s">
        <v>534</v>
      </c>
      <c r="D1249" s="95">
        <v>2012</v>
      </c>
      <c r="E1249" s="95">
        <v>175190.09</v>
      </c>
      <c r="F1249" s="95" t="s">
        <v>648</v>
      </c>
      <c r="G1249" s="95">
        <v>0</v>
      </c>
      <c r="H1249" s="95" t="s">
        <v>648</v>
      </c>
      <c r="I1249" s="95">
        <v>0</v>
      </c>
    </row>
    <row r="1250" spans="1:9" ht="14.1" customHeight="1" x14ac:dyDescent="0.2">
      <c r="A1250" s="95" t="s">
        <v>2526</v>
      </c>
      <c r="B1250" s="95">
        <v>80</v>
      </c>
      <c r="C1250" s="95" t="s">
        <v>536</v>
      </c>
      <c r="D1250" s="95">
        <v>2012</v>
      </c>
      <c r="E1250" s="95">
        <v>569498</v>
      </c>
      <c r="F1250" s="95" t="s">
        <v>649</v>
      </c>
      <c r="G1250" s="95">
        <v>0</v>
      </c>
      <c r="H1250" s="95" t="s">
        <v>649</v>
      </c>
      <c r="I1250" s="95">
        <v>0</v>
      </c>
    </row>
    <row r="1251" spans="1:9" ht="14.1" customHeight="1" x14ac:dyDescent="0.2">
      <c r="A1251" s="95" t="s">
        <v>2527</v>
      </c>
      <c r="B1251" s="95">
        <v>80</v>
      </c>
      <c r="C1251" s="95" t="s">
        <v>538</v>
      </c>
      <c r="D1251" s="95">
        <v>2012</v>
      </c>
      <c r="E1251" s="95">
        <v>15852135</v>
      </c>
      <c r="F1251" s="95" t="s">
        <v>648</v>
      </c>
      <c r="G1251" s="95">
        <v>0</v>
      </c>
      <c r="H1251" s="95" t="s">
        <v>648</v>
      </c>
      <c r="I1251" s="95">
        <v>0</v>
      </c>
    </row>
    <row r="1252" spans="1:9" ht="14.1" customHeight="1" x14ac:dyDescent="0.2">
      <c r="A1252" s="95" t="s">
        <v>2528</v>
      </c>
      <c r="B1252" s="95">
        <v>80</v>
      </c>
      <c r="C1252" s="95" t="s">
        <v>488</v>
      </c>
      <c r="D1252" s="95">
        <v>2012</v>
      </c>
      <c r="E1252" s="95">
        <v>387667.36</v>
      </c>
      <c r="F1252" s="95" t="s">
        <v>660</v>
      </c>
      <c r="G1252" s="95">
        <v>0</v>
      </c>
      <c r="H1252" s="95" t="s">
        <v>660</v>
      </c>
      <c r="I1252" s="95">
        <v>0</v>
      </c>
    </row>
    <row r="1253" spans="1:9" ht="14.1" customHeight="1" x14ac:dyDescent="0.2">
      <c r="A1253" s="95" t="s">
        <v>2529</v>
      </c>
      <c r="B1253" s="95">
        <v>80</v>
      </c>
      <c r="C1253" s="95" t="s">
        <v>484</v>
      </c>
      <c r="D1253" s="95">
        <v>2012</v>
      </c>
      <c r="E1253" s="95">
        <v>135837</v>
      </c>
      <c r="F1253" s="95" t="s">
        <v>837</v>
      </c>
      <c r="G1253" s="95">
        <v>0</v>
      </c>
      <c r="H1253" s="95" t="s">
        <v>837</v>
      </c>
      <c r="I1253" s="95">
        <v>0</v>
      </c>
    </row>
    <row r="1254" spans="1:9" ht="14.1" customHeight="1" x14ac:dyDescent="0.2">
      <c r="A1254" s="95" t="s">
        <v>2530</v>
      </c>
      <c r="B1254" s="95">
        <v>82</v>
      </c>
      <c r="C1254" s="95" t="s">
        <v>540</v>
      </c>
      <c r="D1254" s="95">
        <v>2012</v>
      </c>
      <c r="E1254" s="95">
        <v>500</v>
      </c>
      <c r="F1254" s="95" t="s">
        <v>894</v>
      </c>
      <c r="G1254" s="95" t="s">
        <v>573</v>
      </c>
      <c r="H1254" s="95" t="s">
        <v>894</v>
      </c>
      <c r="I1254" s="95" t="s">
        <v>816</v>
      </c>
    </row>
    <row r="1255" spans="1:9" ht="14.1" customHeight="1" x14ac:dyDescent="0.2">
      <c r="A1255" s="95" t="s">
        <v>2531</v>
      </c>
      <c r="B1255" s="95">
        <v>82</v>
      </c>
      <c r="C1255" s="95" t="s">
        <v>546</v>
      </c>
      <c r="D1255" s="95">
        <v>2012</v>
      </c>
      <c r="E1255" s="95">
        <v>58</v>
      </c>
      <c r="F1255" s="95" t="s">
        <v>589</v>
      </c>
      <c r="G1255" s="95" t="s">
        <v>573</v>
      </c>
      <c r="H1255" s="95" t="s">
        <v>589</v>
      </c>
      <c r="I1255" s="95" t="s">
        <v>816</v>
      </c>
    </row>
    <row r="1256" spans="1:9" ht="14.1" customHeight="1" x14ac:dyDescent="0.2">
      <c r="A1256" s="95" t="s">
        <v>2532</v>
      </c>
      <c r="B1256" s="95">
        <v>83</v>
      </c>
      <c r="C1256" s="95" t="s">
        <v>518</v>
      </c>
      <c r="D1256" s="95">
        <v>2012</v>
      </c>
      <c r="E1256" s="95">
        <v>34.208993786699999</v>
      </c>
      <c r="F1256" s="95" t="s">
        <v>661</v>
      </c>
      <c r="G1256" s="95" t="s">
        <v>1159</v>
      </c>
      <c r="H1256" s="95" t="s">
        <v>661</v>
      </c>
      <c r="I1256" s="95" t="s">
        <v>1160</v>
      </c>
    </row>
    <row r="1257" spans="1:9" ht="14.1" customHeight="1" x14ac:dyDescent="0.2">
      <c r="A1257" s="95" t="s">
        <v>2533</v>
      </c>
      <c r="B1257" s="95">
        <v>83</v>
      </c>
      <c r="C1257" s="95" t="s">
        <v>520</v>
      </c>
      <c r="D1257" s="95">
        <v>2012</v>
      </c>
      <c r="E1257" s="95">
        <v>4.8248675086999997</v>
      </c>
      <c r="F1257" s="95" t="s">
        <v>661</v>
      </c>
      <c r="G1257" s="95" t="s">
        <v>1159</v>
      </c>
      <c r="H1257" s="95" t="s">
        <v>661</v>
      </c>
      <c r="I1257" s="95" t="s">
        <v>1160</v>
      </c>
    </row>
    <row r="1258" spans="1:9" ht="14.1" customHeight="1" x14ac:dyDescent="0.2">
      <c r="A1258" s="95" t="s">
        <v>2534</v>
      </c>
      <c r="B1258" s="95">
        <v>83</v>
      </c>
      <c r="C1258" s="95" t="s">
        <v>524</v>
      </c>
      <c r="D1258" s="95">
        <v>2012</v>
      </c>
      <c r="E1258" s="95">
        <v>38.5323973267</v>
      </c>
      <c r="F1258" s="95" t="s">
        <v>661</v>
      </c>
      <c r="G1258" s="95" t="s">
        <v>1159</v>
      </c>
      <c r="H1258" s="95" t="s">
        <v>661</v>
      </c>
      <c r="I1258" s="95" t="s">
        <v>1160</v>
      </c>
    </row>
    <row r="1259" spans="1:9" ht="14.1" customHeight="1" x14ac:dyDescent="0.2">
      <c r="A1259" s="95" t="s">
        <v>2535</v>
      </c>
      <c r="B1259" s="95">
        <v>83</v>
      </c>
      <c r="C1259" s="95" t="s">
        <v>526</v>
      </c>
      <c r="D1259" s="95">
        <v>2012</v>
      </c>
      <c r="E1259" s="95">
        <v>27.062322333400001</v>
      </c>
      <c r="F1259" s="95" t="s">
        <v>661</v>
      </c>
      <c r="G1259" s="95" t="s">
        <v>1159</v>
      </c>
      <c r="H1259" s="95" t="s">
        <v>661</v>
      </c>
      <c r="I1259" s="95" t="s">
        <v>1160</v>
      </c>
    </row>
    <row r="1260" spans="1:9" ht="14.1" customHeight="1" x14ac:dyDescent="0.2">
      <c r="A1260" s="95" t="s">
        <v>2536</v>
      </c>
      <c r="B1260" s="95">
        <v>83</v>
      </c>
      <c r="C1260" s="95" t="s">
        <v>528</v>
      </c>
      <c r="D1260" s="95">
        <v>2012</v>
      </c>
      <c r="E1260" s="95">
        <v>32.982522956499999</v>
      </c>
      <c r="F1260" s="95" t="s">
        <v>661</v>
      </c>
      <c r="G1260" s="95" t="s">
        <v>1159</v>
      </c>
      <c r="H1260" s="95" t="s">
        <v>661</v>
      </c>
      <c r="I1260" s="95" t="s">
        <v>1160</v>
      </c>
    </row>
    <row r="1261" spans="1:9" ht="14.1" customHeight="1" x14ac:dyDescent="0.2">
      <c r="A1261" s="95" t="s">
        <v>2537</v>
      </c>
      <c r="B1261" s="95">
        <v>83</v>
      </c>
      <c r="C1261" s="95" t="s">
        <v>530</v>
      </c>
      <c r="D1261" s="95">
        <v>2012</v>
      </c>
      <c r="E1261" s="95">
        <v>23.054369580100001</v>
      </c>
      <c r="F1261" s="95" t="s">
        <v>661</v>
      </c>
      <c r="G1261" s="95" t="s">
        <v>1159</v>
      </c>
      <c r="H1261" s="95" t="s">
        <v>661</v>
      </c>
      <c r="I1261" s="95" t="s">
        <v>1160</v>
      </c>
    </row>
    <row r="1262" spans="1:9" ht="14.1" customHeight="1" x14ac:dyDescent="0.2">
      <c r="A1262" s="95" t="s">
        <v>2538</v>
      </c>
      <c r="B1262" s="95">
        <v>83</v>
      </c>
      <c r="C1262" s="95" t="s">
        <v>532</v>
      </c>
      <c r="D1262" s="95">
        <v>2012</v>
      </c>
      <c r="E1262" s="95">
        <v>4.0600419934999996</v>
      </c>
      <c r="F1262" s="95" t="s">
        <v>661</v>
      </c>
      <c r="G1262" s="95" t="s">
        <v>1159</v>
      </c>
      <c r="H1262" s="95" t="s">
        <v>661</v>
      </c>
      <c r="I1262" s="95" t="s">
        <v>1160</v>
      </c>
    </row>
    <row r="1263" spans="1:9" ht="14.1" customHeight="1" x14ac:dyDescent="0.2">
      <c r="A1263" s="95" t="s">
        <v>2539</v>
      </c>
      <c r="B1263" s="95">
        <v>83</v>
      </c>
      <c r="C1263" s="95" t="s">
        <v>534</v>
      </c>
      <c r="D1263" s="95">
        <v>2012</v>
      </c>
      <c r="E1263" s="95">
        <v>5.0765027945999996</v>
      </c>
      <c r="F1263" s="95" t="s">
        <v>661</v>
      </c>
      <c r="G1263" s="95" t="s">
        <v>1159</v>
      </c>
      <c r="H1263" s="95" t="s">
        <v>661</v>
      </c>
      <c r="I1263" s="95" t="s">
        <v>1160</v>
      </c>
    </row>
    <row r="1264" spans="1:9" ht="14.1" customHeight="1" x14ac:dyDescent="0.2">
      <c r="A1264" s="95" t="s">
        <v>2540</v>
      </c>
      <c r="B1264" s="95">
        <v>83</v>
      </c>
      <c r="C1264" s="95" t="s">
        <v>536</v>
      </c>
      <c r="D1264" s="95">
        <v>2012</v>
      </c>
      <c r="E1264" s="95">
        <v>21.568815066199999</v>
      </c>
      <c r="F1264" s="95" t="s">
        <v>661</v>
      </c>
      <c r="G1264" s="95" t="s">
        <v>1159</v>
      </c>
      <c r="H1264" s="95" t="s">
        <v>661</v>
      </c>
      <c r="I1264" s="95" t="s">
        <v>1160</v>
      </c>
    </row>
    <row r="1265" spans="1:9" ht="14.1" customHeight="1" x14ac:dyDescent="0.2">
      <c r="A1265" s="95" t="s">
        <v>2541</v>
      </c>
      <c r="B1265" s="95">
        <v>83</v>
      </c>
      <c r="C1265" s="95" t="s">
        <v>538</v>
      </c>
      <c r="D1265" s="95">
        <v>2012</v>
      </c>
      <c r="E1265" s="95">
        <v>32.799297746000001</v>
      </c>
      <c r="F1265" s="95" t="s">
        <v>661</v>
      </c>
      <c r="G1265" s="95" t="s">
        <v>1159</v>
      </c>
      <c r="H1265" s="95" t="s">
        <v>661</v>
      </c>
      <c r="I1265" s="95" t="s">
        <v>1160</v>
      </c>
    </row>
    <row r="1266" spans="1:9" ht="14.1" customHeight="1" x14ac:dyDescent="0.2">
      <c r="A1266" s="95" t="s">
        <v>2542</v>
      </c>
      <c r="B1266" s="95">
        <v>83</v>
      </c>
      <c r="C1266" s="95" t="s">
        <v>542</v>
      </c>
      <c r="D1266" s="95">
        <v>2012</v>
      </c>
      <c r="E1266" s="95">
        <v>4.4755757951000001</v>
      </c>
      <c r="F1266" s="95" t="s">
        <v>661</v>
      </c>
      <c r="G1266" s="95" t="s">
        <v>1159</v>
      </c>
      <c r="H1266" s="95" t="s">
        <v>661</v>
      </c>
      <c r="I1266" s="95" t="s">
        <v>1160</v>
      </c>
    </row>
    <row r="1267" spans="1:9" ht="14.1" customHeight="1" x14ac:dyDescent="0.2">
      <c r="A1267" s="95" t="s">
        <v>2543</v>
      </c>
      <c r="B1267" s="95">
        <v>83</v>
      </c>
      <c r="C1267" s="95" t="s">
        <v>544</v>
      </c>
      <c r="D1267" s="95">
        <v>2012</v>
      </c>
      <c r="E1267" s="95">
        <v>18.901947345899998</v>
      </c>
      <c r="F1267" s="95" t="s">
        <v>661</v>
      </c>
      <c r="G1267" s="95" t="s">
        <v>1159</v>
      </c>
      <c r="H1267" s="95" t="s">
        <v>661</v>
      </c>
      <c r="I1267" s="95" t="s">
        <v>1160</v>
      </c>
    </row>
    <row r="1268" spans="1:9" ht="14.1" customHeight="1" x14ac:dyDescent="0.2">
      <c r="A1268" s="95" t="s">
        <v>2544</v>
      </c>
      <c r="B1268" s="95">
        <v>83</v>
      </c>
      <c r="C1268" s="95" t="s">
        <v>546</v>
      </c>
      <c r="D1268" s="95">
        <v>2012</v>
      </c>
      <c r="E1268" s="95">
        <v>32.002349271900002</v>
      </c>
      <c r="F1268" s="95" t="s">
        <v>661</v>
      </c>
      <c r="G1268" s="95" t="s">
        <v>1159</v>
      </c>
      <c r="H1268" s="95" t="s">
        <v>661</v>
      </c>
      <c r="I1268" s="95" t="s">
        <v>1160</v>
      </c>
    </row>
    <row r="1269" spans="1:9" ht="14.1" customHeight="1" x14ac:dyDescent="0.2">
      <c r="A1269" s="95" t="s">
        <v>2545</v>
      </c>
      <c r="B1269" s="95">
        <v>83</v>
      </c>
      <c r="C1269" s="95" t="s">
        <v>548</v>
      </c>
      <c r="D1269" s="95">
        <v>2012</v>
      </c>
      <c r="E1269" s="95">
        <v>18.9304922408</v>
      </c>
      <c r="F1269" s="95" t="s">
        <v>661</v>
      </c>
      <c r="G1269" s="95" t="s">
        <v>1159</v>
      </c>
      <c r="H1269" s="95" t="s">
        <v>661</v>
      </c>
      <c r="I1269" s="95" t="s">
        <v>1160</v>
      </c>
    </row>
    <row r="1270" spans="1:9" ht="14.1" customHeight="1" x14ac:dyDescent="0.2">
      <c r="A1270" s="95" t="s">
        <v>2546</v>
      </c>
      <c r="B1270" s="95">
        <v>83</v>
      </c>
      <c r="C1270" s="95" t="s">
        <v>483</v>
      </c>
      <c r="D1270" s="95">
        <v>2012</v>
      </c>
      <c r="E1270" s="95">
        <v>9.99</v>
      </c>
      <c r="F1270" s="95" t="s">
        <v>661</v>
      </c>
      <c r="G1270" s="95">
        <v>0</v>
      </c>
      <c r="H1270" s="95" t="s">
        <v>661</v>
      </c>
      <c r="I1270" s="95">
        <v>0</v>
      </c>
    </row>
    <row r="1271" spans="1:9" ht="14.1" customHeight="1" x14ac:dyDescent="0.2">
      <c r="A1271" s="95" t="s">
        <v>2547</v>
      </c>
      <c r="B1271" s="95">
        <v>83</v>
      </c>
      <c r="C1271" s="95" t="s">
        <v>488</v>
      </c>
      <c r="D1271" s="95">
        <v>2012</v>
      </c>
      <c r="E1271" s="95">
        <v>37.25</v>
      </c>
      <c r="F1271" s="95" t="s">
        <v>661</v>
      </c>
      <c r="G1271" s="95">
        <v>0</v>
      </c>
      <c r="H1271" s="95" t="s">
        <v>661</v>
      </c>
      <c r="I1271" s="95">
        <v>0</v>
      </c>
    </row>
    <row r="1272" spans="1:9" ht="14.1" customHeight="1" x14ac:dyDescent="0.2">
      <c r="A1272" s="95" t="s">
        <v>2548</v>
      </c>
      <c r="B1272" s="95">
        <v>83</v>
      </c>
      <c r="C1272" s="95" t="s">
        <v>487</v>
      </c>
      <c r="D1272" s="95">
        <v>2012</v>
      </c>
      <c r="E1272" s="95">
        <v>14.13</v>
      </c>
      <c r="F1272" s="95" t="s">
        <v>661</v>
      </c>
      <c r="G1272" s="95">
        <v>0</v>
      </c>
      <c r="H1272" s="95" t="s">
        <v>661</v>
      </c>
      <c r="I1272" s="95">
        <v>0</v>
      </c>
    </row>
    <row r="1273" spans="1:9" ht="14.1" customHeight="1" x14ac:dyDescent="0.2">
      <c r="A1273" s="95" t="s">
        <v>2549</v>
      </c>
      <c r="B1273" s="95">
        <v>83</v>
      </c>
      <c r="C1273" s="95" t="s">
        <v>486</v>
      </c>
      <c r="D1273" s="95">
        <v>2012</v>
      </c>
      <c r="E1273" s="95">
        <v>8.75</v>
      </c>
      <c r="F1273" s="95" t="s">
        <v>661</v>
      </c>
      <c r="G1273" s="95">
        <v>0</v>
      </c>
      <c r="H1273" s="95" t="s">
        <v>661</v>
      </c>
      <c r="I1273" s="95">
        <v>0</v>
      </c>
    </row>
    <row r="1274" spans="1:9" ht="14.1" customHeight="1" x14ac:dyDescent="0.2">
      <c r="A1274" s="95" t="s">
        <v>2550</v>
      </c>
      <c r="B1274" s="95">
        <v>83</v>
      </c>
      <c r="C1274" s="95" t="s">
        <v>482</v>
      </c>
      <c r="D1274" s="95">
        <v>2012</v>
      </c>
      <c r="E1274" s="95">
        <v>20.07</v>
      </c>
      <c r="F1274" s="95" t="s">
        <v>661</v>
      </c>
      <c r="G1274" s="95">
        <v>0</v>
      </c>
      <c r="H1274" s="95" t="s">
        <v>661</v>
      </c>
      <c r="I1274" s="95">
        <v>0</v>
      </c>
    </row>
    <row r="1275" spans="1:9" ht="14.1" customHeight="1" x14ac:dyDescent="0.2">
      <c r="A1275" s="95" t="s">
        <v>2551</v>
      </c>
      <c r="B1275" s="95">
        <v>83</v>
      </c>
      <c r="C1275" s="95" t="s">
        <v>490</v>
      </c>
      <c r="D1275" s="95">
        <v>2012</v>
      </c>
      <c r="E1275" s="95">
        <v>10.029999999999999</v>
      </c>
      <c r="F1275" s="95" t="s">
        <v>661</v>
      </c>
      <c r="G1275" s="95">
        <v>0</v>
      </c>
      <c r="H1275" s="95" t="s">
        <v>661</v>
      </c>
      <c r="I1275" s="95">
        <v>0</v>
      </c>
    </row>
    <row r="1276" spans="1:9" ht="14.1" customHeight="1" x14ac:dyDescent="0.2">
      <c r="A1276" s="95" t="s">
        <v>2552</v>
      </c>
      <c r="B1276" s="95">
        <v>83</v>
      </c>
      <c r="C1276" s="95" t="s">
        <v>481</v>
      </c>
      <c r="D1276" s="95">
        <v>2012</v>
      </c>
      <c r="E1276" s="95">
        <v>38.81</v>
      </c>
      <c r="F1276" s="95" t="s">
        <v>661</v>
      </c>
      <c r="G1276" s="95">
        <v>0</v>
      </c>
      <c r="H1276" s="95" t="s">
        <v>661</v>
      </c>
      <c r="I1276" s="95">
        <v>0</v>
      </c>
    </row>
    <row r="1277" spans="1:9" ht="14.1" customHeight="1" x14ac:dyDescent="0.2">
      <c r="A1277" s="95" t="s">
        <v>2553</v>
      </c>
      <c r="B1277" s="95">
        <v>83</v>
      </c>
      <c r="C1277" s="95" t="s">
        <v>484</v>
      </c>
      <c r="D1277" s="95">
        <v>2012</v>
      </c>
      <c r="E1277" s="95">
        <v>8.23</v>
      </c>
      <c r="F1277" s="95" t="s">
        <v>661</v>
      </c>
      <c r="G1277" s="95">
        <v>0</v>
      </c>
      <c r="H1277" s="95" t="s">
        <v>661</v>
      </c>
      <c r="I1277" s="95">
        <v>0</v>
      </c>
    </row>
    <row r="1278" spans="1:9" ht="14.1" customHeight="1" x14ac:dyDescent="0.2">
      <c r="A1278" s="95" t="s">
        <v>2554</v>
      </c>
      <c r="B1278" s="95">
        <v>83</v>
      </c>
      <c r="C1278" s="95" t="s">
        <v>485</v>
      </c>
      <c r="D1278" s="95">
        <v>2012</v>
      </c>
      <c r="E1278" s="95">
        <v>42.38</v>
      </c>
      <c r="F1278" s="95" t="s">
        <v>661</v>
      </c>
      <c r="G1278" s="95">
        <v>0</v>
      </c>
      <c r="H1278" s="95" t="s">
        <v>661</v>
      </c>
      <c r="I1278" s="95">
        <v>0</v>
      </c>
    </row>
    <row r="1279" spans="1:9" ht="14.1" customHeight="1" x14ac:dyDescent="0.2">
      <c r="A1279" s="95" t="s">
        <v>2555</v>
      </c>
      <c r="B1279" s="95">
        <v>83</v>
      </c>
      <c r="C1279" s="95" t="s">
        <v>489</v>
      </c>
      <c r="D1279" s="95">
        <v>2012</v>
      </c>
      <c r="E1279" s="95">
        <v>23.72</v>
      </c>
      <c r="F1279" s="95" t="s">
        <v>661</v>
      </c>
      <c r="G1279" s="95">
        <v>0</v>
      </c>
      <c r="H1279" s="95" t="s">
        <v>661</v>
      </c>
      <c r="I1279" s="95">
        <v>0</v>
      </c>
    </row>
    <row r="1280" spans="1:9" ht="14.1" customHeight="1" x14ac:dyDescent="0.2">
      <c r="A1280" s="95" t="s">
        <v>2556</v>
      </c>
      <c r="B1280" s="95">
        <v>88</v>
      </c>
      <c r="C1280" s="95" t="s">
        <v>520</v>
      </c>
      <c r="D1280" s="95">
        <v>2012</v>
      </c>
      <c r="E1280" s="95">
        <v>16215</v>
      </c>
      <c r="F1280" s="95" t="s">
        <v>637</v>
      </c>
      <c r="G1280" s="95" t="s">
        <v>628</v>
      </c>
      <c r="H1280" s="95" t="s">
        <v>637</v>
      </c>
      <c r="I1280" s="95" t="s">
        <v>1161</v>
      </c>
    </row>
    <row r="1281" spans="1:9" ht="14.1" customHeight="1" x14ac:dyDescent="0.2">
      <c r="A1281" s="95" t="s">
        <v>2557</v>
      </c>
      <c r="B1281" s="95">
        <v>88</v>
      </c>
      <c r="C1281" s="95" t="s">
        <v>481</v>
      </c>
      <c r="D1281" s="95">
        <v>2012</v>
      </c>
      <c r="E1281" s="95">
        <v>161197465</v>
      </c>
      <c r="F1281" s="95" t="s">
        <v>1273</v>
      </c>
      <c r="G1281" s="95" t="s">
        <v>573</v>
      </c>
      <c r="H1281" s="95" t="s">
        <v>1273</v>
      </c>
      <c r="I1281" s="95" t="s">
        <v>816</v>
      </c>
    </row>
    <row r="1282" spans="1:9" ht="14.1" customHeight="1" x14ac:dyDescent="0.2">
      <c r="A1282" s="95" t="s">
        <v>2558</v>
      </c>
      <c r="B1282" s="95">
        <v>89</v>
      </c>
      <c r="C1282" s="95" t="s">
        <v>520</v>
      </c>
      <c r="D1282" s="95">
        <v>2012</v>
      </c>
      <c r="E1282" s="95">
        <v>4958</v>
      </c>
      <c r="F1282" s="95" t="s">
        <v>574</v>
      </c>
      <c r="G1282" s="95">
        <v>0</v>
      </c>
      <c r="H1282" s="95" t="s">
        <v>574</v>
      </c>
      <c r="I1282" s="95">
        <v>0</v>
      </c>
    </row>
    <row r="1283" spans="1:9" ht="14.1" customHeight="1" x14ac:dyDescent="0.2">
      <c r="A1283" s="95" t="s">
        <v>2559</v>
      </c>
      <c r="B1283" s="95">
        <v>89</v>
      </c>
      <c r="C1283" s="95" t="s">
        <v>490</v>
      </c>
      <c r="D1283" s="95">
        <v>2012</v>
      </c>
      <c r="E1283" s="95">
        <v>8436</v>
      </c>
      <c r="F1283" s="95" t="s">
        <v>815</v>
      </c>
      <c r="G1283" s="95">
        <v>0</v>
      </c>
      <c r="H1283" s="95" t="s">
        <v>815</v>
      </c>
      <c r="I1283" s="95">
        <v>0</v>
      </c>
    </row>
    <row r="1284" spans="1:9" ht="14.1" customHeight="1" x14ac:dyDescent="0.2">
      <c r="A1284" s="95" t="s">
        <v>2560</v>
      </c>
      <c r="B1284" s="95">
        <v>93</v>
      </c>
      <c r="C1284" s="95" t="s">
        <v>518</v>
      </c>
      <c r="D1284" s="95">
        <v>2012</v>
      </c>
      <c r="E1284" s="95">
        <v>49</v>
      </c>
      <c r="F1284" s="95" t="s">
        <v>662</v>
      </c>
      <c r="G1284" s="95">
        <v>0</v>
      </c>
      <c r="H1284" s="95" t="s">
        <v>662</v>
      </c>
      <c r="I1284" s="95">
        <v>0</v>
      </c>
    </row>
    <row r="1285" spans="1:9" ht="14.1" customHeight="1" x14ac:dyDescent="0.2">
      <c r="A1285" s="95" t="s">
        <v>2561</v>
      </c>
      <c r="B1285" s="95">
        <v>93</v>
      </c>
      <c r="C1285" s="95" t="s">
        <v>522</v>
      </c>
      <c r="D1285" s="95">
        <v>2012</v>
      </c>
      <c r="E1285" s="95">
        <v>90</v>
      </c>
      <c r="F1285" s="95" t="s">
        <v>662</v>
      </c>
      <c r="G1285" s="95">
        <v>0</v>
      </c>
      <c r="H1285" s="95" t="s">
        <v>662</v>
      </c>
      <c r="I1285" s="95">
        <v>0</v>
      </c>
    </row>
    <row r="1286" spans="1:9" ht="14.1" customHeight="1" x14ac:dyDescent="0.2">
      <c r="A1286" s="95" t="s">
        <v>2562</v>
      </c>
      <c r="B1286" s="95">
        <v>93</v>
      </c>
      <c r="C1286" s="95" t="s">
        <v>524</v>
      </c>
      <c r="D1286" s="95">
        <v>2012</v>
      </c>
      <c r="E1286" s="95">
        <v>45</v>
      </c>
      <c r="F1286" s="95" t="s">
        <v>662</v>
      </c>
      <c r="G1286" s="95">
        <v>0</v>
      </c>
      <c r="H1286" s="95" t="s">
        <v>662</v>
      </c>
      <c r="I1286" s="95">
        <v>0</v>
      </c>
    </row>
    <row r="1287" spans="1:9" ht="14.1" customHeight="1" x14ac:dyDescent="0.2">
      <c r="A1287" s="95" t="s">
        <v>2563</v>
      </c>
      <c r="B1287" s="95">
        <v>93</v>
      </c>
      <c r="C1287" s="95" t="s">
        <v>526</v>
      </c>
      <c r="D1287" s="95">
        <v>2012</v>
      </c>
      <c r="E1287" s="95">
        <v>80</v>
      </c>
      <c r="F1287" s="95" t="s">
        <v>662</v>
      </c>
      <c r="G1287" s="95">
        <v>0</v>
      </c>
      <c r="H1287" s="95" t="s">
        <v>662</v>
      </c>
      <c r="I1287" s="95">
        <v>0</v>
      </c>
    </row>
    <row r="1288" spans="1:9" ht="14.1" customHeight="1" x14ac:dyDescent="0.2">
      <c r="A1288" s="95" t="s">
        <v>2564</v>
      </c>
      <c r="B1288" s="95">
        <v>93</v>
      </c>
      <c r="C1288" s="95" t="s">
        <v>528</v>
      </c>
      <c r="D1288" s="95">
        <v>2012</v>
      </c>
      <c r="E1288" s="95">
        <v>39</v>
      </c>
      <c r="F1288" s="95" t="s">
        <v>662</v>
      </c>
      <c r="G1288" s="95">
        <v>0</v>
      </c>
      <c r="H1288" s="95" t="s">
        <v>662</v>
      </c>
      <c r="I1288" s="95">
        <v>0</v>
      </c>
    </row>
    <row r="1289" spans="1:9" ht="14.1" customHeight="1" x14ac:dyDescent="0.2">
      <c r="A1289" s="95" t="s">
        <v>2565</v>
      </c>
      <c r="B1289" s="95">
        <v>93</v>
      </c>
      <c r="C1289" s="95" t="s">
        <v>530</v>
      </c>
      <c r="D1289" s="95">
        <v>2012</v>
      </c>
      <c r="E1289" s="95">
        <v>79</v>
      </c>
      <c r="F1289" s="95" t="s">
        <v>662</v>
      </c>
      <c r="G1289" s="95">
        <v>0</v>
      </c>
      <c r="H1289" s="95" t="s">
        <v>662</v>
      </c>
      <c r="I1289" s="95">
        <v>0</v>
      </c>
    </row>
    <row r="1290" spans="1:9" ht="14.1" customHeight="1" x14ac:dyDescent="0.2">
      <c r="A1290" s="95" t="s">
        <v>2566</v>
      </c>
      <c r="B1290" s="95">
        <v>93</v>
      </c>
      <c r="C1290" s="95" t="s">
        <v>532</v>
      </c>
      <c r="D1290" s="95">
        <v>2012</v>
      </c>
      <c r="E1290" s="95">
        <v>133</v>
      </c>
      <c r="F1290" s="95" t="s">
        <v>662</v>
      </c>
      <c r="G1290" s="95">
        <v>0</v>
      </c>
      <c r="H1290" s="95" t="s">
        <v>662</v>
      </c>
      <c r="I1290" s="95">
        <v>0</v>
      </c>
    </row>
    <row r="1291" spans="1:9" ht="14.1" customHeight="1" x14ac:dyDescent="0.2">
      <c r="A1291" s="95" t="s">
        <v>2567</v>
      </c>
      <c r="B1291" s="95">
        <v>93</v>
      </c>
      <c r="C1291" s="95" t="s">
        <v>534</v>
      </c>
      <c r="D1291" s="95">
        <v>2012</v>
      </c>
      <c r="E1291" s="95">
        <v>153</v>
      </c>
      <c r="F1291" s="95" t="s">
        <v>662</v>
      </c>
      <c r="G1291" s="95">
        <v>0</v>
      </c>
      <c r="H1291" s="95" t="s">
        <v>662</v>
      </c>
      <c r="I1291" s="95">
        <v>0</v>
      </c>
    </row>
    <row r="1292" spans="1:9" ht="14.1" customHeight="1" x14ac:dyDescent="0.2">
      <c r="A1292" s="95" t="s">
        <v>2568</v>
      </c>
      <c r="B1292" s="95">
        <v>93</v>
      </c>
      <c r="C1292" s="95" t="s">
        <v>536</v>
      </c>
      <c r="D1292" s="95">
        <v>2012</v>
      </c>
      <c r="E1292" s="95">
        <v>124</v>
      </c>
      <c r="F1292" s="95" t="s">
        <v>662</v>
      </c>
      <c r="G1292" s="95">
        <v>0</v>
      </c>
      <c r="H1292" s="95" t="s">
        <v>662</v>
      </c>
      <c r="I1292" s="95">
        <v>0</v>
      </c>
    </row>
    <row r="1293" spans="1:9" ht="14.1" customHeight="1" x14ac:dyDescent="0.2">
      <c r="A1293" s="95" t="s">
        <v>2569</v>
      </c>
      <c r="B1293" s="95">
        <v>93</v>
      </c>
      <c r="C1293" s="95" t="s">
        <v>538</v>
      </c>
      <c r="D1293" s="95">
        <v>2012</v>
      </c>
      <c r="E1293" s="95">
        <v>60</v>
      </c>
      <c r="F1293" s="95" t="s">
        <v>662</v>
      </c>
      <c r="G1293" s="95">
        <v>0</v>
      </c>
      <c r="H1293" s="95" t="s">
        <v>662</v>
      </c>
      <c r="I1293" s="95">
        <v>0</v>
      </c>
    </row>
    <row r="1294" spans="1:9" ht="14.1" customHeight="1" x14ac:dyDescent="0.2">
      <c r="A1294" s="95" t="s">
        <v>2570</v>
      </c>
      <c r="B1294" s="95">
        <v>93</v>
      </c>
      <c r="C1294" s="95" t="s">
        <v>540</v>
      </c>
      <c r="D1294" s="95">
        <v>2012</v>
      </c>
      <c r="E1294" s="95">
        <v>113</v>
      </c>
      <c r="F1294" s="95" t="s">
        <v>662</v>
      </c>
      <c r="G1294" s="95">
        <v>0</v>
      </c>
      <c r="H1294" s="95" t="s">
        <v>662</v>
      </c>
      <c r="I1294" s="95">
        <v>0</v>
      </c>
    </row>
    <row r="1295" spans="1:9" ht="14.1" customHeight="1" x14ac:dyDescent="0.2">
      <c r="A1295" s="95" t="s">
        <v>2571</v>
      </c>
      <c r="B1295" s="95">
        <v>93</v>
      </c>
      <c r="C1295" s="95" t="s">
        <v>546</v>
      </c>
      <c r="D1295" s="95">
        <v>2012</v>
      </c>
      <c r="E1295" s="95">
        <v>56</v>
      </c>
      <c r="F1295" s="95" t="s">
        <v>662</v>
      </c>
      <c r="G1295" s="95">
        <v>0</v>
      </c>
      <c r="H1295" s="95" t="s">
        <v>662</v>
      </c>
      <c r="I1295" s="95">
        <v>0</v>
      </c>
    </row>
    <row r="1296" spans="1:9" ht="14.1" customHeight="1" x14ac:dyDescent="0.2">
      <c r="A1296" s="95" t="s">
        <v>2572</v>
      </c>
      <c r="B1296" s="95">
        <v>93</v>
      </c>
      <c r="C1296" s="95" t="s">
        <v>548</v>
      </c>
      <c r="D1296" s="95">
        <v>2012</v>
      </c>
      <c r="E1296" s="95">
        <v>111</v>
      </c>
      <c r="F1296" s="95" t="s">
        <v>662</v>
      </c>
      <c r="G1296" s="95">
        <v>0</v>
      </c>
      <c r="H1296" s="95" t="s">
        <v>662</v>
      </c>
      <c r="I1296" s="95">
        <v>0</v>
      </c>
    </row>
    <row r="1297" spans="1:9" ht="14.1" customHeight="1" x14ac:dyDescent="0.2">
      <c r="A1297" s="95" t="s">
        <v>2573</v>
      </c>
      <c r="B1297" s="95">
        <v>93</v>
      </c>
      <c r="C1297" s="95" t="s">
        <v>488</v>
      </c>
      <c r="D1297" s="95">
        <v>2012</v>
      </c>
      <c r="E1297" s="95">
        <v>64</v>
      </c>
      <c r="F1297" s="95" t="s">
        <v>662</v>
      </c>
      <c r="G1297" s="95">
        <v>0</v>
      </c>
      <c r="H1297" s="95" t="s">
        <v>662</v>
      </c>
      <c r="I1297" s="95">
        <v>0</v>
      </c>
    </row>
    <row r="1298" spans="1:9" ht="14.1" customHeight="1" x14ac:dyDescent="0.2">
      <c r="A1298" s="95" t="s">
        <v>2574</v>
      </c>
      <c r="B1298" s="95">
        <v>93</v>
      </c>
      <c r="C1298" s="95" t="s">
        <v>487</v>
      </c>
      <c r="D1298" s="95">
        <v>2012</v>
      </c>
      <c r="E1298" s="95">
        <v>82</v>
      </c>
      <c r="F1298" s="95" t="s">
        <v>662</v>
      </c>
      <c r="G1298" s="95">
        <v>0</v>
      </c>
      <c r="H1298" s="95" t="s">
        <v>662</v>
      </c>
      <c r="I1298" s="95">
        <v>0</v>
      </c>
    </row>
    <row r="1299" spans="1:9" ht="14.1" customHeight="1" x14ac:dyDescent="0.2">
      <c r="A1299" s="95" t="s">
        <v>2575</v>
      </c>
      <c r="B1299" s="95">
        <v>93</v>
      </c>
      <c r="C1299" s="95" t="s">
        <v>486</v>
      </c>
      <c r="D1299" s="95">
        <v>2012</v>
      </c>
      <c r="E1299" s="95">
        <v>93</v>
      </c>
      <c r="F1299" s="95" t="s">
        <v>662</v>
      </c>
      <c r="G1299" s="95">
        <v>0</v>
      </c>
      <c r="H1299" s="95" t="s">
        <v>662</v>
      </c>
      <c r="I1299" s="95">
        <v>0</v>
      </c>
    </row>
    <row r="1300" spans="1:9" ht="14.1" customHeight="1" x14ac:dyDescent="0.2">
      <c r="A1300" s="95" t="s">
        <v>2576</v>
      </c>
      <c r="B1300" s="95">
        <v>93</v>
      </c>
      <c r="C1300" s="95" t="s">
        <v>482</v>
      </c>
      <c r="D1300" s="95">
        <v>2012</v>
      </c>
      <c r="E1300" s="95">
        <v>74</v>
      </c>
      <c r="F1300" s="95" t="s">
        <v>662</v>
      </c>
      <c r="G1300" s="95">
        <v>0</v>
      </c>
      <c r="H1300" s="95" t="s">
        <v>662</v>
      </c>
      <c r="I1300" s="95">
        <v>0</v>
      </c>
    </row>
    <row r="1301" spans="1:9" ht="14.1" customHeight="1" x14ac:dyDescent="0.2">
      <c r="A1301" s="95" t="s">
        <v>2577</v>
      </c>
      <c r="B1301" s="95">
        <v>93</v>
      </c>
      <c r="C1301" s="95" t="s">
        <v>490</v>
      </c>
      <c r="D1301" s="95">
        <v>2012</v>
      </c>
      <c r="E1301" s="95">
        <v>105</v>
      </c>
      <c r="F1301" s="95" t="s">
        <v>662</v>
      </c>
      <c r="G1301" s="95">
        <v>0</v>
      </c>
      <c r="H1301" s="95" t="s">
        <v>662</v>
      </c>
      <c r="I1301" s="95">
        <v>0</v>
      </c>
    </row>
    <row r="1302" spans="1:9" ht="14.1" customHeight="1" x14ac:dyDescent="0.2">
      <c r="A1302" s="95" t="s">
        <v>2578</v>
      </c>
      <c r="B1302" s="95">
        <v>93</v>
      </c>
      <c r="C1302" s="95" t="s">
        <v>481</v>
      </c>
      <c r="D1302" s="95">
        <v>2012</v>
      </c>
      <c r="E1302" s="95">
        <v>47</v>
      </c>
      <c r="F1302" s="95" t="s">
        <v>662</v>
      </c>
      <c r="G1302" s="95">
        <v>0</v>
      </c>
      <c r="H1302" s="95" t="s">
        <v>662</v>
      </c>
      <c r="I1302" s="95">
        <v>0</v>
      </c>
    </row>
    <row r="1303" spans="1:9" ht="14.1" customHeight="1" x14ac:dyDescent="0.2">
      <c r="A1303" s="95" t="s">
        <v>2579</v>
      </c>
      <c r="B1303" s="95">
        <v>93</v>
      </c>
      <c r="C1303" s="95" t="s">
        <v>485</v>
      </c>
      <c r="D1303" s="95">
        <v>2012</v>
      </c>
      <c r="E1303" s="95">
        <v>61</v>
      </c>
      <c r="F1303" s="95" t="s">
        <v>662</v>
      </c>
      <c r="G1303" s="95">
        <v>0</v>
      </c>
      <c r="H1303" s="95" t="s">
        <v>662</v>
      </c>
      <c r="I1303" s="95">
        <v>0</v>
      </c>
    </row>
    <row r="1304" spans="1:9" ht="14.1" customHeight="1" x14ac:dyDescent="0.2">
      <c r="A1304" s="95" t="s">
        <v>2580</v>
      </c>
      <c r="B1304" s="95">
        <v>93</v>
      </c>
      <c r="C1304" s="95" t="s">
        <v>489</v>
      </c>
      <c r="D1304" s="95">
        <v>2012</v>
      </c>
      <c r="E1304" s="95">
        <v>85</v>
      </c>
      <c r="F1304" s="95" t="s">
        <v>662</v>
      </c>
      <c r="G1304" s="95">
        <v>0</v>
      </c>
      <c r="H1304" s="95" t="s">
        <v>662</v>
      </c>
      <c r="I1304" s="95">
        <v>0</v>
      </c>
    </row>
    <row r="1305" spans="1:9" ht="14.1" customHeight="1" x14ac:dyDescent="0.2">
      <c r="A1305" s="95" t="s">
        <v>2581</v>
      </c>
      <c r="B1305" s="95">
        <v>94</v>
      </c>
      <c r="C1305" s="95" t="s">
        <v>518</v>
      </c>
      <c r="D1305" s="95">
        <v>2012</v>
      </c>
      <c r="E1305" s="95">
        <v>3.05</v>
      </c>
      <c r="F1305" s="95" t="s">
        <v>1162</v>
      </c>
      <c r="G1305" s="95" t="s">
        <v>1163</v>
      </c>
      <c r="H1305" s="95" t="s">
        <v>1162</v>
      </c>
      <c r="I1305" s="95" t="s">
        <v>1164</v>
      </c>
    </row>
    <row r="1306" spans="1:9" ht="14.1" customHeight="1" x14ac:dyDescent="0.2">
      <c r="A1306" s="95" t="s">
        <v>2582</v>
      </c>
      <c r="B1306" s="95">
        <v>94</v>
      </c>
      <c r="C1306" s="95" t="s">
        <v>522</v>
      </c>
      <c r="D1306" s="95">
        <v>2012</v>
      </c>
      <c r="E1306" s="95">
        <v>2.61</v>
      </c>
      <c r="F1306" s="95" t="s">
        <v>1162</v>
      </c>
      <c r="G1306" s="95" t="s">
        <v>1163</v>
      </c>
      <c r="H1306" s="95" t="s">
        <v>1162</v>
      </c>
      <c r="I1306" s="95" t="s">
        <v>1164</v>
      </c>
    </row>
    <row r="1307" spans="1:9" ht="14.1" customHeight="1" x14ac:dyDescent="0.2">
      <c r="A1307" s="95" t="s">
        <v>2583</v>
      </c>
      <c r="B1307" s="95">
        <v>94</v>
      </c>
      <c r="C1307" s="95" t="s">
        <v>524</v>
      </c>
      <c r="D1307" s="95">
        <v>2012</v>
      </c>
      <c r="E1307" s="95">
        <v>3.13</v>
      </c>
      <c r="F1307" s="95" t="s">
        <v>1162</v>
      </c>
      <c r="G1307" s="95" t="s">
        <v>1163</v>
      </c>
      <c r="H1307" s="95" t="s">
        <v>1162</v>
      </c>
      <c r="I1307" s="95" t="s">
        <v>1164</v>
      </c>
    </row>
    <row r="1308" spans="1:9" ht="14.1" customHeight="1" x14ac:dyDescent="0.2">
      <c r="A1308" s="95" t="s">
        <v>2584</v>
      </c>
      <c r="B1308" s="95">
        <v>94</v>
      </c>
      <c r="C1308" s="95" t="s">
        <v>526</v>
      </c>
      <c r="D1308" s="95">
        <v>2012</v>
      </c>
      <c r="E1308" s="95">
        <v>2.75</v>
      </c>
      <c r="F1308" s="95" t="s">
        <v>1162</v>
      </c>
      <c r="G1308" s="95" t="s">
        <v>1163</v>
      </c>
      <c r="H1308" s="95" t="s">
        <v>1162</v>
      </c>
      <c r="I1308" s="95" t="s">
        <v>1164</v>
      </c>
    </row>
    <row r="1309" spans="1:9" ht="14.1" customHeight="1" x14ac:dyDescent="0.2">
      <c r="A1309" s="95" t="s">
        <v>2585</v>
      </c>
      <c r="B1309" s="95">
        <v>94</v>
      </c>
      <c r="C1309" s="95" t="s">
        <v>528</v>
      </c>
      <c r="D1309" s="95">
        <v>2012</v>
      </c>
      <c r="E1309" s="95">
        <v>3.17</v>
      </c>
      <c r="F1309" s="95" t="s">
        <v>1162</v>
      </c>
      <c r="G1309" s="95" t="s">
        <v>1163</v>
      </c>
      <c r="H1309" s="95" t="s">
        <v>1162</v>
      </c>
      <c r="I1309" s="95" t="s">
        <v>1164</v>
      </c>
    </row>
    <row r="1310" spans="1:9" ht="14.1" customHeight="1" x14ac:dyDescent="0.2">
      <c r="A1310" s="95" t="s">
        <v>2586</v>
      </c>
      <c r="B1310" s="95">
        <v>94</v>
      </c>
      <c r="C1310" s="95" t="s">
        <v>530</v>
      </c>
      <c r="D1310" s="95">
        <v>2012</v>
      </c>
      <c r="E1310" s="95">
        <v>2.76</v>
      </c>
      <c r="F1310" s="95" t="s">
        <v>1162</v>
      </c>
      <c r="G1310" s="95" t="s">
        <v>1163</v>
      </c>
      <c r="H1310" s="95" t="s">
        <v>1162</v>
      </c>
      <c r="I1310" s="95" t="s">
        <v>1164</v>
      </c>
    </row>
    <row r="1311" spans="1:9" ht="14.1" customHeight="1" x14ac:dyDescent="0.2">
      <c r="A1311" s="95" t="s">
        <v>2587</v>
      </c>
      <c r="B1311" s="95">
        <v>94</v>
      </c>
      <c r="C1311" s="95" t="s">
        <v>532</v>
      </c>
      <c r="D1311" s="95">
        <v>2012</v>
      </c>
      <c r="E1311" s="95">
        <v>2.33</v>
      </c>
      <c r="F1311" s="95" t="s">
        <v>1162</v>
      </c>
      <c r="G1311" s="95" t="s">
        <v>1163</v>
      </c>
      <c r="H1311" s="95" t="s">
        <v>1162</v>
      </c>
      <c r="I1311" s="95" t="s">
        <v>1164</v>
      </c>
    </row>
    <row r="1312" spans="1:9" ht="14.1" customHeight="1" x14ac:dyDescent="0.2">
      <c r="A1312" s="95" t="s">
        <v>2588</v>
      </c>
      <c r="B1312" s="95">
        <v>94</v>
      </c>
      <c r="C1312" s="95" t="s">
        <v>534</v>
      </c>
      <c r="D1312" s="95">
        <v>2012</v>
      </c>
      <c r="E1312" s="95">
        <v>2.0299999999999998</v>
      </c>
      <c r="F1312" s="95" t="s">
        <v>1162</v>
      </c>
      <c r="G1312" s="95" t="s">
        <v>1163</v>
      </c>
      <c r="H1312" s="95" t="s">
        <v>1162</v>
      </c>
      <c r="I1312" s="95" t="s">
        <v>1164</v>
      </c>
    </row>
    <row r="1313" spans="1:9" ht="14.1" customHeight="1" x14ac:dyDescent="0.2">
      <c r="A1313" s="95" t="s">
        <v>2589</v>
      </c>
      <c r="B1313" s="95">
        <v>94</v>
      </c>
      <c r="C1313" s="95" t="s">
        <v>536</v>
      </c>
      <c r="D1313" s="95">
        <v>2012</v>
      </c>
      <c r="E1313" s="95">
        <v>2.42</v>
      </c>
      <c r="F1313" s="95" t="s">
        <v>1162</v>
      </c>
      <c r="G1313" s="95" t="s">
        <v>1163</v>
      </c>
      <c r="H1313" s="95" t="s">
        <v>1162</v>
      </c>
      <c r="I1313" s="95" t="s">
        <v>1164</v>
      </c>
    </row>
    <row r="1314" spans="1:9" ht="14.1" customHeight="1" x14ac:dyDescent="0.2">
      <c r="A1314" s="95" t="s">
        <v>2590</v>
      </c>
      <c r="B1314" s="95">
        <v>94</v>
      </c>
      <c r="C1314" s="95" t="s">
        <v>538</v>
      </c>
      <c r="D1314" s="95">
        <v>2012</v>
      </c>
      <c r="E1314" s="95">
        <v>2.94</v>
      </c>
      <c r="F1314" s="95" t="s">
        <v>1162</v>
      </c>
      <c r="G1314" s="95" t="s">
        <v>1163</v>
      </c>
      <c r="H1314" s="95" t="s">
        <v>1162</v>
      </c>
      <c r="I1314" s="95" t="s">
        <v>1164</v>
      </c>
    </row>
    <row r="1315" spans="1:9" ht="14.1" customHeight="1" x14ac:dyDescent="0.2">
      <c r="A1315" s="95" t="s">
        <v>2591</v>
      </c>
      <c r="B1315" s="95">
        <v>94</v>
      </c>
      <c r="C1315" s="95" t="s">
        <v>540</v>
      </c>
      <c r="D1315" s="95">
        <v>2012</v>
      </c>
      <c r="E1315" s="95">
        <v>2.48</v>
      </c>
      <c r="F1315" s="95" t="s">
        <v>1162</v>
      </c>
      <c r="G1315" s="95" t="s">
        <v>1163</v>
      </c>
      <c r="H1315" s="95" t="s">
        <v>1162</v>
      </c>
      <c r="I1315" s="95" t="s">
        <v>1164</v>
      </c>
    </row>
    <row r="1316" spans="1:9" ht="14.1" customHeight="1" x14ac:dyDescent="0.2">
      <c r="A1316" s="95" t="s">
        <v>2592</v>
      </c>
      <c r="B1316" s="95">
        <v>94</v>
      </c>
      <c r="C1316" s="95" t="s">
        <v>546</v>
      </c>
      <c r="D1316" s="95">
        <v>2012</v>
      </c>
      <c r="E1316" s="95">
        <v>2.98</v>
      </c>
      <c r="F1316" s="95" t="s">
        <v>1162</v>
      </c>
      <c r="G1316" s="95" t="s">
        <v>1163</v>
      </c>
      <c r="H1316" s="95" t="s">
        <v>1162</v>
      </c>
      <c r="I1316" s="95" t="s">
        <v>1164</v>
      </c>
    </row>
    <row r="1317" spans="1:9" ht="14.1" customHeight="1" x14ac:dyDescent="0.2">
      <c r="A1317" s="95" t="s">
        <v>2593</v>
      </c>
      <c r="B1317" s="95">
        <v>94</v>
      </c>
      <c r="C1317" s="95" t="s">
        <v>548</v>
      </c>
      <c r="D1317" s="95">
        <v>2012</v>
      </c>
      <c r="E1317" s="95">
        <v>2.4900000000000002</v>
      </c>
      <c r="F1317" s="95" t="s">
        <v>1162</v>
      </c>
      <c r="G1317" s="95" t="s">
        <v>1163</v>
      </c>
      <c r="H1317" s="95" t="s">
        <v>1162</v>
      </c>
      <c r="I1317" s="95" t="s">
        <v>1164</v>
      </c>
    </row>
    <row r="1318" spans="1:9" ht="14.1" customHeight="1" x14ac:dyDescent="0.2">
      <c r="A1318" s="95" t="s">
        <v>2594</v>
      </c>
      <c r="B1318" s="95">
        <v>94</v>
      </c>
      <c r="C1318" s="95" t="s">
        <v>488</v>
      </c>
      <c r="D1318" s="95">
        <v>2012</v>
      </c>
      <c r="E1318" s="95">
        <v>2.87</v>
      </c>
      <c r="F1318" s="95" t="s">
        <v>1162</v>
      </c>
      <c r="G1318" s="95" t="s">
        <v>1163</v>
      </c>
      <c r="H1318" s="95" t="s">
        <v>1162</v>
      </c>
      <c r="I1318" s="95" t="s">
        <v>1164</v>
      </c>
    </row>
    <row r="1319" spans="1:9" ht="14.1" customHeight="1" x14ac:dyDescent="0.2">
      <c r="A1319" s="95" t="s">
        <v>2595</v>
      </c>
      <c r="B1319" s="95">
        <v>94</v>
      </c>
      <c r="C1319" s="95" t="s">
        <v>487</v>
      </c>
      <c r="D1319" s="95">
        <v>2012</v>
      </c>
      <c r="E1319" s="95">
        <v>2.75</v>
      </c>
      <c r="F1319" s="95" t="s">
        <v>1162</v>
      </c>
      <c r="G1319" s="95" t="s">
        <v>1163</v>
      </c>
      <c r="H1319" s="95" t="s">
        <v>1162</v>
      </c>
      <c r="I1319" s="95" t="s">
        <v>1164</v>
      </c>
    </row>
    <row r="1320" spans="1:9" ht="14.1" customHeight="1" x14ac:dyDescent="0.2">
      <c r="A1320" s="95" t="s">
        <v>2596</v>
      </c>
      <c r="B1320" s="95">
        <v>94</v>
      </c>
      <c r="C1320" s="95" t="s">
        <v>486</v>
      </c>
      <c r="D1320" s="95">
        <v>2012</v>
      </c>
      <c r="E1320" s="95">
        <v>2.6</v>
      </c>
      <c r="F1320" s="95" t="s">
        <v>1162</v>
      </c>
      <c r="G1320" s="95" t="s">
        <v>1163</v>
      </c>
      <c r="H1320" s="95" t="s">
        <v>1162</v>
      </c>
      <c r="I1320" s="95" t="s">
        <v>1164</v>
      </c>
    </row>
    <row r="1321" spans="1:9" ht="14.1" customHeight="1" x14ac:dyDescent="0.2">
      <c r="A1321" s="95" t="s">
        <v>2597</v>
      </c>
      <c r="B1321" s="95">
        <v>94</v>
      </c>
      <c r="C1321" s="95" t="s">
        <v>482</v>
      </c>
      <c r="D1321" s="95">
        <v>2012</v>
      </c>
      <c r="E1321" s="95">
        <v>2.8</v>
      </c>
      <c r="F1321" s="95" t="s">
        <v>1162</v>
      </c>
      <c r="G1321" s="95" t="s">
        <v>1163</v>
      </c>
      <c r="H1321" s="95" t="s">
        <v>1162</v>
      </c>
      <c r="I1321" s="95" t="s">
        <v>1164</v>
      </c>
    </row>
    <row r="1322" spans="1:9" ht="14.1" customHeight="1" x14ac:dyDescent="0.2">
      <c r="A1322" s="95" t="s">
        <v>2598</v>
      </c>
      <c r="B1322" s="95">
        <v>94</v>
      </c>
      <c r="C1322" s="95" t="s">
        <v>490</v>
      </c>
      <c r="D1322" s="95">
        <v>2012</v>
      </c>
      <c r="E1322" s="95">
        <v>2.5299999999999998</v>
      </c>
      <c r="F1322" s="95" t="s">
        <v>1162</v>
      </c>
      <c r="G1322" s="95" t="s">
        <v>1163</v>
      </c>
      <c r="H1322" s="95" t="s">
        <v>1162</v>
      </c>
      <c r="I1322" s="95" t="s">
        <v>1164</v>
      </c>
    </row>
    <row r="1323" spans="1:9" ht="14.1" customHeight="1" x14ac:dyDescent="0.2">
      <c r="A1323" s="95" t="s">
        <v>2599</v>
      </c>
      <c r="B1323" s="95">
        <v>94</v>
      </c>
      <c r="C1323" s="95" t="s">
        <v>481</v>
      </c>
      <c r="D1323" s="95">
        <v>2012</v>
      </c>
      <c r="E1323" s="95">
        <v>3.06</v>
      </c>
      <c r="F1323" s="95" t="s">
        <v>1162</v>
      </c>
      <c r="G1323" s="95" t="s">
        <v>1163</v>
      </c>
      <c r="H1323" s="95" t="s">
        <v>1162</v>
      </c>
      <c r="I1323" s="95" t="s">
        <v>1164</v>
      </c>
    </row>
    <row r="1324" spans="1:9" ht="14.1" customHeight="1" x14ac:dyDescent="0.2">
      <c r="A1324" s="95" t="s">
        <v>2600</v>
      </c>
      <c r="B1324" s="95">
        <v>94</v>
      </c>
      <c r="C1324" s="95" t="s">
        <v>485</v>
      </c>
      <c r="D1324" s="95">
        <v>2012</v>
      </c>
      <c r="E1324" s="95">
        <v>2.93</v>
      </c>
      <c r="F1324" s="95" t="s">
        <v>1162</v>
      </c>
      <c r="G1324" s="95" t="s">
        <v>1163</v>
      </c>
      <c r="H1324" s="95" t="s">
        <v>1162</v>
      </c>
      <c r="I1324" s="95" t="s">
        <v>1164</v>
      </c>
    </row>
    <row r="1325" spans="1:9" ht="14.1" customHeight="1" x14ac:dyDescent="0.2">
      <c r="A1325" s="95" t="s">
        <v>2601</v>
      </c>
      <c r="B1325" s="95">
        <v>94</v>
      </c>
      <c r="C1325" s="95" t="s">
        <v>489</v>
      </c>
      <c r="D1325" s="95">
        <v>2012</v>
      </c>
      <c r="E1325" s="95">
        <v>2.7</v>
      </c>
      <c r="F1325" s="95" t="s">
        <v>1162</v>
      </c>
      <c r="G1325" s="95" t="s">
        <v>1163</v>
      </c>
      <c r="H1325" s="95" t="s">
        <v>1162</v>
      </c>
      <c r="I1325" s="95" t="s">
        <v>1164</v>
      </c>
    </row>
    <row r="1326" spans="1:9" ht="14.1" customHeight="1" x14ac:dyDescent="0.2">
      <c r="A1326" s="95" t="s">
        <v>2602</v>
      </c>
      <c r="B1326" s="95">
        <v>95</v>
      </c>
      <c r="C1326" s="95" t="s">
        <v>518</v>
      </c>
      <c r="D1326" s="95">
        <v>2012</v>
      </c>
      <c r="E1326" s="95">
        <v>0.48696737314501598</v>
      </c>
      <c r="F1326" s="95" t="s">
        <v>3093</v>
      </c>
      <c r="G1326" s="95" t="s">
        <v>663</v>
      </c>
      <c r="H1326" s="95" t="s">
        <v>3093</v>
      </c>
      <c r="I1326" s="95" t="s">
        <v>1165</v>
      </c>
    </row>
    <row r="1327" spans="1:9" ht="14.1" customHeight="1" x14ac:dyDescent="0.2">
      <c r="A1327" s="95" t="s">
        <v>2603</v>
      </c>
      <c r="B1327" s="95">
        <v>95</v>
      </c>
      <c r="C1327" s="95" t="s">
        <v>520</v>
      </c>
      <c r="D1327" s="95">
        <v>2012</v>
      </c>
      <c r="E1327" s="95">
        <v>0.43171877420132398</v>
      </c>
      <c r="F1327" s="95" t="s">
        <v>3093</v>
      </c>
      <c r="G1327" s="95" t="s">
        <v>1166</v>
      </c>
      <c r="H1327" s="95" t="s">
        <v>3093</v>
      </c>
      <c r="I1327" s="95" t="s">
        <v>1167</v>
      </c>
    </row>
    <row r="1328" spans="1:9" ht="14.1" customHeight="1" x14ac:dyDescent="0.2">
      <c r="A1328" s="95" t="s">
        <v>2604</v>
      </c>
      <c r="B1328" s="95">
        <v>95</v>
      </c>
      <c r="C1328" s="95" t="s">
        <v>524</v>
      </c>
      <c r="D1328" s="95">
        <v>2012</v>
      </c>
      <c r="E1328" s="95">
        <v>0.96188108262838201</v>
      </c>
      <c r="F1328" s="95" t="s">
        <v>3093</v>
      </c>
      <c r="G1328" s="95" t="s">
        <v>1168</v>
      </c>
      <c r="H1328" s="95" t="s">
        <v>3093</v>
      </c>
      <c r="I1328" s="95" t="s">
        <v>1169</v>
      </c>
    </row>
    <row r="1329" spans="1:9" ht="14.1" customHeight="1" x14ac:dyDescent="0.2">
      <c r="A1329" s="95" t="s">
        <v>2605</v>
      </c>
      <c r="B1329" s="95">
        <v>95</v>
      </c>
      <c r="C1329" s="95" t="s">
        <v>526</v>
      </c>
      <c r="D1329" s="95">
        <v>2012</v>
      </c>
      <c r="E1329" s="95">
        <v>0.907972763485136</v>
      </c>
      <c r="F1329" s="95" t="s">
        <v>3093</v>
      </c>
      <c r="G1329" s="95" t="s">
        <v>1170</v>
      </c>
      <c r="H1329" s="95" t="s">
        <v>3093</v>
      </c>
      <c r="I1329" s="95" t="s">
        <v>1171</v>
      </c>
    </row>
    <row r="1330" spans="1:9" ht="14.1" customHeight="1" x14ac:dyDescent="0.2">
      <c r="A1330" s="95" t="s">
        <v>2606</v>
      </c>
      <c r="B1330" s="95">
        <v>95</v>
      </c>
      <c r="C1330" s="95" t="s">
        <v>528</v>
      </c>
      <c r="D1330" s="95">
        <v>2012</v>
      </c>
      <c r="E1330" s="95">
        <v>1.3151125466074001</v>
      </c>
      <c r="F1330" s="95" t="s">
        <v>3093</v>
      </c>
      <c r="G1330" s="95" t="s">
        <v>1172</v>
      </c>
      <c r="H1330" s="95" t="s">
        <v>3093</v>
      </c>
      <c r="I1330" s="95" t="s">
        <v>1173</v>
      </c>
    </row>
    <row r="1331" spans="1:9" ht="14.1" customHeight="1" x14ac:dyDescent="0.2">
      <c r="A1331" s="95" t="s">
        <v>2607</v>
      </c>
      <c r="B1331" s="95">
        <v>95</v>
      </c>
      <c r="C1331" s="95" t="s">
        <v>530</v>
      </c>
      <c r="D1331" s="95">
        <v>2012</v>
      </c>
      <c r="E1331" s="95">
        <v>1.3821294448168999</v>
      </c>
      <c r="F1331" s="95" t="s">
        <v>3093</v>
      </c>
      <c r="G1331" s="95" t="s">
        <v>665</v>
      </c>
      <c r="H1331" s="95" t="s">
        <v>3093</v>
      </c>
      <c r="I1331" s="95" t="s">
        <v>1174</v>
      </c>
    </row>
    <row r="1332" spans="1:9" ht="14.1" customHeight="1" x14ac:dyDescent="0.2">
      <c r="A1332" s="95" t="s">
        <v>2608</v>
      </c>
      <c r="B1332" s="95">
        <v>95</v>
      </c>
      <c r="C1332" s="95" t="s">
        <v>536</v>
      </c>
      <c r="D1332" s="95">
        <v>2012</v>
      </c>
      <c r="E1332" s="95">
        <v>0.38054720096857197</v>
      </c>
      <c r="F1332" s="95" t="s">
        <v>3093</v>
      </c>
      <c r="G1332" s="95" t="s">
        <v>1175</v>
      </c>
      <c r="H1332" s="95" t="s">
        <v>3093</v>
      </c>
      <c r="I1332" s="95" t="s">
        <v>1176</v>
      </c>
    </row>
    <row r="1333" spans="1:9" ht="14.1" customHeight="1" x14ac:dyDescent="0.2">
      <c r="A1333" s="95" t="s">
        <v>2609</v>
      </c>
      <c r="B1333" s="95">
        <v>95</v>
      </c>
      <c r="C1333" s="95" t="s">
        <v>538</v>
      </c>
      <c r="D1333" s="95">
        <v>2012</v>
      </c>
      <c r="E1333" s="95">
        <v>1.4983976253690501</v>
      </c>
      <c r="F1333" s="95" t="s">
        <v>3093</v>
      </c>
      <c r="G1333" s="95" t="s">
        <v>1177</v>
      </c>
      <c r="H1333" s="95" t="s">
        <v>3093</v>
      </c>
      <c r="I1333" s="95" t="s">
        <v>1178</v>
      </c>
    </row>
    <row r="1334" spans="1:9" ht="14.1" customHeight="1" x14ac:dyDescent="0.2">
      <c r="A1334" s="95" t="s">
        <v>2610</v>
      </c>
      <c r="B1334" s="95">
        <v>95</v>
      </c>
      <c r="C1334" s="95" t="s">
        <v>544</v>
      </c>
      <c r="D1334" s="95">
        <v>2012</v>
      </c>
      <c r="E1334" s="95">
        <v>0.60681915465613101</v>
      </c>
      <c r="F1334" s="95" t="s">
        <v>3093</v>
      </c>
      <c r="G1334" s="95" t="s">
        <v>668</v>
      </c>
      <c r="H1334" s="95" t="s">
        <v>3093</v>
      </c>
      <c r="I1334" s="95" t="s">
        <v>1179</v>
      </c>
    </row>
    <row r="1335" spans="1:9" ht="14.1" customHeight="1" x14ac:dyDescent="0.2">
      <c r="A1335" s="95" t="s">
        <v>2611</v>
      </c>
      <c r="B1335" s="95">
        <v>95</v>
      </c>
      <c r="C1335" s="95" t="s">
        <v>546</v>
      </c>
      <c r="D1335" s="95">
        <v>2012</v>
      </c>
      <c r="E1335" s="95">
        <v>0.896178003966977</v>
      </c>
      <c r="F1335" s="95" t="s">
        <v>3093</v>
      </c>
      <c r="G1335" s="95" t="s">
        <v>669</v>
      </c>
      <c r="H1335" s="95" t="s">
        <v>3093</v>
      </c>
      <c r="I1335" s="95" t="s">
        <v>1180</v>
      </c>
    </row>
    <row r="1336" spans="1:9" ht="14.1" customHeight="1" x14ac:dyDescent="0.2">
      <c r="A1336" s="95" t="s">
        <v>2612</v>
      </c>
      <c r="B1336" s="95">
        <v>95</v>
      </c>
      <c r="C1336" s="95" t="s">
        <v>488</v>
      </c>
      <c r="D1336" s="95">
        <v>2012</v>
      </c>
      <c r="E1336" s="95">
        <v>1.6413714632210901</v>
      </c>
      <c r="F1336" s="95" t="s">
        <v>3093</v>
      </c>
      <c r="G1336" s="95" t="s">
        <v>670</v>
      </c>
      <c r="H1336" s="95" t="s">
        <v>3093</v>
      </c>
      <c r="I1336" s="95" t="s">
        <v>1181</v>
      </c>
    </row>
    <row r="1337" spans="1:9" ht="14.1" customHeight="1" x14ac:dyDescent="0.2">
      <c r="A1337" s="95" t="s">
        <v>2613</v>
      </c>
      <c r="B1337" s="95">
        <v>95</v>
      </c>
      <c r="C1337" s="95" t="s">
        <v>487</v>
      </c>
      <c r="D1337" s="95">
        <v>2012</v>
      </c>
      <c r="E1337" s="95">
        <v>4.0504503378219798</v>
      </c>
      <c r="F1337" s="95" t="s">
        <v>3093</v>
      </c>
      <c r="G1337" s="95" t="s">
        <v>1182</v>
      </c>
      <c r="H1337" s="95" t="s">
        <v>3093</v>
      </c>
      <c r="I1337" s="95" t="s">
        <v>1183</v>
      </c>
    </row>
    <row r="1338" spans="1:9" ht="14.1" customHeight="1" x14ac:dyDescent="0.2">
      <c r="A1338" s="95" t="s">
        <v>2614</v>
      </c>
      <c r="B1338" s="95">
        <v>95</v>
      </c>
      <c r="C1338" s="95" t="s">
        <v>482</v>
      </c>
      <c r="D1338" s="95">
        <v>2012</v>
      </c>
      <c r="E1338" s="95">
        <v>2.4866514617531399</v>
      </c>
      <c r="F1338" s="95" t="s">
        <v>3093</v>
      </c>
      <c r="G1338" s="95" t="s">
        <v>1184</v>
      </c>
      <c r="H1338" s="95" t="s">
        <v>3093</v>
      </c>
      <c r="I1338" s="95" t="s">
        <v>1185</v>
      </c>
    </row>
    <row r="1339" spans="1:9" ht="14.1" customHeight="1" x14ac:dyDescent="0.2">
      <c r="A1339" s="95" t="s">
        <v>2615</v>
      </c>
      <c r="B1339" s="95">
        <v>95</v>
      </c>
      <c r="C1339" s="95" t="s">
        <v>490</v>
      </c>
      <c r="D1339" s="95">
        <v>2012</v>
      </c>
      <c r="E1339" s="95">
        <v>2.0757117670482201</v>
      </c>
      <c r="F1339" s="95" t="s">
        <v>3093</v>
      </c>
      <c r="G1339" s="95" t="s">
        <v>1186</v>
      </c>
      <c r="H1339" s="95" t="s">
        <v>3093</v>
      </c>
      <c r="I1339" s="95" t="s">
        <v>1187</v>
      </c>
    </row>
    <row r="1340" spans="1:9" ht="14.1" customHeight="1" x14ac:dyDescent="0.2">
      <c r="A1340" s="95" t="s">
        <v>2616</v>
      </c>
      <c r="B1340" s="95">
        <v>95</v>
      </c>
      <c r="C1340" s="95" t="s">
        <v>481</v>
      </c>
      <c r="D1340" s="95">
        <v>2012</v>
      </c>
      <c r="E1340" s="95">
        <v>0.883263044104315</v>
      </c>
      <c r="F1340" s="95" t="s">
        <v>3093</v>
      </c>
      <c r="G1340" s="95" t="s">
        <v>1188</v>
      </c>
      <c r="H1340" s="95" t="s">
        <v>3093</v>
      </c>
      <c r="I1340" s="95" t="s">
        <v>1189</v>
      </c>
    </row>
    <row r="1341" spans="1:9" ht="14.1" customHeight="1" x14ac:dyDescent="0.2">
      <c r="A1341" s="95" t="s">
        <v>2617</v>
      </c>
      <c r="B1341" s="95">
        <v>95</v>
      </c>
      <c r="C1341" s="95" t="s">
        <v>485</v>
      </c>
      <c r="D1341" s="95">
        <v>2012</v>
      </c>
      <c r="E1341" s="95">
        <v>1.31499279388904</v>
      </c>
      <c r="F1341" s="95" t="s">
        <v>3093</v>
      </c>
      <c r="G1341" s="95" t="s">
        <v>1190</v>
      </c>
      <c r="H1341" s="95" t="s">
        <v>3093</v>
      </c>
      <c r="I1341" s="95" t="s">
        <v>1191</v>
      </c>
    </row>
    <row r="1342" spans="1:9" ht="14.1" customHeight="1" x14ac:dyDescent="0.2">
      <c r="A1342" s="95" t="s">
        <v>2618</v>
      </c>
      <c r="B1342" s="95">
        <v>95</v>
      </c>
      <c r="C1342" s="95" t="s">
        <v>489</v>
      </c>
      <c r="D1342" s="95">
        <v>2012</v>
      </c>
      <c r="E1342" s="95">
        <v>0.72431407467804199</v>
      </c>
      <c r="F1342" s="95" t="s">
        <v>3093</v>
      </c>
      <c r="G1342" s="95" t="s">
        <v>1192</v>
      </c>
      <c r="H1342" s="95" t="s">
        <v>3093</v>
      </c>
      <c r="I1342" s="95" t="s">
        <v>1193</v>
      </c>
    </row>
    <row r="1343" spans="1:9" ht="14.1" customHeight="1" x14ac:dyDescent="0.2">
      <c r="A1343" s="95" t="s">
        <v>2619</v>
      </c>
      <c r="B1343" s="95">
        <v>96</v>
      </c>
      <c r="C1343" s="95" t="s">
        <v>518</v>
      </c>
      <c r="D1343" s="95">
        <v>2012</v>
      </c>
      <c r="E1343" s="95">
        <v>4</v>
      </c>
      <c r="F1343" s="95" t="s">
        <v>1194</v>
      </c>
      <c r="G1343" s="95" t="s">
        <v>663</v>
      </c>
      <c r="H1343" s="95" t="s">
        <v>1194</v>
      </c>
      <c r="I1343" s="95" t="s">
        <v>1165</v>
      </c>
    </row>
    <row r="1344" spans="1:9" ht="14.1" customHeight="1" x14ac:dyDescent="0.2">
      <c r="A1344" s="95" t="s">
        <v>2620</v>
      </c>
      <c r="B1344" s="95">
        <v>96</v>
      </c>
      <c r="C1344" s="95" t="s">
        <v>520</v>
      </c>
      <c r="D1344" s="95">
        <v>2012</v>
      </c>
      <c r="E1344" s="95">
        <v>1</v>
      </c>
      <c r="F1344" s="95" t="s">
        <v>1194</v>
      </c>
      <c r="G1344" s="95" t="s">
        <v>1195</v>
      </c>
      <c r="H1344" s="95" t="s">
        <v>1194</v>
      </c>
      <c r="I1344" s="95" t="s">
        <v>1196</v>
      </c>
    </row>
    <row r="1345" spans="1:9" ht="14.1" customHeight="1" x14ac:dyDescent="0.2">
      <c r="A1345" s="95" t="s">
        <v>2621</v>
      </c>
      <c r="B1345" s="95">
        <v>96</v>
      </c>
      <c r="C1345" s="95" t="s">
        <v>524</v>
      </c>
      <c r="D1345" s="95">
        <v>2012</v>
      </c>
      <c r="E1345" s="95">
        <v>5</v>
      </c>
      <c r="F1345" s="95" t="s">
        <v>1194</v>
      </c>
      <c r="G1345" s="95" t="s">
        <v>1197</v>
      </c>
      <c r="H1345" s="95" t="s">
        <v>1194</v>
      </c>
      <c r="I1345" s="95" t="s">
        <v>1198</v>
      </c>
    </row>
    <row r="1346" spans="1:9" ht="14.1" customHeight="1" x14ac:dyDescent="0.2">
      <c r="A1346" s="95" t="s">
        <v>2622</v>
      </c>
      <c r="B1346" s="95">
        <v>96</v>
      </c>
      <c r="C1346" s="95" t="s">
        <v>526</v>
      </c>
      <c r="D1346" s="95">
        <v>2012</v>
      </c>
      <c r="E1346" s="95">
        <v>1</v>
      </c>
      <c r="F1346" s="95" t="s">
        <v>1194</v>
      </c>
      <c r="G1346" s="95" t="s">
        <v>664</v>
      </c>
      <c r="H1346" s="95" t="s">
        <v>1194</v>
      </c>
      <c r="I1346" s="95" t="s">
        <v>1199</v>
      </c>
    </row>
    <row r="1347" spans="1:9" ht="14.1" customHeight="1" x14ac:dyDescent="0.2">
      <c r="A1347" s="95" t="s">
        <v>2623</v>
      </c>
      <c r="B1347" s="95">
        <v>96</v>
      </c>
      <c r="C1347" s="95" t="s">
        <v>528</v>
      </c>
      <c r="D1347" s="95">
        <v>2012</v>
      </c>
      <c r="E1347" s="95">
        <v>2</v>
      </c>
      <c r="F1347" s="95" t="s">
        <v>1194</v>
      </c>
      <c r="G1347" s="95" t="s">
        <v>1172</v>
      </c>
      <c r="H1347" s="95" t="s">
        <v>1194</v>
      </c>
      <c r="I1347" s="95" t="s">
        <v>1173</v>
      </c>
    </row>
    <row r="1348" spans="1:9" ht="14.1" customHeight="1" x14ac:dyDescent="0.2">
      <c r="A1348" s="95" t="s">
        <v>2624</v>
      </c>
      <c r="B1348" s="95">
        <v>96</v>
      </c>
      <c r="C1348" s="95" t="s">
        <v>530</v>
      </c>
      <c r="D1348" s="95">
        <v>2012</v>
      </c>
      <c r="E1348" s="95">
        <v>1</v>
      </c>
      <c r="F1348" s="95" t="s">
        <v>1194</v>
      </c>
      <c r="G1348" s="95" t="s">
        <v>665</v>
      </c>
      <c r="H1348" s="95" t="s">
        <v>1194</v>
      </c>
      <c r="I1348" s="95" t="s">
        <v>1174</v>
      </c>
    </row>
    <row r="1349" spans="1:9" ht="14.1" customHeight="1" x14ac:dyDescent="0.2">
      <c r="A1349" s="95" t="s">
        <v>2625</v>
      </c>
      <c r="B1349" s="95">
        <v>96</v>
      </c>
      <c r="C1349" s="95" t="s">
        <v>532</v>
      </c>
      <c r="D1349" s="95">
        <v>2012</v>
      </c>
      <c r="E1349" s="95">
        <v>1</v>
      </c>
      <c r="F1349" s="95" t="s">
        <v>1194</v>
      </c>
      <c r="G1349" s="95" t="s">
        <v>1200</v>
      </c>
      <c r="H1349" s="95" t="s">
        <v>1194</v>
      </c>
      <c r="I1349" s="95" t="s">
        <v>1201</v>
      </c>
    </row>
    <row r="1350" spans="1:9" ht="14.1" customHeight="1" x14ac:dyDescent="0.2">
      <c r="A1350" s="95" t="s">
        <v>2626</v>
      </c>
      <c r="B1350" s="95">
        <v>96</v>
      </c>
      <c r="C1350" s="95" t="s">
        <v>534</v>
      </c>
      <c r="D1350" s="95">
        <v>2012</v>
      </c>
      <c r="E1350" s="95">
        <v>1</v>
      </c>
      <c r="F1350" s="95" t="s">
        <v>1194</v>
      </c>
      <c r="G1350" s="95" t="s">
        <v>1202</v>
      </c>
      <c r="H1350" s="95" t="s">
        <v>1194</v>
      </c>
      <c r="I1350" s="95" t="s">
        <v>1203</v>
      </c>
    </row>
    <row r="1351" spans="1:9" ht="14.1" customHeight="1" x14ac:dyDescent="0.2">
      <c r="A1351" s="95" t="s">
        <v>2627</v>
      </c>
      <c r="B1351" s="95">
        <v>96</v>
      </c>
      <c r="C1351" s="95" t="s">
        <v>536</v>
      </c>
      <c r="D1351" s="95">
        <v>2012</v>
      </c>
      <c r="E1351" s="95">
        <v>2</v>
      </c>
      <c r="F1351" s="95" t="s">
        <v>1194</v>
      </c>
      <c r="G1351" s="95" t="s">
        <v>666</v>
      </c>
      <c r="H1351" s="95" t="s">
        <v>1194</v>
      </c>
      <c r="I1351" s="95" t="s">
        <v>1176</v>
      </c>
    </row>
    <row r="1352" spans="1:9" ht="14.1" customHeight="1" x14ac:dyDescent="0.2">
      <c r="A1352" s="95" t="s">
        <v>2628</v>
      </c>
      <c r="B1352" s="95">
        <v>96</v>
      </c>
      <c r="C1352" s="95" t="s">
        <v>538</v>
      </c>
      <c r="D1352" s="95">
        <v>2012</v>
      </c>
      <c r="E1352" s="95">
        <v>2</v>
      </c>
      <c r="F1352" s="95" t="s">
        <v>1194</v>
      </c>
      <c r="G1352" s="95" t="s">
        <v>667</v>
      </c>
      <c r="H1352" s="95" t="s">
        <v>1194</v>
      </c>
      <c r="I1352" s="95" t="s">
        <v>1178</v>
      </c>
    </row>
    <row r="1353" spans="1:9" ht="14.1" customHeight="1" x14ac:dyDescent="0.2">
      <c r="A1353" s="95" t="s">
        <v>2629</v>
      </c>
      <c r="B1353" s="95">
        <v>96</v>
      </c>
      <c r="C1353" s="95" t="s">
        <v>542</v>
      </c>
      <c r="D1353" s="95">
        <v>2012</v>
      </c>
      <c r="E1353" s="95">
        <v>1</v>
      </c>
      <c r="F1353" s="95" t="s">
        <v>1194</v>
      </c>
      <c r="G1353" s="95" t="s">
        <v>1204</v>
      </c>
      <c r="H1353" s="95" t="s">
        <v>1194</v>
      </c>
      <c r="I1353" s="95" t="s">
        <v>1205</v>
      </c>
    </row>
    <row r="1354" spans="1:9" ht="14.1" customHeight="1" x14ac:dyDescent="0.2">
      <c r="A1354" s="95" t="s">
        <v>2630</v>
      </c>
      <c r="B1354" s="95">
        <v>96</v>
      </c>
      <c r="C1354" s="95" t="s">
        <v>544</v>
      </c>
      <c r="D1354" s="95">
        <v>2012</v>
      </c>
      <c r="E1354" s="95">
        <v>1</v>
      </c>
      <c r="F1354" s="95" t="s">
        <v>1194</v>
      </c>
      <c r="G1354" s="95" t="s">
        <v>1206</v>
      </c>
      <c r="H1354" s="95" t="s">
        <v>1194</v>
      </c>
      <c r="I1354" s="95" t="s">
        <v>1179</v>
      </c>
    </row>
    <row r="1355" spans="1:9" ht="14.1" customHeight="1" x14ac:dyDescent="0.2">
      <c r="A1355" s="95" t="s">
        <v>2631</v>
      </c>
      <c r="B1355" s="95">
        <v>96</v>
      </c>
      <c r="C1355" s="95" t="s">
        <v>546</v>
      </c>
      <c r="D1355" s="95">
        <v>2012</v>
      </c>
      <c r="E1355" s="95">
        <v>1</v>
      </c>
      <c r="F1355" s="95" t="s">
        <v>1194</v>
      </c>
      <c r="G1355" s="95" t="s">
        <v>669</v>
      </c>
      <c r="H1355" s="95" t="s">
        <v>1194</v>
      </c>
      <c r="I1355" s="95" t="s">
        <v>1180</v>
      </c>
    </row>
    <row r="1356" spans="1:9" ht="14.1" customHeight="1" x14ac:dyDescent="0.2">
      <c r="A1356" s="95" t="s">
        <v>2632</v>
      </c>
      <c r="B1356" s="95">
        <v>96</v>
      </c>
      <c r="C1356" s="95" t="s">
        <v>548</v>
      </c>
      <c r="D1356" s="95">
        <v>2012</v>
      </c>
      <c r="E1356" s="95">
        <v>1</v>
      </c>
      <c r="F1356" s="95" t="s">
        <v>1194</v>
      </c>
      <c r="G1356" s="95" t="s">
        <v>675</v>
      </c>
      <c r="H1356" s="95" t="s">
        <v>1194</v>
      </c>
      <c r="I1356" s="95" t="s">
        <v>1207</v>
      </c>
    </row>
    <row r="1357" spans="1:9" ht="14.1" customHeight="1" x14ac:dyDescent="0.2">
      <c r="A1357" s="95" t="s">
        <v>2633</v>
      </c>
      <c r="B1357" s="95">
        <v>96</v>
      </c>
      <c r="C1357" s="95" t="s">
        <v>483</v>
      </c>
      <c r="D1357" s="95">
        <v>2012</v>
      </c>
      <c r="E1357" s="95">
        <v>1</v>
      </c>
      <c r="F1357" s="95" t="s">
        <v>1194</v>
      </c>
      <c r="G1357" s="95" t="s">
        <v>1095</v>
      </c>
      <c r="H1357" s="95" t="s">
        <v>1194</v>
      </c>
      <c r="I1357" s="95" t="s">
        <v>1096</v>
      </c>
    </row>
    <row r="1358" spans="1:9" ht="14.1" customHeight="1" x14ac:dyDescent="0.2">
      <c r="A1358" s="95" t="s">
        <v>2634</v>
      </c>
      <c r="B1358" s="95">
        <v>96</v>
      </c>
      <c r="C1358" s="95" t="s">
        <v>488</v>
      </c>
      <c r="D1358" s="95">
        <v>2012</v>
      </c>
      <c r="E1358" s="95">
        <v>6</v>
      </c>
      <c r="F1358" s="95" t="s">
        <v>1194</v>
      </c>
      <c r="G1358" s="95" t="s">
        <v>676</v>
      </c>
      <c r="H1358" s="95" t="s">
        <v>1194</v>
      </c>
      <c r="I1358" s="95" t="s">
        <v>1208</v>
      </c>
    </row>
    <row r="1359" spans="1:9" ht="14.1" customHeight="1" x14ac:dyDescent="0.2">
      <c r="A1359" s="95" t="s">
        <v>2635</v>
      </c>
      <c r="B1359" s="95">
        <v>96</v>
      </c>
      <c r="C1359" s="95" t="s">
        <v>487</v>
      </c>
      <c r="D1359" s="95">
        <v>2012</v>
      </c>
      <c r="E1359" s="95">
        <v>1</v>
      </c>
      <c r="F1359" s="95" t="s">
        <v>1194</v>
      </c>
      <c r="G1359" s="95" t="s">
        <v>1209</v>
      </c>
      <c r="H1359" s="95" t="s">
        <v>1194</v>
      </c>
      <c r="I1359" s="95" t="s">
        <v>1100</v>
      </c>
    </row>
    <row r="1360" spans="1:9" ht="14.1" customHeight="1" x14ac:dyDescent="0.2">
      <c r="A1360" s="95" t="s">
        <v>2636</v>
      </c>
      <c r="B1360" s="95">
        <v>96</v>
      </c>
      <c r="C1360" s="95" t="s">
        <v>486</v>
      </c>
      <c r="D1360" s="95">
        <v>2012</v>
      </c>
      <c r="E1360" s="95">
        <v>1</v>
      </c>
      <c r="F1360" s="95" t="s">
        <v>1194</v>
      </c>
      <c r="G1360" s="95" t="s">
        <v>1210</v>
      </c>
      <c r="H1360" s="95" t="s">
        <v>1194</v>
      </c>
      <c r="I1360" s="95" t="s">
        <v>1211</v>
      </c>
    </row>
    <row r="1361" spans="1:9" ht="14.1" customHeight="1" x14ac:dyDescent="0.2">
      <c r="A1361" s="95" t="s">
        <v>2637</v>
      </c>
      <c r="B1361" s="95">
        <v>96</v>
      </c>
      <c r="C1361" s="95" t="s">
        <v>482</v>
      </c>
      <c r="D1361" s="95">
        <v>2012</v>
      </c>
      <c r="E1361" s="95">
        <v>3</v>
      </c>
      <c r="F1361" s="95" t="s">
        <v>1194</v>
      </c>
      <c r="G1361" s="95" t="s">
        <v>1212</v>
      </c>
      <c r="H1361" s="95" t="s">
        <v>1194</v>
      </c>
      <c r="I1361" s="95" t="s">
        <v>1185</v>
      </c>
    </row>
    <row r="1362" spans="1:9" ht="14.1" customHeight="1" x14ac:dyDescent="0.2">
      <c r="A1362" s="95" t="s">
        <v>2638</v>
      </c>
      <c r="B1362" s="95">
        <v>96</v>
      </c>
      <c r="C1362" s="95" t="s">
        <v>490</v>
      </c>
      <c r="D1362" s="95">
        <v>2012</v>
      </c>
      <c r="E1362" s="95">
        <v>1</v>
      </c>
      <c r="F1362" s="95" t="s">
        <v>1194</v>
      </c>
      <c r="G1362" s="95" t="s">
        <v>671</v>
      </c>
      <c r="H1362" s="95" t="s">
        <v>1194</v>
      </c>
      <c r="I1362" s="95" t="s">
        <v>1213</v>
      </c>
    </row>
    <row r="1363" spans="1:9" ht="14.1" customHeight="1" x14ac:dyDescent="0.2">
      <c r="A1363" s="95" t="s">
        <v>2639</v>
      </c>
      <c r="B1363" s="95">
        <v>96</v>
      </c>
      <c r="C1363" s="95" t="s">
        <v>481</v>
      </c>
      <c r="D1363" s="95">
        <v>2012</v>
      </c>
      <c r="E1363" s="95">
        <v>10</v>
      </c>
      <c r="F1363" s="95" t="s">
        <v>1194</v>
      </c>
      <c r="G1363" s="95" t="s">
        <v>672</v>
      </c>
      <c r="H1363" s="95" t="s">
        <v>1194</v>
      </c>
      <c r="I1363" s="95" t="s">
        <v>1214</v>
      </c>
    </row>
    <row r="1364" spans="1:9" ht="14.1" customHeight="1" x14ac:dyDescent="0.2">
      <c r="A1364" s="95" t="s">
        <v>2640</v>
      </c>
      <c r="B1364" s="95">
        <v>96</v>
      </c>
      <c r="C1364" s="95" t="s">
        <v>484</v>
      </c>
      <c r="D1364" s="95">
        <v>2012</v>
      </c>
      <c r="E1364" s="95">
        <v>1</v>
      </c>
      <c r="F1364" s="95" t="s">
        <v>1194</v>
      </c>
      <c r="G1364" s="95" t="s">
        <v>677</v>
      </c>
      <c r="H1364" s="95" t="s">
        <v>1194</v>
      </c>
      <c r="I1364" s="95" t="s">
        <v>1215</v>
      </c>
    </row>
    <row r="1365" spans="1:9" ht="14.1" customHeight="1" x14ac:dyDescent="0.2">
      <c r="A1365" s="95" t="s">
        <v>2641</v>
      </c>
      <c r="B1365" s="95">
        <v>96</v>
      </c>
      <c r="C1365" s="95" t="s">
        <v>485</v>
      </c>
      <c r="D1365" s="95">
        <v>2012</v>
      </c>
      <c r="E1365" s="95">
        <v>5</v>
      </c>
      <c r="F1365" s="95" t="s">
        <v>1194</v>
      </c>
      <c r="G1365" s="95" t="s">
        <v>673</v>
      </c>
      <c r="H1365" s="95" t="s">
        <v>1194</v>
      </c>
      <c r="I1365" s="95" t="s">
        <v>1216</v>
      </c>
    </row>
    <row r="1366" spans="1:9" ht="14.1" customHeight="1" x14ac:dyDescent="0.2">
      <c r="A1366" s="95" t="s">
        <v>2642</v>
      </c>
      <c r="B1366" s="95">
        <v>96</v>
      </c>
      <c r="C1366" s="95" t="s">
        <v>489</v>
      </c>
      <c r="D1366" s="95">
        <v>2012</v>
      </c>
      <c r="E1366" s="95">
        <v>2</v>
      </c>
      <c r="F1366" s="95" t="s">
        <v>1194</v>
      </c>
      <c r="G1366" s="95" t="s">
        <v>674</v>
      </c>
      <c r="H1366" s="95" t="s">
        <v>1194</v>
      </c>
      <c r="I1366" s="95" t="s">
        <v>1217</v>
      </c>
    </row>
    <row r="1367" spans="1:9" ht="14.1" customHeight="1" x14ac:dyDescent="0.2">
      <c r="A1367" s="95" t="s">
        <v>2643</v>
      </c>
      <c r="B1367" s="95">
        <v>97</v>
      </c>
      <c r="C1367" s="95" t="s">
        <v>518</v>
      </c>
      <c r="D1367" s="95">
        <v>2012</v>
      </c>
      <c r="E1367" s="95">
        <v>2</v>
      </c>
      <c r="F1367" s="95" t="s">
        <v>1156</v>
      </c>
      <c r="G1367" s="95" t="s">
        <v>678</v>
      </c>
      <c r="H1367" s="95" t="s">
        <v>1156</v>
      </c>
      <c r="I1367" s="95" t="s">
        <v>1218</v>
      </c>
    </row>
    <row r="1368" spans="1:9" ht="14.1" customHeight="1" x14ac:dyDescent="0.2">
      <c r="A1368" s="95" t="s">
        <v>2644</v>
      </c>
      <c r="B1368" s="95">
        <v>97</v>
      </c>
      <c r="C1368" s="95" t="s">
        <v>520</v>
      </c>
      <c r="D1368" s="95">
        <v>2012</v>
      </c>
      <c r="E1368" s="95">
        <v>1</v>
      </c>
      <c r="F1368" s="95" t="s">
        <v>1156</v>
      </c>
      <c r="G1368" s="95" t="s">
        <v>679</v>
      </c>
      <c r="H1368" s="95" t="s">
        <v>1156</v>
      </c>
      <c r="I1368" s="95" t="s">
        <v>1219</v>
      </c>
    </row>
    <row r="1369" spans="1:9" ht="14.1" customHeight="1" x14ac:dyDescent="0.2">
      <c r="A1369" s="95" t="s">
        <v>2645</v>
      </c>
      <c r="B1369" s="95">
        <v>97</v>
      </c>
      <c r="C1369" s="95" t="s">
        <v>524</v>
      </c>
      <c r="D1369" s="95">
        <v>2012</v>
      </c>
      <c r="E1369" s="95">
        <v>3</v>
      </c>
      <c r="F1369" s="95" t="s">
        <v>1156</v>
      </c>
      <c r="G1369" s="95" t="s">
        <v>1220</v>
      </c>
      <c r="H1369" s="95" t="s">
        <v>1156</v>
      </c>
      <c r="I1369" s="95" t="s">
        <v>1221</v>
      </c>
    </row>
    <row r="1370" spans="1:9" ht="14.1" customHeight="1" x14ac:dyDescent="0.2">
      <c r="A1370" s="95" t="s">
        <v>2646</v>
      </c>
      <c r="B1370" s="95">
        <v>97</v>
      </c>
      <c r="C1370" s="95" t="s">
        <v>526</v>
      </c>
      <c r="D1370" s="95">
        <v>2012</v>
      </c>
      <c r="E1370" s="95">
        <v>1</v>
      </c>
      <c r="F1370" s="95" t="s">
        <v>1156</v>
      </c>
      <c r="G1370" s="95" t="s">
        <v>679</v>
      </c>
      <c r="H1370" s="95" t="s">
        <v>1156</v>
      </c>
      <c r="I1370" s="95" t="s">
        <v>1219</v>
      </c>
    </row>
    <row r="1371" spans="1:9" ht="14.1" customHeight="1" x14ac:dyDescent="0.2">
      <c r="A1371" s="95" t="s">
        <v>2647</v>
      </c>
      <c r="B1371" s="95">
        <v>97</v>
      </c>
      <c r="C1371" s="95" t="s">
        <v>528</v>
      </c>
      <c r="D1371" s="95">
        <v>2012</v>
      </c>
      <c r="E1371" s="95">
        <v>3</v>
      </c>
      <c r="F1371" s="95" t="s">
        <v>1156</v>
      </c>
      <c r="G1371" s="95">
        <v>0</v>
      </c>
      <c r="H1371" s="95" t="s">
        <v>1156</v>
      </c>
      <c r="I1371" s="95">
        <v>0</v>
      </c>
    </row>
    <row r="1372" spans="1:9" ht="14.1" customHeight="1" x14ac:dyDescent="0.2">
      <c r="A1372" s="95" t="s">
        <v>2648</v>
      </c>
      <c r="B1372" s="95">
        <v>97</v>
      </c>
      <c r="C1372" s="95" t="s">
        <v>530</v>
      </c>
      <c r="D1372" s="95">
        <v>2012</v>
      </c>
      <c r="E1372" s="95">
        <v>6</v>
      </c>
      <c r="F1372" s="95" t="s">
        <v>1156</v>
      </c>
      <c r="G1372" s="95" t="s">
        <v>1222</v>
      </c>
      <c r="H1372" s="95" t="s">
        <v>1156</v>
      </c>
      <c r="I1372" s="95" t="s">
        <v>1223</v>
      </c>
    </row>
    <row r="1373" spans="1:9" ht="14.1" customHeight="1" x14ac:dyDescent="0.2">
      <c r="A1373" s="95" t="s">
        <v>2649</v>
      </c>
      <c r="B1373" s="95">
        <v>97</v>
      </c>
      <c r="C1373" s="95" t="s">
        <v>532</v>
      </c>
      <c r="D1373" s="95">
        <v>2012</v>
      </c>
      <c r="E1373" s="95">
        <v>1</v>
      </c>
      <c r="F1373" s="95" t="s">
        <v>1156</v>
      </c>
      <c r="G1373" s="95" t="s">
        <v>679</v>
      </c>
      <c r="H1373" s="95" t="s">
        <v>1156</v>
      </c>
      <c r="I1373" s="95" t="s">
        <v>1219</v>
      </c>
    </row>
    <row r="1374" spans="1:9" ht="14.1" customHeight="1" x14ac:dyDescent="0.2">
      <c r="A1374" s="95" t="s">
        <v>2650</v>
      </c>
      <c r="B1374" s="95">
        <v>97</v>
      </c>
      <c r="C1374" s="95" t="s">
        <v>534</v>
      </c>
      <c r="D1374" s="95">
        <v>2012</v>
      </c>
      <c r="E1374" s="95">
        <v>1</v>
      </c>
      <c r="F1374" s="95" t="s">
        <v>1156</v>
      </c>
      <c r="G1374" s="95" t="s">
        <v>679</v>
      </c>
      <c r="H1374" s="95" t="s">
        <v>1156</v>
      </c>
      <c r="I1374" s="95" t="s">
        <v>1219</v>
      </c>
    </row>
    <row r="1375" spans="1:9" ht="14.1" customHeight="1" x14ac:dyDescent="0.2">
      <c r="A1375" s="95" t="s">
        <v>2651</v>
      </c>
      <c r="B1375" s="95">
        <v>97</v>
      </c>
      <c r="C1375" s="95" t="s">
        <v>536</v>
      </c>
      <c r="D1375" s="95">
        <v>2012</v>
      </c>
      <c r="E1375" s="95">
        <v>1</v>
      </c>
      <c r="F1375" s="95" t="s">
        <v>1156</v>
      </c>
      <c r="G1375" s="95" t="s">
        <v>679</v>
      </c>
      <c r="H1375" s="95" t="s">
        <v>1156</v>
      </c>
      <c r="I1375" s="95" t="s">
        <v>1219</v>
      </c>
    </row>
    <row r="1376" spans="1:9" ht="14.1" customHeight="1" x14ac:dyDescent="0.2">
      <c r="A1376" s="95" t="s">
        <v>2652</v>
      </c>
      <c r="B1376" s="95">
        <v>97</v>
      </c>
      <c r="C1376" s="95" t="s">
        <v>538</v>
      </c>
      <c r="D1376" s="95">
        <v>2012</v>
      </c>
      <c r="E1376" s="95">
        <v>3</v>
      </c>
      <c r="F1376" s="95" t="s">
        <v>1156</v>
      </c>
      <c r="G1376" s="95" t="s">
        <v>680</v>
      </c>
      <c r="H1376" s="95" t="s">
        <v>1156</v>
      </c>
      <c r="I1376" s="95" t="s">
        <v>1224</v>
      </c>
    </row>
    <row r="1377" spans="1:9" ht="14.1" customHeight="1" x14ac:dyDescent="0.2">
      <c r="A1377" s="95" t="s">
        <v>2653</v>
      </c>
      <c r="B1377" s="95">
        <v>97</v>
      </c>
      <c r="C1377" s="95" t="s">
        <v>542</v>
      </c>
      <c r="D1377" s="95">
        <v>2012</v>
      </c>
      <c r="E1377" s="95">
        <v>2</v>
      </c>
      <c r="F1377" s="95" t="s">
        <v>1156</v>
      </c>
      <c r="G1377" s="95" t="s">
        <v>679</v>
      </c>
      <c r="H1377" s="95" t="s">
        <v>1156</v>
      </c>
      <c r="I1377" s="95" t="s">
        <v>1219</v>
      </c>
    </row>
    <row r="1378" spans="1:9" ht="14.1" customHeight="1" x14ac:dyDescent="0.2">
      <c r="A1378" s="95" t="s">
        <v>2654</v>
      </c>
      <c r="B1378" s="95">
        <v>97</v>
      </c>
      <c r="C1378" s="95" t="s">
        <v>544</v>
      </c>
      <c r="D1378" s="95">
        <v>2012</v>
      </c>
      <c r="E1378" s="95">
        <v>1</v>
      </c>
      <c r="F1378" s="95" t="s">
        <v>1156</v>
      </c>
      <c r="G1378" s="95" t="s">
        <v>679</v>
      </c>
      <c r="H1378" s="95" t="s">
        <v>1156</v>
      </c>
      <c r="I1378" s="95" t="s">
        <v>1219</v>
      </c>
    </row>
    <row r="1379" spans="1:9" ht="14.1" customHeight="1" x14ac:dyDescent="0.2">
      <c r="A1379" s="95" t="s">
        <v>2655</v>
      </c>
      <c r="B1379" s="95">
        <v>97</v>
      </c>
      <c r="C1379" s="95" t="s">
        <v>546</v>
      </c>
      <c r="D1379" s="95">
        <v>2012</v>
      </c>
      <c r="E1379" s="95">
        <v>2</v>
      </c>
      <c r="F1379" s="95" t="s">
        <v>1156</v>
      </c>
      <c r="G1379" s="95" t="s">
        <v>1225</v>
      </c>
      <c r="H1379" s="95" t="s">
        <v>1156</v>
      </c>
      <c r="I1379" s="95" t="s">
        <v>1226</v>
      </c>
    </row>
    <row r="1380" spans="1:9" ht="14.1" customHeight="1" x14ac:dyDescent="0.2">
      <c r="A1380" s="95" t="s">
        <v>2656</v>
      </c>
      <c r="B1380" s="95">
        <v>97</v>
      </c>
      <c r="C1380" s="95" t="s">
        <v>548</v>
      </c>
      <c r="D1380" s="95">
        <v>2012</v>
      </c>
      <c r="E1380" s="95">
        <v>3</v>
      </c>
      <c r="F1380" s="95" t="s">
        <v>1156</v>
      </c>
      <c r="G1380" s="95" t="s">
        <v>681</v>
      </c>
      <c r="H1380" s="95" t="s">
        <v>1156</v>
      </c>
      <c r="I1380" s="95" t="s">
        <v>1227</v>
      </c>
    </row>
    <row r="1381" spans="1:9" ht="14.1" customHeight="1" x14ac:dyDescent="0.2">
      <c r="A1381" s="95" t="s">
        <v>2657</v>
      </c>
      <c r="B1381" s="95">
        <v>97</v>
      </c>
      <c r="C1381" s="95" t="s">
        <v>483</v>
      </c>
      <c r="D1381" s="95">
        <v>2012</v>
      </c>
      <c r="E1381" s="95">
        <v>2</v>
      </c>
      <c r="F1381" s="95" t="s">
        <v>1156</v>
      </c>
      <c r="G1381" s="95" t="s">
        <v>679</v>
      </c>
      <c r="H1381" s="95" t="s">
        <v>1156</v>
      </c>
      <c r="I1381" s="95" t="s">
        <v>1219</v>
      </c>
    </row>
    <row r="1382" spans="1:9" ht="14.1" customHeight="1" x14ac:dyDescent="0.2">
      <c r="A1382" s="95" t="s">
        <v>2658</v>
      </c>
      <c r="B1382" s="95">
        <v>97</v>
      </c>
      <c r="C1382" s="95" t="s">
        <v>488</v>
      </c>
      <c r="D1382" s="95">
        <v>2012</v>
      </c>
      <c r="E1382" s="95">
        <v>6</v>
      </c>
      <c r="F1382" s="95" t="s">
        <v>1156</v>
      </c>
      <c r="G1382" s="95" t="s">
        <v>682</v>
      </c>
      <c r="H1382" s="95" t="s">
        <v>1156</v>
      </c>
      <c r="I1382" s="95" t="s">
        <v>1228</v>
      </c>
    </row>
    <row r="1383" spans="1:9" ht="14.1" customHeight="1" x14ac:dyDescent="0.2">
      <c r="A1383" s="95" t="s">
        <v>2659</v>
      </c>
      <c r="B1383" s="95">
        <v>97</v>
      </c>
      <c r="C1383" s="95" t="s">
        <v>487</v>
      </c>
      <c r="D1383" s="95">
        <v>2012</v>
      </c>
      <c r="E1383" s="95">
        <v>4</v>
      </c>
      <c r="F1383" s="95" t="s">
        <v>1156</v>
      </c>
      <c r="G1383" s="95" t="s">
        <v>1229</v>
      </c>
      <c r="H1383" s="95" t="s">
        <v>1156</v>
      </c>
      <c r="I1383" s="95" t="s">
        <v>1230</v>
      </c>
    </row>
    <row r="1384" spans="1:9" ht="14.1" customHeight="1" x14ac:dyDescent="0.2">
      <c r="A1384" s="95" t="s">
        <v>2660</v>
      </c>
      <c r="B1384" s="95">
        <v>97</v>
      </c>
      <c r="C1384" s="95" t="s">
        <v>486</v>
      </c>
      <c r="D1384" s="95">
        <v>2012</v>
      </c>
      <c r="E1384" s="95">
        <v>3</v>
      </c>
      <c r="F1384" s="95" t="s">
        <v>1156</v>
      </c>
      <c r="G1384" s="95" t="s">
        <v>683</v>
      </c>
      <c r="H1384" s="95" t="s">
        <v>1156</v>
      </c>
      <c r="I1384" s="95" t="s">
        <v>1231</v>
      </c>
    </row>
    <row r="1385" spans="1:9" ht="14.1" customHeight="1" x14ac:dyDescent="0.2">
      <c r="A1385" s="95" t="s">
        <v>2661</v>
      </c>
      <c r="B1385" s="95">
        <v>97</v>
      </c>
      <c r="C1385" s="95" t="s">
        <v>482</v>
      </c>
      <c r="D1385" s="95">
        <v>2012</v>
      </c>
      <c r="E1385" s="95">
        <v>3</v>
      </c>
      <c r="F1385" s="95" t="s">
        <v>1156</v>
      </c>
      <c r="G1385" s="95" t="s">
        <v>684</v>
      </c>
      <c r="H1385" s="95" t="s">
        <v>1156</v>
      </c>
      <c r="I1385" s="95" t="s">
        <v>1232</v>
      </c>
    </row>
    <row r="1386" spans="1:9" ht="14.1" customHeight="1" x14ac:dyDescent="0.2">
      <c r="A1386" s="95" t="s">
        <v>2662</v>
      </c>
      <c r="B1386" s="95">
        <v>97</v>
      </c>
      <c r="C1386" s="95" t="s">
        <v>490</v>
      </c>
      <c r="D1386" s="95">
        <v>2012</v>
      </c>
      <c r="E1386" s="95">
        <v>3</v>
      </c>
      <c r="F1386" s="95" t="s">
        <v>1156</v>
      </c>
      <c r="G1386" s="95" t="s">
        <v>1233</v>
      </c>
      <c r="H1386" s="95" t="s">
        <v>1156</v>
      </c>
      <c r="I1386" s="95" t="s">
        <v>1234</v>
      </c>
    </row>
    <row r="1387" spans="1:9" ht="14.1" customHeight="1" x14ac:dyDescent="0.2">
      <c r="A1387" s="95" t="s">
        <v>2663</v>
      </c>
      <c r="B1387" s="95">
        <v>97</v>
      </c>
      <c r="C1387" s="95" t="s">
        <v>481</v>
      </c>
      <c r="D1387" s="95">
        <v>2012</v>
      </c>
      <c r="E1387" s="95">
        <v>6</v>
      </c>
      <c r="F1387" s="95" t="s">
        <v>1156</v>
      </c>
      <c r="G1387" s="95" t="s">
        <v>685</v>
      </c>
      <c r="H1387" s="95" t="s">
        <v>1156</v>
      </c>
      <c r="I1387" s="95" t="s">
        <v>1235</v>
      </c>
    </row>
    <row r="1388" spans="1:9" ht="14.1" customHeight="1" x14ac:dyDescent="0.2">
      <c r="A1388" s="95" t="s">
        <v>2664</v>
      </c>
      <c r="B1388" s="95">
        <v>97</v>
      </c>
      <c r="C1388" s="95" t="s">
        <v>484</v>
      </c>
      <c r="D1388" s="95">
        <v>2012</v>
      </c>
      <c r="E1388" s="95">
        <v>2</v>
      </c>
      <c r="F1388" s="95" t="s">
        <v>1156</v>
      </c>
      <c r="G1388" s="95" t="s">
        <v>686</v>
      </c>
      <c r="H1388" s="95" t="s">
        <v>1156</v>
      </c>
      <c r="I1388" s="95" t="s">
        <v>1236</v>
      </c>
    </row>
    <row r="1389" spans="1:9" ht="14.1" customHeight="1" x14ac:dyDescent="0.2">
      <c r="A1389" s="95" t="s">
        <v>2665</v>
      </c>
      <c r="B1389" s="95">
        <v>97</v>
      </c>
      <c r="C1389" s="95" t="s">
        <v>485</v>
      </c>
      <c r="D1389" s="95">
        <v>2012</v>
      </c>
      <c r="E1389" s="95">
        <v>2</v>
      </c>
      <c r="F1389" s="95" t="s">
        <v>1156</v>
      </c>
      <c r="G1389" s="95" t="s">
        <v>687</v>
      </c>
      <c r="H1389" s="95" t="s">
        <v>1156</v>
      </c>
      <c r="I1389" s="95" t="s">
        <v>1237</v>
      </c>
    </row>
    <row r="1390" spans="1:9" ht="14.1" customHeight="1" x14ac:dyDescent="0.2">
      <c r="A1390" s="95" t="s">
        <v>2666</v>
      </c>
      <c r="B1390" s="95">
        <v>97</v>
      </c>
      <c r="C1390" s="95" t="s">
        <v>489</v>
      </c>
      <c r="D1390" s="95">
        <v>2012</v>
      </c>
      <c r="E1390" s="95">
        <v>2</v>
      </c>
      <c r="F1390" s="95" t="s">
        <v>1156</v>
      </c>
      <c r="G1390" s="95" t="s">
        <v>688</v>
      </c>
      <c r="H1390" s="95" t="s">
        <v>1156</v>
      </c>
      <c r="I1390" s="95" t="s">
        <v>1238</v>
      </c>
    </row>
    <row r="1391" spans="1:9" ht="14.1" customHeight="1" x14ac:dyDescent="0.2">
      <c r="A1391" s="95" t="s">
        <v>2667</v>
      </c>
      <c r="B1391" s="95">
        <v>98</v>
      </c>
      <c r="C1391" s="95" t="s">
        <v>518</v>
      </c>
      <c r="D1391" s="95">
        <v>2012</v>
      </c>
      <c r="E1391" s="95">
        <v>3.1208675666749799</v>
      </c>
      <c r="F1391" s="95" t="s">
        <v>3094</v>
      </c>
      <c r="G1391" s="95">
        <v>0</v>
      </c>
      <c r="H1391" s="95" t="s">
        <v>3094</v>
      </c>
      <c r="I1391" s="95">
        <v>0</v>
      </c>
    </row>
    <row r="1392" spans="1:9" ht="14.1" customHeight="1" x14ac:dyDescent="0.2">
      <c r="A1392" s="95" t="s">
        <v>2668</v>
      </c>
      <c r="B1392" s="95">
        <v>98</v>
      </c>
      <c r="C1392" s="95" t="s">
        <v>520</v>
      </c>
      <c r="D1392" s="95">
        <v>2012</v>
      </c>
      <c r="E1392" s="95">
        <v>14.281169602216499</v>
      </c>
      <c r="F1392" s="95" t="s">
        <v>574</v>
      </c>
      <c r="G1392" s="95">
        <v>0</v>
      </c>
      <c r="H1392" s="95" t="s">
        <v>574</v>
      </c>
      <c r="I1392" s="95">
        <v>0</v>
      </c>
    </row>
    <row r="1393" spans="1:9" ht="14.1" customHeight="1" x14ac:dyDescent="0.2">
      <c r="A1393" s="95" t="s">
        <v>2669</v>
      </c>
      <c r="B1393" s="95">
        <v>98</v>
      </c>
      <c r="C1393" s="95" t="s">
        <v>524</v>
      </c>
      <c r="D1393" s="95">
        <v>2012</v>
      </c>
      <c r="E1393" s="95">
        <v>1.0744753286201201</v>
      </c>
      <c r="F1393" s="95" t="s">
        <v>3095</v>
      </c>
      <c r="G1393" s="95">
        <v>0</v>
      </c>
      <c r="H1393" s="95" t="s">
        <v>3095</v>
      </c>
      <c r="I1393" s="95">
        <v>0</v>
      </c>
    </row>
    <row r="1394" spans="1:9" ht="14.1" customHeight="1" x14ac:dyDescent="0.2">
      <c r="A1394" s="95" t="s">
        <v>2670</v>
      </c>
      <c r="B1394" s="95">
        <v>98</v>
      </c>
      <c r="C1394" s="95" t="s">
        <v>526</v>
      </c>
      <c r="D1394" s="95">
        <v>2012</v>
      </c>
      <c r="E1394" s="95">
        <v>203.78821122628599</v>
      </c>
      <c r="F1394" s="95" t="s">
        <v>3096</v>
      </c>
      <c r="G1394" s="95">
        <v>0</v>
      </c>
      <c r="H1394" s="95" t="s">
        <v>3096</v>
      </c>
      <c r="I1394" s="95">
        <v>0</v>
      </c>
    </row>
    <row r="1395" spans="1:9" ht="14.1" customHeight="1" x14ac:dyDescent="0.2">
      <c r="A1395" s="95" t="s">
        <v>2671</v>
      </c>
      <c r="B1395" s="95">
        <v>98</v>
      </c>
      <c r="C1395" s="95" t="s">
        <v>528</v>
      </c>
      <c r="D1395" s="95">
        <v>2012</v>
      </c>
      <c r="E1395" s="95">
        <v>17.000243138772699</v>
      </c>
      <c r="F1395" s="95" t="s">
        <v>3097</v>
      </c>
      <c r="G1395" s="95">
        <v>0</v>
      </c>
      <c r="H1395" s="95" t="s">
        <v>3097</v>
      </c>
      <c r="I1395" s="95">
        <v>0</v>
      </c>
    </row>
    <row r="1396" spans="1:9" ht="14.1" customHeight="1" x14ac:dyDescent="0.2">
      <c r="A1396" s="95" t="s">
        <v>2672</v>
      </c>
      <c r="B1396" s="95">
        <v>98</v>
      </c>
      <c r="C1396" s="95" t="s">
        <v>530</v>
      </c>
      <c r="D1396" s="95">
        <v>2012</v>
      </c>
      <c r="E1396" s="95">
        <v>11.554929621180399</v>
      </c>
      <c r="F1396" s="95" t="s">
        <v>3098</v>
      </c>
      <c r="G1396" s="95">
        <v>0</v>
      </c>
      <c r="H1396" s="95" t="s">
        <v>3098</v>
      </c>
      <c r="I1396" s="95">
        <v>0</v>
      </c>
    </row>
    <row r="1397" spans="1:9" ht="14.1" customHeight="1" x14ac:dyDescent="0.2">
      <c r="A1397" s="95" t="s">
        <v>2673</v>
      </c>
      <c r="B1397" s="95">
        <v>98</v>
      </c>
      <c r="C1397" s="95" t="s">
        <v>532</v>
      </c>
      <c r="D1397" s="95">
        <v>2012</v>
      </c>
      <c r="E1397" s="95">
        <v>12.183752511000099</v>
      </c>
      <c r="F1397" s="95" t="s">
        <v>1239</v>
      </c>
      <c r="G1397" s="95">
        <v>0</v>
      </c>
      <c r="H1397" s="95" t="s">
        <v>1239</v>
      </c>
      <c r="I1397" s="95">
        <v>0</v>
      </c>
    </row>
    <row r="1398" spans="1:9" ht="14.1" customHeight="1" x14ac:dyDescent="0.2">
      <c r="A1398" s="95" t="s">
        <v>2674</v>
      </c>
      <c r="B1398" s="95">
        <v>98</v>
      </c>
      <c r="C1398" s="95" t="s">
        <v>536</v>
      </c>
      <c r="D1398" s="95">
        <v>2012</v>
      </c>
      <c r="E1398" s="95">
        <v>93.590163934426201</v>
      </c>
      <c r="F1398" s="95" t="s">
        <v>1240</v>
      </c>
      <c r="G1398" s="95">
        <v>0</v>
      </c>
      <c r="H1398" s="95" t="s">
        <v>1240</v>
      </c>
      <c r="I1398" s="95">
        <v>0</v>
      </c>
    </row>
    <row r="1399" spans="1:9" ht="14.1" customHeight="1" x14ac:dyDescent="0.2">
      <c r="A1399" s="95" t="s">
        <v>2675</v>
      </c>
      <c r="B1399" s="95">
        <v>98</v>
      </c>
      <c r="C1399" s="95" t="s">
        <v>538</v>
      </c>
      <c r="D1399" s="95">
        <v>2012</v>
      </c>
      <c r="E1399" s="95">
        <v>18.936825842432</v>
      </c>
      <c r="F1399" s="95" t="s">
        <v>3099</v>
      </c>
      <c r="G1399" s="95">
        <v>0</v>
      </c>
      <c r="H1399" s="95" t="s">
        <v>3099</v>
      </c>
      <c r="I1399" s="95">
        <v>0</v>
      </c>
    </row>
    <row r="1400" spans="1:9" ht="14.1" customHeight="1" x14ac:dyDescent="0.2">
      <c r="A1400" s="95" t="s">
        <v>2676</v>
      </c>
      <c r="B1400" s="95">
        <v>98</v>
      </c>
      <c r="C1400" s="95" t="s">
        <v>540</v>
      </c>
      <c r="D1400" s="95">
        <v>2012</v>
      </c>
      <c r="E1400" s="95">
        <v>0.56268343123212095</v>
      </c>
      <c r="F1400" s="95" t="s">
        <v>689</v>
      </c>
      <c r="G1400" s="95">
        <v>0</v>
      </c>
      <c r="H1400" s="95" t="s">
        <v>689</v>
      </c>
      <c r="I1400" s="95">
        <v>0</v>
      </c>
    </row>
    <row r="1401" spans="1:9" ht="14.1" customHeight="1" x14ac:dyDescent="0.2">
      <c r="A1401" s="95" t="s">
        <v>2677</v>
      </c>
      <c r="B1401" s="95">
        <v>98</v>
      </c>
      <c r="C1401" s="95" t="s">
        <v>542</v>
      </c>
      <c r="D1401" s="95">
        <v>2012</v>
      </c>
      <c r="E1401" s="95">
        <v>2.8469959789850598</v>
      </c>
      <c r="F1401" s="95" t="s">
        <v>3100</v>
      </c>
      <c r="G1401" s="95">
        <v>0</v>
      </c>
      <c r="H1401" s="95" t="s">
        <v>3100</v>
      </c>
      <c r="I1401" s="95">
        <v>0</v>
      </c>
    </row>
    <row r="1402" spans="1:9" ht="14.1" customHeight="1" x14ac:dyDescent="0.2">
      <c r="A1402" s="95" t="s">
        <v>2678</v>
      </c>
      <c r="B1402" s="95">
        <v>98</v>
      </c>
      <c r="C1402" s="95" t="s">
        <v>546</v>
      </c>
      <c r="D1402" s="95">
        <v>2012</v>
      </c>
      <c r="E1402" s="95">
        <v>19.5375172054611</v>
      </c>
      <c r="F1402" s="95" t="s">
        <v>690</v>
      </c>
      <c r="G1402" s="95">
        <v>0</v>
      </c>
      <c r="H1402" s="95" t="s">
        <v>690</v>
      </c>
      <c r="I1402" s="95">
        <v>0</v>
      </c>
    </row>
    <row r="1403" spans="1:9" ht="14.1" customHeight="1" x14ac:dyDescent="0.2">
      <c r="A1403" s="95" t="s">
        <v>2679</v>
      </c>
      <c r="B1403" s="95">
        <v>98</v>
      </c>
      <c r="C1403" s="95" t="s">
        <v>548</v>
      </c>
      <c r="D1403" s="95">
        <v>2012</v>
      </c>
      <c r="E1403" s="95">
        <v>1.6777867248206799</v>
      </c>
      <c r="F1403" s="95" t="s">
        <v>1241</v>
      </c>
      <c r="G1403" s="95">
        <v>0</v>
      </c>
      <c r="H1403" s="95" t="s">
        <v>1241</v>
      </c>
      <c r="I1403" s="95">
        <v>0</v>
      </c>
    </row>
    <row r="1404" spans="1:9" ht="14.1" customHeight="1" x14ac:dyDescent="0.2">
      <c r="A1404" s="95" t="s">
        <v>2680</v>
      </c>
      <c r="B1404" s="95">
        <v>98</v>
      </c>
      <c r="C1404" s="95" t="s">
        <v>488</v>
      </c>
      <c r="D1404" s="95">
        <v>2012</v>
      </c>
      <c r="E1404" s="95">
        <v>7.0083656850058196</v>
      </c>
      <c r="F1404" s="95" t="s">
        <v>836</v>
      </c>
      <c r="G1404" s="95">
        <v>0</v>
      </c>
      <c r="H1404" s="95" t="s">
        <v>836</v>
      </c>
      <c r="I1404" s="95">
        <v>0</v>
      </c>
    </row>
    <row r="1405" spans="1:9" ht="14.1" customHeight="1" x14ac:dyDescent="0.2">
      <c r="A1405" s="95" t="s">
        <v>2681</v>
      </c>
      <c r="B1405" s="95">
        <v>98</v>
      </c>
      <c r="C1405" s="95" t="s">
        <v>487</v>
      </c>
      <c r="D1405" s="95">
        <v>2012</v>
      </c>
      <c r="E1405" s="95">
        <v>5.6687165447636199</v>
      </c>
      <c r="F1405" s="95" t="s">
        <v>1277</v>
      </c>
      <c r="G1405" s="95">
        <v>0</v>
      </c>
      <c r="H1405" s="95" t="s">
        <v>1277</v>
      </c>
      <c r="I1405" s="95">
        <v>0</v>
      </c>
    </row>
    <row r="1406" spans="1:9" ht="14.1" customHeight="1" x14ac:dyDescent="0.2">
      <c r="A1406" s="95" t="s">
        <v>2682</v>
      </c>
      <c r="B1406" s="95">
        <v>98</v>
      </c>
      <c r="C1406" s="95" t="s">
        <v>486</v>
      </c>
      <c r="D1406" s="95">
        <v>2012</v>
      </c>
      <c r="E1406" s="95">
        <v>2.6189922353634998</v>
      </c>
      <c r="F1406" s="95" t="s">
        <v>1273</v>
      </c>
      <c r="G1406" s="95">
        <v>0</v>
      </c>
      <c r="H1406" s="95" t="s">
        <v>1273</v>
      </c>
      <c r="I1406" s="95">
        <v>0</v>
      </c>
    </row>
    <row r="1407" spans="1:9" ht="14.1" customHeight="1" x14ac:dyDescent="0.2">
      <c r="A1407" s="95" t="s">
        <v>2683</v>
      </c>
      <c r="B1407" s="95">
        <v>98</v>
      </c>
      <c r="C1407" s="95" t="s">
        <v>482</v>
      </c>
      <c r="D1407" s="95">
        <v>2012</v>
      </c>
      <c r="E1407" s="95">
        <v>9.5192726257258506</v>
      </c>
      <c r="F1407" s="95" t="s">
        <v>1273</v>
      </c>
      <c r="G1407" s="95">
        <v>0</v>
      </c>
      <c r="H1407" s="95" t="s">
        <v>1273</v>
      </c>
      <c r="I1407" s="95">
        <v>0</v>
      </c>
    </row>
    <row r="1408" spans="1:9" ht="14.1" customHeight="1" x14ac:dyDescent="0.2">
      <c r="A1408" s="95" t="s">
        <v>2684</v>
      </c>
      <c r="B1408" s="95">
        <v>98</v>
      </c>
      <c r="C1408" s="95" t="s">
        <v>490</v>
      </c>
      <c r="D1408" s="95">
        <v>2012</v>
      </c>
      <c r="E1408" s="95">
        <v>11.223952257780899</v>
      </c>
      <c r="F1408" s="95" t="s">
        <v>1273</v>
      </c>
      <c r="G1408" s="95">
        <v>0</v>
      </c>
      <c r="H1408" s="95" t="s">
        <v>1273</v>
      </c>
      <c r="I1408" s="95">
        <v>0</v>
      </c>
    </row>
    <row r="1409" spans="1:9" ht="14.1" customHeight="1" x14ac:dyDescent="0.2">
      <c r="A1409" s="95" t="s">
        <v>2685</v>
      </c>
      <c r="B1409" s="95">
        <v>98</v>
      </c>
      <c r="C1409" s="95" t="s">
        <v>481</v>
      </c>
      <c r="D1409" s="95">
        <v>2012</v>
      </c>
      <c r="E1409" s="95">
        <v>12.6469598414059</v>
      </c>
      <c r="F1409" s="95" t="s">
        <v>3101</v>
      </c>
      <c r="G1409" s="95">
        <v>0</v>
      </c>
      <c r="H1409" s="95" t="s">
        <v>3101</v>
      </c>
      <c r="I1409" s="95">
        <v>0</v>
      </c>
    </row>
    <row r="1410" spans="1:9" ht="14.1" customHeight="1" x14ac:dyDescent="0.2">
      <c r="A1410" s="95" t="s">
        <v>2686</v>
      </c>
      <c r="B1410" s="95">
        <v>98</v>
      </c>
      <c r="C1410" s="95" t="s">
        <v>484</v>
      </c>
      <c r="D1410" s="95">
        <v>2012</v>
      </c>
      <c r="E1410" s="95">
        <v>2.0958544977879701</v>
      </c>
      <c r="F1410" s="95" t="s">
        <v>3102</v>
      </c>
      <c r="G1410" s="95">
        <v>0</v>
      </c>
      <c r="H1410" s="95" t="s">
        <v>3102</v>
      </c>
      <c r="I1410" s="95">
        <v>0</v>
      </c>
    </row>
    <row r="1411" spans="1:9" ht="14.1" customHeight="1" x14ac:dyDescent="0.2">
      <c r="A1411" s="95" t="s">
        <v>2687</v>
      </c>
      <c r="B1411" s="95">
        <v>98</v>
      </c>
      <c r="C1411" s="95" t="s">
        <v>485</v>
      </c>
      <c r="D1411" s="95">
        <v>2012</v>
      </c>
      <c r="E1411" s="95">
        <v>186.908634538153</v>
      </c>
      <c r="F1411" s="95" t="s">
        <v>1273</v>
      </c>
      <c r="G1411" s="95">
        <v>0</v>
      </c>
      <c r="H1411" s="95" t="s">
        <v>1273</v>
      </c>
      <c r="I1411" s="95">
        <v>0</v>
      </c>
    </row>
    <row r="1412" spans="1:9" ht="14.1" customHeight="1" x14ac:dyDescent="0.2">
      <c r="A1412" s="95" t="s">
        <v>2688</v>
      </c>
      <c r="B1412" s="95">
        <v>99</v>
      </c>
      <c r="C1412" s="95" t="s">
        <v>518</v>
      </c>
      <c r="D1412" s="95">
        <v>2012</v>
      </c>
      <c r="E1412" s="95">
        <v>2.94</v>
      </c>
      <c r="F1412" s="95" t="s">
        <v>1162</v>
      </c>
      <c r="G1412" s="95">
        <v>0</v>
      </c>
      <c r="H1412" s="95" t="s">
        <v>1162</v>
      </c>
      <c r="I1412" s="95">
        <v>0</v>
      </c>
    </row>
    <row r="1413" spans="1:9" ht="14.1" customHeight="1" x14ac:dyDescent="0.2">
      <c r="A1413" s="95" t="s">
        <v>2689</v>
      </c>
      <c r="B1413" s="95">
        <v>99</v>
      </c>
      <c r="C1413" s="95" t="s">
        <v>522</v>
      </c>
      <c r="D1413" s="95">
        <v>2012</v>
      </c>
      <c r="E1413" s="95">
        <v>2.39</v>
      </c>
      <c r="F1413" s="95" t="s">
        <v>1162</v>
      </c>
      <c r="G1413" s="95">
        <v>0</v>
      </c>
      <c r="H1413" s="95" t="s">
        <v>1162</v>
      </c>
      <c r="I1413" s="95">
        <v>0</v>
      </c>
    </row>
    <row r="1414" spans="1:9" ht="14.1" customHeight="1" x14ac:dyDescent="0.2">
      <c r="A1414" s="95" t="s">
        <v>2690</v>
      </c>
      <c r="B1414" s="95">
        <v>99</v>
      </c>
      <c r="C1414" s="95" t="s">
        <v>524</v>
      </c>
      <c r="D1414" s="95">
        <v>2012</v>
      </c>
      <c r="E1414" s="95">
        <v>3.07</v>
      </c>
      <c r="F1414" s="95" t="s">
        <v>1162</v>
      </c>
      <c r="G1414" s="95">
        <v>0</v>
      </c>
      <c r="H1414" s="95" t="s">
        <v>1162</v>
      </c>
      <c r="I1414" s="95">
        <v>0</v>
      </c>
    </row>
    <row r="1415" spans="1:9" ht="14.1" customHeight="1" x14ac:dyDescent="0.2">
      <c r="A1415" s="95" t="s">
        <v>2691</v>
      </c>
      <c r="B1415" s="95">
        <v>99</v>
      </c>
      <c r="C1415" s="95" t="s">
        <v>526</v>
      </c>
      <c r="D1415" s="95">
        <v>2012</v>
      </c>
      <c r="E1415" s="95">
        <v>2.77</v>
      </c>
      <c r="F1415" s="95" t="s">
        <v>1162</v>
      </c>
      <c r="G1415" s="95">
        <v>0</v>
      </c>
      <c r="H1415" s="95" t="s">
        <v>1162</v>
      </c>
      <c r="I1415" s="95">
        <v>0</v>
      </c>
    </row>
    <row r="1416" spans="1:9" ht="14.1" customHeight="1" x14ac:dyDescent="0.2">
      <c r="A1416" s="95" t="s">
        <v>2692</v>
      </c>
      <c r="B1416" s="95">
        <v>99</v>
      </c>
      <c r="C1416" s="95" t="s">
        <v>528</v>
      </c>
      <c r="D1416" s="95">
        <v>2012</v>
      </c>
      <c r="E1416" s="95">
        <v>3.18</v>
      </c>
      <c r="F1416" s="95" t="s">
        <v>1162</v>
      </c>
      <c r="G1416" s="95">
        <v>0</v>
      </c>
      <c r="H1416" s="95" t="s">
        <v>1162</v>
      </c>
      <c r="I1416" s="95">
        <v>0</v>
      </c>
    </row>
    <row r="1417" spans="1:9" ht="14.1" customHeight="1" x14ac:dyDescent="0.2">
      <c r="A1417" s="95" t="s">
        <v>2693</v>
      </c>
      <c r="B1417" s="95">
        <v>99</v>
      </c>
      <c r="C1417" s="95" t="s">
        <v>530</v>
      </c>
      <c r="D1417" s="95">
        <v>2012</v>
      </c>
      <c r="E1417" s="95">
        <v>2.62</v>
      </c>
      <c r="F1417" s="95" t="s">
        <v>1162</v>
      </c>
      <c r="G1417" s="95">
        <v>0</v>
      </c>
      <c r="H1417" s="95" t="s">
        <v>1162</v>
      </c>
      <c r="I1417" s="95">
        <v>0</v>
      </c>
    </row>
    <row r="1418" spans="1:9" ht="14.1" customHeight="1" x14ac:dyDescent="0.2">
      <c r="A1418" s="95" t="s">
        <v>2694</v>
      </c>
      <c r="B1418" s="95">
        <v>99</v>
      </c>
      <c r="C1418" s="95" t="s">
        <v>532</v>
      </c>
      <c r="D1418" s="95">
        <v>2012</v>
      </c>
      <c r="E1418" s="95">
        <v>2.15</v>
      </c>
      <c r="F1418" s="95" t="s">
        <v>1162</v>
      </c>
      <c r="G1418" s="95">
        <v>0</v>
      </c>
      <c r="H1418" s="95" t="s">
        <v>1162</v>
      </c>
      <c r="I1418" s="95">
        <v>0</v>
      </c>
    </row>
    <row r="1419" spans="1:9" ht="14.1" customHeight="1" x14ac:dyDescent="0.2">
      <c r="A1419" s="95" t="s">
        <v>2695</v>
      </c>
      <c r="B1419" s="95">
        <v>99</v>
      </c>
      <c r="C1419" s="95" t="s">
        <v>534</v>
      </c>
      <c r="D1419" s="95">
        <v>2012</v>
      </c>
      <c r="E1419" s="95">
        <v>1.78</v>
      </c>
      <c r="F1419" s="95" t="s">
        <v>1162</v>
      </c>
      <c r="G1419" s="95">
        <v>0</v>
      </c>
      <c r="H1419" s="95" t="s">
        <v>1162</v>
      </c>
      <c r="I1419" s="95">
        <v>0</v>
      </c>
    </row>
    <row r="1420" spans="1:9" ht="14.1" customHeight="1" x14ac:dyDescent="0.2">
      <c r="A1420" s="95" t="s">
        <v>2696</v>
      </c>
      <c r="B1420" s="95">
        <v>99</v>
      </c>
      <c r="C1420" s="95" t="s">
        <v>536</v>
      </c>
      <c r="D1420" s="95">
        <v>2012</v>
      </c>
      <c r="E1420" s="95">
        <v>2.27</v>
      </c>
      <c r="F1420" s="95" t="s">
        <v>1162</v>
      </c>
      <c r="G1420" s="95">
        <v>0</v>
      </c>
      <c r="H1420" s="95" t="s">
        <v>1162</v>
      </c>
      <c r="I1420" s="95">
        <v>0</v>
      </c>
    </row>
    <row r="1421" spans="1:9" ht="14.1" customHeight="1" x14ac:dyDescent="0.2">
      <c r="A1421" s="95" t="s">
        <v>2697</v>
      </c>
      <c r="B1421" s="95">
        <v>99</v>
      </c>
      <c r="C1421" s="95" t="s">
        <v>538</v>
      </c>
      <c r="D1421" s="95">
        <v>2012</v>
      </c>
      <c r="E1421" s="95">
        <v>2.73</v>
      </c>
      <c r="F1421" s="95" t="s">
        <v>1162</v>
      </c>
      <c r="G1421" s="95">
        <v>0</v>
      </c>
      <c r="H1421" s="95" t="s">
        <v>1162</v>
      </c>
      <c r="I1421" s="95">
        <v>0</v>
      </c>
    </row>
    <row r="1422" spans="1:9" ht="14.1" customHeight="1" x14ac:dyDescent="0.2">
      <c r="A1422" s="95" t="s">
        <v>2698</v>
      </c>
      <c r="B1422" s="95">
        <v>99</v>
      </c>
      <c r="C1422" s="95" t="s">
        <v>540</v>
      </c>
      <c r="D1422" s="95">
        <v>2012</v>
      </c>
      <c r="E1422" s="95">
        <v>2.41</v>
      </c>
      <c r="F1422" s="95" t="s">
        <v>1162</v>
      </c>
      <c r="G1422" s="95">
        <v>0</v>
      </c>
      <c r="H1422" s="95" t="s">
        <v>1162</v>
      </c>
      <c r="I1422" s="95">
        <v>0</v>
      </c>
    </row>
    <row r="1423" spans="1:9" ht="14.1" customHeight="1" x14ac:dyDescent="0.2">
      <c r="A1423" s="95" t="s">
        <v>2699</v>
      </c>
      <c r="B1423" s="95">
        <v>99</v>
      </c>
      <c r="C1423" s="95" t="s">
        <v>546</v>
      </c>
      <c r="D1423" s="95">
        <v>2012</v>
      </c>
      <c r="E1423" s="95">
        <v>2.87</v>
      </c>
      <c r="F1423" s="95" t="s">
        <v>1162</v>
      </c>
      <c r="G1423" s="95">
        <v>0</v>
      </c>
      <c r="H1423" s="95" t="s">
        <v>1162</v>
      </c>
      <c r="I1423" s="95">
        <v>0</v>
      </c>
    </row>
    <row r="1424" spans="1:9" ht="14.1" customHeight="1" x14ac:dyDescent="0.2">
      <c r="A1424" s="95" t="s">
        <v>2700</v>
      </c>
      <c r="B1424" s="95">
        <v>99</v>
      </c>
      <c r="C1424" s="95" t="s">
        <v>548</v>
      </c>
      <c r="D1424" s="95">
        <v>2012</v>
      </c>
      <c r="E1424" s="95">
        <v>2.17</v>
      </c>
      <c r="F1424" s="95" t="s">
        <v>1162</v>
      </c>
      <c r="G1424" s="95">
        <v>0</v>
      </c>
      <c r="H1424" s="95" t="s">
        <v>1162</v>
      </c>
      <c r="I1424" s="95">
        <v>0</v>
      </c>
    </row>
    <row r="1425" spans="1:9" ht="14.1" customHeight="1" x14ac:dyDescent="0.2">
      <c r="A1425" s="95" t="s">
        <v>2701</v>
      </c>
      <c r="B1425" s="95">
        <v>99</v>
      </c>
      <c r="C1425" s="95" t="s">
        <v>488</v>
      </c>
      <c r="D1425" s="95">
        <v>2012</v>
      </c>
      <c r="E1425" s="95">
        <v>2.72</v>
      </c>
      <c r="F1425" s="95" t="s">
        <v>1162</v>
      </c>
      <c r="G1425" s="95">
        <v>0</v>
      </c>
      <c r="H1425" s="95" t="s">
        <v>1162</v>
      </c>
      <c r="I1425" s="95">
        <v>0</v>
      </c>
    </row>
    <row r="1426" spans="1:9" ht="14.1" customHeight="1" x14ac:dyDescent="0.2">
      <c r="A1426" s="95" t="s">
        <v>2702</v>
      </c>
      <c r="B1426" s="95">
        <v>99</v>
      </c>
      <c r="C1426" s="95" t="s">
        <v>487</v>
      </c>
      <c r="D1426" s="95">
        <v>2012</v>
      </c>
      <c r="E1426" s="95">
        <v>2.6</v>
      </c>
      <c r="F1426" s="95" t="s">
        <v>1162</v>
      </c>
      <c r="G1426" s="95">
        <v>0</v>
      </c>
      <c r="H1426" s="95" t="s">
        <v>1162</v>
      </c>
      <c r="I1426" s="95">
        <v>0</v>
      </c>
    </row>
    <row r="1427" spans="1:9" ht="14.1" customHeight="1" x14ac:dyDescent="0.2">
      <c r="A1427" s="95" t="s">
        <v>2703</v>
      </c>
      <c r="B1427" s="95">
        <v>99</v>
      </c>
      <c r="C1427" s="95" t="s">
        <v>486</v>
      </c>
      <c r="D1427" s="95">
        <v>2012</v>
      </c>
      <c r="E1427" s="95">
        <v>2.46</v>
      </c>
      <c r="F1427" s="95" t="s">
        <v>1162</v>
      </c>
      <c r="G1427" s="95">
        <v>0</v>
      </c>
      <c r="H1427" s="95" t="s">
        <v>1162</v>
      </c>
      <c r="I1427" s="95">
        <v>0</v>
      </c>
    </row>
    <row r="1428" spans="1:9" ht="14.1" customHeight="1" x14ac:dyDescent="0.2">
      <c r="A1428" s="95" t="s">
        <v>2704</v>
      </c>
      <c r="B1428" s="95">
        <v>99</v>
      </c>
      <c r="C1428" s="95" t="s">
        <v>482</v>
      </c>
      <c r="D1428" s="95">
        <v>2012</v>
      </c>
      <c r="E1428" s="95">
        <v>2.59</v>
      </c>
      <c r="F1428" s="95" t="s">
        <v>1162</v>
      </c>
      <c r="G1428" s="95">
        <v>0</v>
      </c>
      <c r="H1428" s="95" t="s">
        <v>1162</v>
      </c>
      <c r="I1428" s="95">
        <v>0</v>
      </c>
    </row>
    <row r="1429" spans="1:9" ht="14.1" customHeight="1" x14ac:dyDescent="0.2">
      <c r="A1429" s="95" t="s">
        <v>2705</v>
      </c>
      <c r="B1429" s="95">
        <v>99</v>
      </c>
      <c r="C1429" s="95" t="s">
        <v>490</v>
      </c>
      <c r="D1429" s="95">
        <v>2012</v>
      </c>
      <c r="E1429" s="95">
        <v>2.35</v>
      </c>
      <c r="F1429" s="95" t="s">
        <v>1162</v>
      </c>
      <c r="G1429" s="95">
        <v>0</v>
      </c>
      <c r="H1429" s="95" t="s">
        <v>1162</v>
      </c>
      <c r="I1429" s="95">
        <v>0</v>
      </c>
    </row>
    <row r="1430" spans="1:9" ht="14.1" customHeight="1" x14ac:dyDescent="0.2">
      <c r="A1430" s="95" t="s">
        <v>2706</v>
      </c>
      <c r="B1430" s="95">
        <v>99</v>
      </c>
      <c r="C1430" s="95" t="s">
        <v>481</v>
      </c>
      <c r="D1430" s="95">
        <v>2012</v>
      </c>
      <c r="E1430" s="95">
        <v>3.03</v>
      </c>
      <c r="F1430" s="95" t="s">
        <v>1162</v>
      </c>
      <c r="G1430" s="95">
        <v>0</v>
      </c>
      <c r="H1430" s="95" t="s">
        <v>1162</v>
      </c>
      <c r="I1430" s="95">
        <v>0</v>
      </c>
    </row>
    <row r="1431" spans="1:9" ht="14.1" customHeight="1" x14ac:dyDescent="0.2">
      <c r="A1431" s="95" t="s">
        <v>2707</v>
      </c>
      <c r="B1431" s="95">
        <v>99</v>
      </c>
      <c r="C1431" s="95" t="s">
        <v>485</v>
      </c>
      <c r="D1431" s="95">
        <v>2012</v>
      </c>
      <c r="E1431" s="95">
        <v>2.94</v>
      </c>
      <c r="F1431" s="95" t="s">
        <v>1162</v>
      </c>
      <c r="G1431" s="95">
        <v>0</v>
      </c>
      <c r="H1431" s="95" t="s">
        <v>1162</v>
      </c>
      <c r="I1431" s="95">
        <v>0</v>
      </c>
    </row>
    <row r="1432" spans="1:9" ht="14.1" customHeight="1" x14ac:dyDescent="0.2">
      <c r="A1432" s="95" t="s">
        <v>2708</v>
      </c>
      <c r="B1432" s="95">
        <v>99</v>
      </c>
      <c r="C1432" s="95" t="s">
        <v>489</v>
      </c>
      <c r="D1432" s="95">
        <v>2012</v>
      </c>
      <c r="E1432" s="95">
        <v>2.61</v>
      </c>
      <c r="F1432" s="95" t="s">
        <v>1162</v>
      </c>
      <c r="G1432" s="95">
        <v>0</v>
      </c>
      <c r="H1432" s="95" t="s">
        <v>1162</v>
      </c>
      <c r="I1432" s="95">
        <v>0</v>
      </c>
    </row>
    <row r="1433" spans="1:9" ht="14.1" customHeight="1" x14ac:dyDescent="0.2">
      <c r="A1433" s="95" t="s">
        <v>2709</v>
      </c>
      <c r="B1433" s="95">
        <v>100</v>
      </c>
      <c r="C1433" s="95" t="s">
        <v>518</v>
      </c>
      <c r="D1433" s="95">
        <v>2012</v>
      </c>
      <c r="E1433" s="95">
        <v>2.95</v>
      </c>
      <c r="F1433" s="95" t="s">
        <v>1162</v>
      </c>
      <c r="G1433" s="95">
        <v>0</v>
      </c>
      <c r="H1433" s="95" t="s">
        <v>1162</v>
      </c>
      <c r="I1433" s="95">
        <v>0</v>
      </c>
    </row>
    <row r="1434" spans="1:9" ht="14.1" customHeight="1" x14ac:dyDescent="0.2">
      <c r="A1434" s="95" t="s">
        <v>2710</v>
      </c>
      <c r="B1434" s="95">
        <v>100</v>
      </c>
      <c r="C1434" s="95" t="s">
        <v>522</v>
      </c>
      <c r="D1434" s="95">
        <v>2012</v>
      </c>
      <c r="E1434" s="95">
        <v>2.58</v>
      </c>
      <c r="F1434" s="95" t="s">
        <v>1162</v>
      </c>
      <c r="G1434" s="95">
        <v>0</v>
      </c>
      <c r="H1434" s="95" t="s">
        <v>1162</v>
      </c>
      <c r="I1434" s="95">
        <v>0</v>
      </c>
    </row>
    <row r="1435" spans="1:9" ht="14.1" customHeight="1" x14ac:dyDescent="0.2">
      <c r="A1435" s="95" t="s">
        <v>2711</v>
      </c>
      <c r="B1435" s="95">
        <v>100</v>
      </c>
      <c r="C1435" s="95" t="s">
        <v>524</v>
      </c>
      <c r="D1435" s="95">
        <v>2012</v>
      </c>
      <c r="E1435" s="95">
        <v>3.12</v>
      </c>
      <c r="F1435" s="95" t="s">
        <v>1162</v>
      </c>
      <c r="G1435" s="95">
        <v>0</v>
      </c>
      <c r="H1435" s="95" t="s">
        <v>1162</v>
      </c>
      <c r="I1435" s="95">
        <v>0</v>
      </c>
    </row>
    <row r="1436" spans="1:9" ht="14.1" customHeight="1" x14ac:dyDescent="0.2">
      <c r="A1436" s="95" t="s">
        <v>2712</v>
      </c>
      <c r="B1436" s="95">
        <v>100</v>
      </c>
      <c r="C1436" s="95" t="s">
        <v>526</v>
      </c>
      <c r="D1436" s="95">
        <v>2012</v>
      </c>
      <c r="E1436" s="95">
        <v>2.69</v>
      </c>
      <c r="F1436" s="95" t="s">
        <v>1162</v>
      </c>
      <c r="G1436" s="95">
        <v>0</v>
      </c>
      <c r="H1436" s="95" t="s">
        <v>1162</v>
      </c>
      <c r="I1436" s="95">
        <v>0</v>
      </c>
    </row>
    <row r="1437" spans="1:9" ht="14.1" customHeight="1" x14ac:dyDescent="0.2">
      <c r="A1437" s="95" t="s">
        <v>2713</v>
      </c>
      <c r="B1437" s="95">
        <v>100</v>
      </c>
      <c r="C1437" s="95" t="s">
        <v>528</v>
      </c>
      <c r="D1437" s="95">
        <v>2012</v>
      </c>
      <c r="E1437" s="95">
        <v>3</v>
      </c>
      <c r="F1437" s="95" t="s">
        <v>1162</v>
      </c>
      <c r="G1437" s="95">
        <v>0</v>
      </c>
      <c r="H1437" s="95" t="s">
        <v>1162</v>
      </c>
      <c r="I1437" s="95">
        <v>0</v>
      </c>
    </row>
    <row r="1438" spans="1:9" ht="14.1" customHeight="1" x14ac:dyDescent="0.2">
      <c r="A1438" s="95" t="s">
        <v>2714</v>
      </c>
      <c r="B1438" s="95">
        <v>100</v>
      </c>
      <c r="C1438" s="95" t="s">
        <v>530</v>
      </c>
      <c r="D1438" s="95">
        <v>2012</v>
      </c>
      <c r="E1438" s="95">
        <v>2.65</v>
      </c>
      <c r="F1438" s="95" t="s">
        <v>1162</v>
      </c>
      <c r="G1438" s="95">
        <v>0</v>
      </c>
      <c r="H1438" s="95" t="s">
        <v>1162</v>
      </c>
      <c r="I1438" s="95">
        <v>0</v>
      </c>
    </row>
    <row r="1439" spans="1:9" ht="14.1" customHeight="1" x14ac:dyDescent="0.2">
      <c r="A1439" s="95" t="s">
        <v>2715</v>
      </c>
      <c r="B1439" s="95">
        <v>100</v>
      </c>
      <c r="C1439" s="95" t="s">
        <v>532</v>
      </c>
      <c r="D1439" s="95">
        <v>2012</v>
      </c>
      <c r="E1439" s="95">
        <v>2.33</v>
      </c>
      <c r="F1439" s="95" t="s">
        <v>1162</v>
      </c>
      <c r="G1439" s="95">
        <v>0</v>
      </c>
      <c r="H1439" s="95" t="s">
        <v>1162</v>
      </c>
      <c r="I1439" s="95">
        <v>0</v>
      </c>
    </row>
    <row r="1440" spans="1:9" ht="14.1" customHeight="1" x14ac:dyDescent="0.2">
      <c r="A1440" s="95" t="s">
        <v>2716</v>
      </c>
      <c r="B1440" s="95">
        <v>100</v>
      </c>
      <c r="C1440" s="95" t="s">
        <v>534</v>
      </c>
      <c r="D1440" s="95">
        <v>2012</v>
      </c>
      <c r="E1440" s="95">
        <v>1.74</v>
      </c>
      <c r="F1440" s="95" t="s">
        <v>1162</v>
      </c>
      <c r="G1440" s="95">
        <v>0</v>
      </c>
      <c r="H1440" s="95" t="s">
        <v>1162</v>
      </c>
      <c r="I1440" s="95">
        <v>0</v>
      </c>
    </row>
    <row r="1441" spans="1:9" ht="14.1" customHeight="1" x14ac:dyDescent="0.2">
      <c r="A1441" s="95" t="s">
        <v>2717</v>
      </c>
      <c r="B1441" s="95">
        <v>100</v>
      </c>
      <c r="C1441" s="95" t="s">
        <v>536</v>
      </c>
      <c r="D1441" s="95">
        <v>2012</v>
      </c>
      <c r="E1441" s="95">
        <v>2.21</v>
      </c>
      <c r="F1441" s="95" t="s">
        <v>1162</v>
      </c>
      <c r="G1441" s="95">
        <v>0</v>
      </c>
      <c r="H1441" s="95" t="s">
        <v>1162</v>
      </c>
      <c r="I1441" s="95">
        <v>0</v>
      </c>
    </row>
    <row r="1442" spans="1:9" ht="14.1" customHeight="1" x14ac:dyDescent="0.2">
      <c r="A1442" s="95" t="s">
        <v>2718</v>
      </c>
      <c r="B1442" s="95">
        <v>100</v>
      </c>
      <c r="C1442" s="95" t="s">
        <v>538</v>
      </c>
      <c r="D1442" s="95">
        <v>2012</v>
      </c>
      <c r="E1442" s="95">
        <v>2.91</v>
      </c>
      <c r="F1442" s="95" t="s">
        <v>1162</v>
      </c>
      <c r="G1442" s="95">
        <v>0</v>
      </c>
      <c r="H1442" s="95" t="s">
        <v>1162</v>
      </c>
      <c r="I1442" s="95">
        <v>0</v>
      </c>
    </row>
    <row r="1443" spans="1:9" ht="14.1" customHeight="1" x14ac:dyDescent="0.2">
      <c r="A1443" s="95" t="s">
        <v>2719</v>
      </c>
      <c r="B1443" s="95">
        <v>100</v>
      </c>
      <c r="C1443" s="95" t="s">
        <v>540</v>
      </c>
      <c r="D1443" s="95">
        <v>2012</v>
      </c>
      <c r="E1443" s="95">
        <v>2.4900000000000002</v>
      </c>
      <c r="F1443" s="95" t="s">
        <v>1162</v>
      </c>
      <c r="G1443" s="95">
        <v>0</v>
      </c>
      <c r="H1443" s="95" t="s">
        <v>1162</v>
      </c>
      <c r="I1443" s="95">
        <v>0</v>
      </c>
    </row>
    <row r="1444" spans="1:9" ht="14.1" customHeight="1" x14ac:dyDescent="0.2">
      <c r="A1444" s="95" t="s">
        <v>2720</v>
      </c>
      <c r="B1444" s="95">
        <v>100</v>
      </c>
      <c r="C1444" s="95" t="s">
        <v>546</v>
      </c>
      <c r="D1444" s="95">
        <v>2012</v>
      </c>
      <c r="E1444" s="95">
        <v>2.98</v>
      </c>
      <c r="F1444" s="95" t="s">
        <v>1162</v>
      </c>
      <c r="G1444" s="95">
        <v>0</v>
      </c>
      <c r="H1444" s="95" t="s">
        <v>1162</v>
      </c>
      <c r="I1444" s="95">
        <v>0</v>
      </c>
    </row>
    <row r="1445" spans="1:9" ht="14.1" customHeight="1" x14ac:dyDescent="0.2">
      <c r="A1445" s="95" t="s">
        <v>2721</v>
      </c>
      <c r="B1445" s="95">
        <v>100</v>
      </c>
      <c r="C1445" s="95" t="s">
        <v>548</v>
      </c>
      <c r="D1445" s="95">
        <v>2012</v>
      </c>
      <c r="E1445" s="95">
        <v>2.33</v>
      </c>
      <c r="F1445" s="95" t="s">
        <v>1162</v>
      </c>
      <c r="G1445" s="95">
        <v>0</v>
      </c>
      <c r="H1445" s="95" t="s">
        <v>1162</v>
      </c>
      <c r="I1445" s="95">
        <v>0</v>
      </c>
    </row>
    <row r="1446" spans="1:9" ht="14.1" customHeight="1" x14ac:dyDescent="0.2">
      <c r="A1446" s="95" t="s">
        <v>2722</v>
      </c>
      <c r="B1446" s="95">
        <v>100</v>
      </c>
      <c r="C1446" s="95" t="s">
        <v>488</v>
      </c>
      <c r="D1446" s="95">
        <v>2012</v>
      </c>
      <c r="E1446" s="95">
        <v>2.95</v>
      </c>
      <c r="F1446" s="95" t="s">
        <v>1162</v>
      </c>
      <c r="G1446" s="95">
        <v>0</v>
      </c>
      <c r="H1446" s="95" t="s">
        <v>1162</v>
      </c>
      <c r="I1446" s="95">
        <v>0</v>
      </c>
    </row>
    <row r="1447" spans="1:9" ht="14.1" customHeight="1" x14ac:dyDescent="0.2">
      <c r="A1447" s="95" t="s">
        <v>2723</v>
      </c>
      <c r="B1447" s="95">
        <v>100</v>
      </c>
      <c r="C1447" s="95" t="s">
        <v>487</v>
      </c>
      <c r="D1447" s="95">
        <v>2012</v>
      </c>
      <c r="E1447" s="95">
        <v>2.5299999999999998</v>
      </c>
      <c r="F1447" s="95" t="s">
        <v>1162</v>
      </c>
      <c r="G1447" s="95">
        <v>0</v>
      </c>
      <c r="H1447" s="95" t="s">
        <v>1162</v>
      </c>
      <c r="I1447" s="95">
        <v>0</v>
      </c>
    </row>
    <row r="1448" spans="1:9" ht="14.1" customHeight="1" x14ac:dyDescent="0.2">
      <c r="A1448" s="95" t="s">
        <v>2724</v>
      </c>
      <c r="B1448" s="95">
        <v>100</v>
      </c>
      <c r="C1448" s="95" t="s">
        <v>486</v>
      </c>
      <c r="D1448" s="95">
        <v>2012</v>
      </c>
      <c r="E1448" s="95">
        <v>2.6</v>
      </c>
      <c r="F1448" s="95" t="s">
        <v>1162</v>
      </c>
      <c r="G1448" s="95">
        <v>0</v>
      </c>
      <c r="H1448" s="95" t="s">
        <v>1162</v>
      </c>
      <c r="I1448" s="95">
        <v>0</v>
      </c>
    </row>
    <row r="1449" spans="1:9" ht="14.1" customHeight="1" x14ac:dyDescent="0.2">
      <c r="A1449" s="95" t="s">
        <v>2725</v>
      </c>
      <c r="B1449" s="95">
        <v>100</v>
      </c>
      <c r="C1449" s="95" t="s">
        <v>482</v>
      </c>
      <c r="D1449" s="95">
        <v>2012</v>
      </c>
      <c r="E1449" s="95">
        <v>2.78</v>
      </c>
      <c r="F1449" s="95" t="s">
        <v>1162</v>
      </c>
      <c r="G1449" s="95">
        <v>0</v>
      </c>
      <c r="H1449" s="95" t="s">
        <v>1162</v>
      </c>
      <c r="I1449" s="95">
        <v>0</v>
      </c>
    </row>
    <row r="1450" spans="1:9" ht="14.1" customHeight="1" x14ac:dyDescent="0.2">
      <c r="A1450" s="95" t="s">
        <v>2726</v>
      </c>
      <c r="B1450" s="95">
        <v>100</v>
      </c>
      <c r="C1450" s="95" t="s">
        <v>490</v>
      </c>
      <c r="D1450" s="95">
        <v>2012</v>
      </c>
      <c r="E1450" s="95">
        <v>2.44</v>
      </c>
      <c r="F1450" s="95" t="s">
        <v>1162</v>
      </c>
      <c r="G1450" s="95">
        <v>0</v>
      </c>
      <c r="H1450" s="95" t="s">
        <v>1162</v>
      </c>
      <c r="I1450" s="95">
        <v>0</v>
      </c>
    </row>
    <row r="1451" spans="1:9" ht="14.1" customHeight="1" x14ac:dyDescent="0.2">
      <c r="A1451" s="95" t="s">
        <v>2727</v>
      </c>
      <c r="B1451" s="95">
        <v>100</v>
      </c>
      <c r="C1451" s="95" t="s">
        <v>481</v>
      </c>
      <c r="D1451" s="95">
        <v>2012</v>
      </c>
      <c r="E1451" s="95">
        <v>3.02</v>
      </c>
      <c r="F1451" s="95" t="s">
        <v>1162</v>
      </c>
      <c r="G1451" s="95">
        <v>0</v>
      </c>
      <c r="H1451" s="95" t="s">
        <v>1162</v>
      </c>
      <c r="I1451" s="95">
        <v>0</v>
      </c>
    </row>
    <row r="1452" spans="1:9" ht="14.1" customHeight="1" x14ac:dyDescent="0.2">
      <c r="A1452" s="95" t="s">
        <v>2728</v>
      </c>
      <c r="B1452" s="95">
        <v>100</v>
      </c>
      <c r="C1452" s="95" t="s">
        <v>485</v>
      </c>
      <c r="D1452" s="95">
        <v>2012</v>
      </c>
      <c r="E1452" s="95">
        <v>2.84</v>
      </c>
      <c r="F1452" s="95" t="s">
        <v>1162</v>
      </c>
      <c r="G1452" s="95">
        <v>0</v>
      </c>
      <c r="H1452" s="95" t="s">
        <v>1162</v>
      </c>
      <c r="I1452" s="95">
        <v>0</v>
      </c>
    </row>
    <row r="1453" spans="1:9" ht="14.1" customHeight="1" x14ac:dyDescent="0.2">
      <c r="A1453" s="95" t="s">
        <v>2729</v>
      </c>
      <c r="B1453" s="95">
        <v>100</v>
      </c>
      <c r="C1453" s="95" t="s">
        <v>489</v>
      </c>
      <c r="D1453" s="95">
        <v>2012</v>
      </c>
      <c r="E1453" s="95">
        <v>2.74</v>
      </c>
      <c r="F1453" s="95" t="s">
        <v>1162</v>
      </c>
      <c r="G1453" s="95">
        <v>0</v>
      </c>
      <c r="H1453" s="95" t="s">
        <v>1162</v>
      </c>
      <c r="I1453" s="95">
        <v>0</v>
      </c>
    </row>
    <row r="1454" spans="1:9" ht="14.1" customHeight="1" x14ac:dyDescent="0.2">
      <c r="A1454" s="95" t="s">
        <v>2731</v>
      </c>
      <c r="B1454" s="95" t="s">
        <v>285</v>
      </c>
      <c r="C1454" s="95" t="s">
        <v>518</v>
      </c>
      <c r="D1454" s="95">
        <v>2012</v>
      </c>
      <c r="E1454" s="95">
        <v>11547.898269965235</v>
      </c>
      <c r="F1454" s="95" t="s">
        <v>2732</v>
      </c>
      <c r="G1454" s="95" t="s">
        <v>286</v>
      </c>
      <c r="H1454" s="95" t="s">
        <v>2732</v>
      </c>
      <c r="I1454" s="95" t="s">
        <v>3103</v>
      </c>
    </row>
    <row r="1455" spans="1:9" ht="14.1" customHeight="1" x14ac:dyDescent="0.2">
      <c r="A1455" s="95" t="s">
        <v>2733</v>
      </c>
      <c r="B1455" s="95" t="s">
        <v>285</v>
      </c>
      <c r="C1455" s="95" t="s">
        <v>526</v>
      </c>
      <c r="D1455" s="95">
        <v>2012</v>
      </c>
      <c r="E1455" s="95">
        <v>23150.579545454548</v>
      </c>
      <c r="F1455" s="95" t="s">
        <v>2734</v>
      </c>
      <c r="G1455" s="95" t="s">
        <v>286</v>
      </c>
      <c r="H1455" s="95" t="s">
        <v>2734</v>
      </c>
      <c r="I1455" s="95" t="s">
        <v>3103</v>
      </c>
    </row>
    <row r="1456" spans="1:9" ht="14.1" customHeight="1" x14ac:dyDescent="0.2">
      <c r="A1456" s="95" t="s">
        <v>2735</v>
      </c>
      <c r="B1456" s="95" t="s">
        <v>285</v>
      </c>
      <c r="C1456" s="95" t="s">
        <v>520</v>
      </c>
      <c r="D1456" s="95">
        <v>2012</v>
      </c>
      <c r="E1456" s="95">
        <v>16512.518259209744</v>
      </c>
      <c r="F1456" s="95" t="s">
        <v>2732</v>
      </c>
      <c r="G1456" s="95" t="s">
        <v>286</v>
      </c>
      <c r="H1456" s="95" t="s">
        <v>2732</v>
      </c>
      <c r="I1456" s="95" t="s">
        <v>3103</v>
      </c>
    </row>
    <row r="1457" spans="1:9" ht="14.1" customHeight="1" x14ac:dyDescent="0.2">
      <c r="A1457" s="95" t="s">
        <v>2736</v>
      </c>
      <c r="B1457" s="95" t="s">
        <v>285</v>
      </c>
      <c r="C1457" s="95" t="s">
        <v>483</v>
      </c>
      <c r="D1457" s="95">
        <v>2012</v>
      </c>
      <c r="E1457" s="95">
        <v>4544.4458588799207</v>
      </c>
      <c r="F1457" s="95" t="s">
        <v>2737</v>
      </c>
      <c r="G1457" s="95" t="s">
        <v>286</v>
      </c>
      <c r="H1457" s="95" t="s">
        <v>2737</v>
      </c>
      <c r="I1457" s="95" t="s">
        <v>3103</v>
      </c>
    </row>
    <row r="1458" spans="1:9" ht="14.1" customHeight="1" x14ac:dyDescent="0.2">
      <c r="A1458" s="95" t="s">
        <v>2738</v>
      </c>
      <c r="B1458" s="95" t="s">
        <v>285</v>
      </c>
      <c r="C1458" s="95" t="s">
        <v>522</v>
      </c>
      <c r="D1458" s="95">
        <v>2012</v>
      </c>
      <c r="E1458" s="95">
        <v>2695.912263210369</v>
      </c>
      <c r="F1458" s="95" t="s">
        <v>2732</v>
      </c>
      <c r="G1458" s="95" t="s">
        <v>286</v>
      </c>
      <c r="H1458" s="95" t="s">
        <v>2732</v>
      </c>
      <c r="I1458" s="95" t="s">
        <v>3103</v>
      </c>
    </row>
    <row r="1459" spans="1:9" ht="14.1" customHeight="1" x14ac:dyDescent="0.2">
      <c r="A1459" s="95" t="s">
        <v>2739</v>
      </c>
      <c r="B1459" s="95" t="s">
        <v>285</v>
      </c>
      <c r="C1459" s="95" t="s">
        <v>524</v>
      </c>
      <c r="D1459" s="95">
        <v>2012</v>
      </c>
      <c r="E1459" s="95">
        <v>12078.670216229939</v>
      </c>
      <c r="F1459" s="95" t="s">
        <v>2732</v>
      </c>
      <c r="G1459" s="95" t="s">
        <v>286</v>
      </c>
      <c r="H1459" s="95" t="s">
        <v>2732</v>
      </c>
      <c r="I1459" s="95" t="s">
        <v>3103</v>
      </c>
    </row>
    <row r="1460" spans="1:9" ht="14.1" customHeight="1" x14ac:dyDescent="0.2">
      <c r="A1460" s="95" t="s">
        <v>2740</v>
      </c>
      <c r="B1460" s="95" t="s">
        <v>285</v>
      </c>
      <c r="C1460" s="95" t="s">
        <v>528</v>
      </c>
      <c r="D1460" s="95">
        <v>2012</v>
      </c>
      <c r="E1460" s="95">
        <v>15417.025699496753</v>
      </c>
      <c r="F1460" s="95" t="s">
        <v>2737</v>
      </c>
      <c r="G1460" s="95" t="s">
        <v>286</v>
      </c>
      <c r="H1460" s="95" t="s">
        <v>2737</v>
      </c>
      <c r="I1460" s="95" t="s">
        <v>3103</v>
      </c>
    </row>
    <row r="1461" spans="1:9" ht="14.1" customHeight="1" x14ac:dyDescent="0.2">
      <c r="A1461" s="95" t="s">
        <v>2741</v>
      </c>
      <c r="B1461" s="95" t="s">
        <v>285</v>
      </c>
      <c r="C1461" s="95" t="s">
        <v>488</v>
      </c>
      <c r="D1461" s="95">
        <v>2012</v>
      </c>
      <c r="E1461" s="95">
        <v>7854.8435555174046</v>
      </c>
      <c r="F1461" s="95" t="s">
        <v>2737</v>
      </c>
      <c r="G1461" s="95" t="s">
        <v>286</v>
      </c>
      <c r="H1461" s="95" t="s">
        <v>2737</v>
      </c>
      <c r="I1461" s="95" t="s">
        <v>3103</v>
      </c>
    </row>
    <row r="1462" spans="1:9" ht="14.1" customHeight="1" x14ac:dyDescent="0.2">
      <c r="A1462" s="95" t="s">
        <v>2742</v>
      </c>
      <c r="B1462" s="95" t="s">
        <v>285</v>
      </c>
      <c r="C1462" s="95" t="s">
        <v>487</v>
      </c>
      <c r="D1462" s="95">
        <v>2012</v>
      </c>
      <c r="E1462" s="95">
        <v>9432.7519954935178</v>
      </c>
      <c r="F1462" s="95" t="s">
        <v>2743</v>
      </c>
      <c r="G1462" s="95" t="s">
        <v>286</v>
      </c>
      <c r="H1462" s="95" t="s">
        <v>2743</v>
      </c>
      <c r="I1462" s="95" t="s">
        <v>3103</v>
      </c>
    </row>
    <row r="1463" spans="1:9" ht="14.1" customHeight="1" x14ac:dyDescent="0.2">
      <c r="A1463" s="95" t="s">
        <v>2744</v>
      </c>
      <c r="B1463" s="95" t="s">
        <v>285</v>
      </c>
      <c r="C1463" s="95" t="s">
        <v>530</v>
      </c>
      <c r="D1463" s="95">
        <v>2012</v>
      </c>
      <c r="E1463" s="95">
        <v>5795.6604771010416</v>
      </c>
      <c r="F1463" s="95" t="s">
        <v>2745</v>
      </c>
      <c r="G1463" s="95" t="s">
        <v>286</v>
      </c>
      <c r="H1463" s="95" t="s">
        <v>2745</v>
      </c>
      <c r="I1463" s="95" t="s">
        <v>3103</v>
      </c>
    </row>
    <row r="1464" spans="1:9" ht="14.1" customHeight="1" x14ac:dyDescent="0.2">
      <c r="A1464" s="95" t="s">
        <v>2746</v>
      </c>
      <c r="B1464" s="95" t="s">
        <v>285</v>
      </c>
      <c r="C1464" s="95" t="s">
        <v>486</v>
      </c>
      <c r="D1464" s="95">
        <v>2012</v>
      </c>
      <c r="E1464" s="95">
        <v>3818.7549185807861</v>
      </c>
      <c r="F1464" s="95" t="s">
        <v>2747</v>
      </c>
      <c r="G1464" s="95" t="s">
        <v>286</v>
      </c>
      <c r="H1464" s="95" t="s">
        <v>2747</v>
      </c>
      <c r="I1464" s="95" t="s">
        <v>3103</v>
      </c>
    </row>
    <row r="1465" spans="1:9" ht="14.1" customHeight="1" x14ac:dyDescent="0.2">
      <c r="A1465" s="95" t="s">
        <v>2748</v>
      </c>
      <c r="B1465" s="95" t="s">
        <v>285</v>
      </c>
      <c r="C1465" s="95" t="s">
        <v>482</v>
      </c>
      <c r="D1465" s="95">
        <v>2012</v>
      </c>
      <c r="E1465" s="95">
        <v>3302.2178086726249</v>
      </c>
      <c r="F1465" s="95" t="s">
        <v>2737</v>
      </c>
      <c r="G1465" s="95" t="s">
        <v>286</v>
      </c>
      <c r="H1465" s="95" t="s">
        <v>2737</v>
      </c>
      <c r="I1465" s="95" t="s">
        <v>3103</v>
      </c>
    </row>
    <row r="1466" spans="1:9" ht="14.1" customHeight="1" x14ac:dyDescent="0.2">
      <c r="A1466" s="95" t="s">
        <v>2749</v>
      </c>
      <c r="B1466" s="95" t="s">
        <v>285</v>
      </c>
      <c r="C1466" s="95" t="s">
        <v>532</v>
      </c>
      <c r="D1466" s="95">
        <v>2012</v>
      </c>
      <c r="E1466" s="95">
        <v>3680.1053872360535</v>
      </c>
      <c r="F1466" s="95" t="s">
        <v>2732</v>
      </c>
      <c r="G1466" s="95" t="s">
        <v>286</v>
      </c>
      <c r="H1466" s="95" t="s">
        <v>2732</v>
      </c>
      <c r="I1466" s="95" t="s">
        <v>3103</v>
      </c>
    </row>
    <row r="1467" spans="1:9" ht="14.1" customHeight="1" x14ac:dyDescent="0.2">
      <c r="A1467" s="95" t="s">
        <v>2750</v>
      </c>
      <c r="B1467" s="95" t="s">
        <v>285</v>
      </c>
      <c r="C1467" s="95" t="s">
        <v>534</v>
      </c>
      <c r="D1467" s="95">
        <v>2012</v>
      </c>
      <c r="E1467" s="95">
        <v>769.91888399892071</v>
      </c>
      <c r="F1467" s="95" t="s">
        <v>2732</v>
      </c>
      <c r="G1467" s="95" t="s">
        <v>286</v>
      </c>
      <c r="H1467" s="95" t="s">
        <v>2732</v>
      </c>
      <c r="I1467" s="95" t="s">
        <v>3103</v>
      </c>
    </row>
    <row r="1468" spans="1:9" ht="14.1" customHeight="1" x14ac:dyDescent="0.2">
      <c r="A1468" s="95" t="s">
        <v>2751</v>
      </c>
      <c r="B1468" s="95" t="s">
        <v>285</v>
      </c>
      <c r="C1468" s="95" t="s">
        <v>490</v>
      </c>
      <c r="D1468" s="95">
        <v>2012</v>
      </c>
      <c r="E1468" s="95">
        <v>2242.1655895622484</v>
      </c>
      <c r="F1468" s="95" t="s">
        <v>2737</v>
      </c>
      <c r="G1468" s="95" t="s">
        <v>286</v>
      </c>
      <c r="H1468" s="95" t="s">
        <v>2737</v>
      </c>
      <c r="I1468" s="95" t="s">
        <v>3103</v>
      </c>
    </row>
    <row r="1469" spans="1:9" ht="14.1" customHeight="1" x14ac:dyDescent="0.2">
      <c r="A1469" s="95" t="s">
        <v>2752</v>
      </c>
      <c r="B1469" s="95" t="s">
        <v>285</v>
      </c>
      <c r="C1469" s="95" t="s">
        <v>536</v>
      </c>
      <c r="D1469" s="95">
        <v>2012</v>
      </c>
      <c r="E1469" s="95">
        <v>5628.6686660696978</v>
      </c>
      <c r="F1469" s="95" t="s">
        <v>2732</v>
      </c>
      <c r="G1469" s="95" t="s">
        <v>286</v>
      </c>
      <c r="H1469" s="95" t="s">
        <v>2732</v>
      </c>
      <c r="I1469" s="95" t="s">
        <v>3103</v>
      </c>
    </row>
    <row r="1470" spans="1:9" ht="14.1" customHeight="1" x14ac:dyDescent="0.2">
      <c r="A1470" s="95" t="s">
        <v>2753</v>
      </c>
      <c r="B1470" s="95" t="s">
        <v>285</v>
      </c>
      <c r="C1470" s="95" t="s">
        <v>481</v>
      </c>
      <c r="D1470" s="95">
        <v>2012</v>
      </c>
      <c r="E1470" s="95">
        <v>10247.196880005571</v>
      </c>
      <c r="F1470" s="95" t="s">
        <v>2732</v>
      </c>
      <c r="G1470" s="95" t="s">
        <v>286</v>
      </c>
      <c r="H1470" s="95" t="s">
        <v>2732</v>
      </c>
      <c r="I1470" s="95" t="s">
        <v>3103</v>
      </c>
    </row>
    <row r="1471" spans="1:9" ht="14.1" customHeight="1" x14ac:dyDescent="0.2">
      <c r="A1471" s="95" t="s">
        <v>2754</v>
      </c>
      <c r="B1471" s="95" t="s">
        <v>285</v>
      </c>
      <c r="C1471" s="95" t="s">
        <v>484</v>
      </c>
      <c r="D1471" s="95">
        <v>2012</v>
      </c>
      <c r="E1471" s="95">
        <v>1756.5624477512122</v>
      </c>
      <c r="F1471" s="95" t="s">
        <v>2737</v>
      </c>
      <c r="G1471" s="95" t="s">
        <v>286</v>
      </c>
      <c r="H1471" s="95" t="s">
        <v>2737</v>
      </c>
      <c r="I1471" s="95" t="s">
        <v>3103</v>
      </c>
    </row>
    <row r="1472" spans="1:9" ht="14.1" customHeight="1" x14ac:dyDescent="0.2">
      <c r="A1472" s="95" t="s">
        <v>2755</v>
      </c>
      <c r="B1472" s="95" t="s">
        <v>285</v>
      </c>
      <c r="C1472" s="95" t="s">
        <v>485</v>
      </c>
      <c r="D1472" s="95">
        <v>2012</v>
      </c>
      <c r="E1472" s="95">
        <v>9918.7414500684008</v>
      </c>
      <c r="F1472" s="95" t="s">
        <v>2737</v>
      </c>
      <c r="G1472" s="95" t="s">
        <v>286</v>
      </c>
      <c r="H1472" s="95" t="s">
        <v>2737</v>
      </c>
      <c r="I1472" s="95" t="s">
        <v>3103</v>
      </c>
    </row>
    <row r="1473" spans="1:9" ht="14.1" customHeight="1" x14ac:dyDescent="0.2">
      <c r="A1473" s="95" t="s">
        <v>2756</v>
      </c>
      <c r="B1473" s="95" t="s">
        <v>285</v>
      </c>
      <c r="C1473" s="95" t="s">
        <v>540</v>
      </c>
      <c r="D1473" s="95">
        <v>2012</v>
      </c>
      <c r="E1473" s="95">
        <v>3904.3512512361508</v>
      </c>
      <c r="F1473" s="95" t="s">
        <v>2732</v>
      </c>
      <c r="G1473" s="95" t="s">
        <v>286</v>
      </c>
      <c r="H1473" s="95" t="s">
        <v>2732</v>
      </c>
      <c r="I1473" s="95" t="s">
        <v>3103</v>
      </c>
    </row>
    <row r="1474" spans="1:9" ht="14.1" customHeight="1" x14ac:dyDescent="0.2">
      <c r="A1474" s="95" t="s">
        <v>2757</v>
      </c>
      <c r="B1474" s="95" t="s">
        <v>285</v>
      </c>
      <c r="C1474" s="95" t="s">
        <v>538</v>
      </c>
      <c r="D1474" s="95">
        <v>2012</v>
      </c>
      <c r="E1474" s="95">
        <v>6530.2552995996584</v>
      </c>
      <c r="F1474" s="95" t="s">
        <v>2737</v>
      </c>
      <c r="G1474" s="95" t="s">
        <v>286</v>
      </c>
      <c r="H1474" s="95" t="s">
        <v>2737</v>
      </c>
      <c r="I1474" s="95" t="s">
        <v>3103</v>
      </c>
    </row>
    <row r="1475" spans="1:9" ht="14.1" customHeight="1" x14ac:dyDescent="0.2">
      <c r="A1475" s="95" t="s">
        <v>2758</v>
      </c>
      <c r="B1475" s="95" t="s">
        <v>285</v>
      </c>
      <c r="C1475" s="95" t="s">
        <v>489</v>
      </c>
      <c r="D1475" s="95">
        <v>2012</v>
      </c>
      <c r="E1475" s="95">
        <v>5763.0165087427958</v>
      </c>
      <c r="F1475" s="95" t="s">
        <v>2737</v>
      </c>
      <c r="G1475" s="95" t="s">
        <v>286</v>
      </c>
      <c r="H1475" s="95" t="s">
        <v>2737</v>
      </c>
      <c r="I1475" s="95" t="s">
        <v>3103</v>
      </c>
    </row>
    <row r="1476" spans="1:9" ht="14.1" customHeight="1" x14ac:dyDescent="0.2">
      <c r="A1476" s="95" t="s">
        <v>2759</v>
      </c>
      <c r="B1476" s="95" t="s">
        <v>285</v>
      </c>
      <c r="C1476" s="95" t="s">
        <v>542</v>
      </c>
      <c r="D1476" s="95">
        <v>2012</v>
      </c>
      <c r="E1476" s="95">
        <v>8677.6556776556772</v>
      </c>
      <c r="F1476" s="95" t="s">
        <v>2737</v>
      </c>
      <c r="G1476" s="95" t="s">
        <v>286</v>
      </c>
      <c r="H1476" s="95" t="s">
        <v>2737</v>
      </c>
      <c r="I1476" s="95" t="s">
        <v>3103</v>
      </c>
    </row>
    <row r="1477" spans="1:9" ht="14.1" customHeight="1" x14ac:dyDescent="0.2">
      <c r="A1477" s="95" t="s">
        <v>2760</v>
      </c>
      <c r="B1477" s="95" t="s">
        <v>285</v>
      </c>
      <c r="C1477" s="95" t="s">
        <v>544</v>
      </c>
      <c r="D1477" s="95">
        <v>2012</v>
      </c>
      <c r="E1477" s="95">
        <v>19019.56358164033</v>
      </c>
      <c r="F1477" s="95" t="s">
        <v>2737</v>
      </c>
      <c r="G1477" s="95" t="s">
        <v>286</v>
      </c>
      <c r="H1477" s="95" t="s">
        <v>2737</v>
      </c>
      <c r="I1477" s="95" t="s">
        <v>3103</v>
      </c>
    </row>
    <row r="1478" spans="1:9" ht="14.1" customHeight="1" x14ac:dyDescent="0.2">
      <c r="A1478" s="95" t="s">
        <v>2761</v>
      </c>
      <c r="B1478" s="95" t="s">
        <v>285</v>
      </c>
      <c r="C1478" s="95" t="s">
        <v>546</v>
      </c>
      <c r="D1478" s="95">
        <v>2012</v>
      </c>
      <c r="E1478" s="95">
        <v>14612.244897959185</v>
      </c>
      <c r="F1478" s="95" t="s">
        <v>2732</v>
      </c>
      <c r="G1478" s="95" t="s">
        <v>286</v>
      </c>
      <c r="H1478" s="95" t="s">
        <v>2732</v>
      </c>
      <c r="I1478" s="95" t="s">
        <v>3103</v>
      </c>
    </row>
    <row r="1479" spans="1:9" ht="14.1" customHeight="1" x14ac:dyDescent="0.2">
      <c r="A1479" s="95" t="s">
        <v>2762</v>
      </c>
      <c r="B1479" s="95" t="s">
        <v>285</v>
      </c>
      <c r="C1479" s="95" t="s">
        <v>548</v>
      </c>
      <c r="D1479" s="95">
        <v>2012</v>
      </c>
      <c r="E1479" s="95">
        <v>12956.059220110445</v>
      </c>
      <c r="F1479" s="95" t="s">
        <v>2737</v>
      </c>
      <c r="G1479" s="95" t="s">
        <v>286</v>
      </c>
      <c r="H1479" s="95" t="s">
        <v>2737</v>
      </c>
      <c r="I1479" s="95" t="s">
        <v>3103</v>
      </c>
    </row>
    <row r="1480" spans="1:9" ht="14.1" customHeight="1" x14ac:dyDescent="0.2">
      <c r="A1480" s="95" t="s">
        <v>2763</v>
      </c>
      <c r="B1480" s="95" t="s">
        <v>285</v>
      </c>
      <c r="C1480" s="95" t="s">
        <v>518</v>
      </c>
      <c r="D1480" s="95">
        <v>2012</v>
      </c>
      <c r="E1480" s="95">
        <v>3.3970347000497054</v>
      </c>
      <c r="F1480" s="95" t="s">
        <v>2764</v>
      </c>
      <c r="G1480" s="95" t="s">
        <v>286</v>
      </c>
      <c r="H1480" s="95" t="s">
        <v>2764</v>
      </c>
      <c r="I1480" s="95" t="s">
        <v>3103</v>
      </c>
    </row>
    <row r="1481" spans="1:9" ht="14.1" customHeight="1" x14ac:dyDescent="0.2">
      <c r="A1481" s="95" t="s">
        <v>2765</v>
      </c>
      <c r="B1481" s="95" t="s">
        <v>285</v>
      </c>
      <c r="C1481" s="95" t="s">
        <v>526</v>
      </c>
      <c r="D1481" s="95">
        <v>2012</v>
      </c>
      <c r="E1481" s="95">
        <v>-31.289960098191138</v>
      </c>
      <c r="F1481" s="95" t="s">
        <v>2766</v>
      </c>
      <c r="G1481" s="95" t="s">
        <v>286</v>
      </c>
      <c r="H1481" s="95" t="s">
        <v>2766</v>
      </c>
      <c r="I1481" s="95" t="s">
        <v>3103</v>
      </c>
    </row>
    <row r="1482" spans="1:9" ht="14.1" customHeight="1" x14ac:dyDescent="0.2">
      <c r="A1482" s="95" t="s">
        <v>2767</v>
      </c>
      <c r="B1482" s="95" t="s">
        <v>285</v>
      </c>
      <c r="C1482" s="95" t="s">
        <v>520</v>
      </c>
      <c r="D1482" s="95">
        <v>2012</v>
      </c>
      <c r="E1482" s="95">
        <v>-30.22443414956982</v>
      </c>
      <c r="F1482" s="95" t="s">
        <v>2764</v>
      </c>
      <c r="G1482" s="95" t="s">
        <v>286</v>
      </c>
      <c r="H1482" s="95" t="s">
        <v>2764</v>
      </c>
      <c r="I1482" s="95" t="s">
        <v>3103</v>
      </c>
    </row>
    <row r="1483" spans="1:9" ht="14.1" customHeight="1" x14ac:dyDescent="0.2">
      <c r="A1483" s="95" t="s">
        <v>2768</v>
      </c>
      <c r="B1483" s="95" t="s">
        <v>285</v>
      </c>
      <c r="C1483" s="95" t="s">
        <v>483</v>
      </c>
      <c r="D1483" s="95">
        <v>2012</v>
      </c>
      <c r="E1483" s="95">
        <v>-12.039897039897031</v>
      </c>
      <c r="F1483" s="95" t="s">
        <v>2764</v>
      </c>
      <c r="G1483" s="95" t="s">
        <v>286</v>
      </c>
      <c r="H1483" s="95" t="s">
        <v>2764</v>
      </c>
      <c r="I1483" s="95" t="s">
        <v>3103</v>
      </c>
    </row>
    <row r="1484" spans="1:9" ht="14.1" customHeight="1" x14ac:dyDescent="0.2">
      <c r="A1484" s="95" t="s">
        <v>2769</v>
      </c>
      <c r="B1484" s="95" t="s">
        <v>285</v>
      </c>
      <c r="C1484" s="95" t="s">
        <v>522</v>
      </c>
      <c r="D1484" s="95">
        <v>2012</v>
      </c>
      <c r="E1484" s="95">
        <v>5.2627551775147881</v>
      </c>
      <c r="F1484" s="95" t="s">
        <v>2764</v>
      </c>
      <c r="G1484" s="95" t="s">
        <v>286</v>
      </c>
      <c r="H1484" s="95" t="s">
        <v>2764</v>
      </c>
      <c r="I1484" s="95" t="s">
        <v>3103</v>
      </c>
    </row>
    <row r="1485" spans="1:9" ht="14.1" customHeight="1" x14ac:dyDescent="0.2">
      <c r="A1485" s="95" t="s">
        <v>2770</v>
      </c>
      <c r="B1485" s="95" t="s">
        <v>285</v>
      </c>
      <c r="C1485" s="95" t="s">
        <v>524</v>
      </c>
      <c r="D1485" s="95">
        <v>2012</v>
      </c>
      <c r="E1485" s="95">
        <v>0.75811283372732952</v>
      </c>
      <c r="F1485" s="95" t="s">
        <v>2764</v>
      </c>
      <c r="G1485" s="95" t="s">
        <v>286</v>
      </c>
      <c r="H1485" s="95" t="s">
        <v>2764</v>
      </c>
      <c r="I1485" s="95" t="s">
        <v>3103</v>
      </c>
    </row>
    <row r="1486" spans="1:9" ht="14.1" customHeight="1" x14ac:dyDescent="0.2">
      <c r="A1486" s="95" t="s">
        <v>2771</v>
      </c>
      <c r="B1486" s="95" t="s">
        <v>285</v>
      </c>
      <c r="C1486" s="95" t="s">
        <v>528</v>
      </c>
      <c r="D1486" s="95">
        <v>2012</v>
      </c>
      <c r="E1486" s="95">
        <v>1.2753795098220426</v>
      </c>
      <c r="F1486" s="95" t="s">
        <v>2764</v>
      </c>
      <c r="G1486" s="95" t="s">
        <v>286</v>
      </c>
      <c r="H1486" s="95" t="s">
        <v>2764</v>
      </c>
      <c r="I1486" s="95" t="s">
        <v>3103</v>
      </c>
    </row>
    <row r="1487" spans="1:9" ht="14.1" customHeight="1" x14ac:dyDescent="0.2">
      <c r="A1487" s="95" t="s">
        <v>2772</v>
      </c>
      <c r="B1487" s="95" t="s">
        <v>285</v>
      </c>
      <c r="C1487" s="95" t="s">
        <v>488</v>
      </c>
      <c r="D1487" s="95">
        <v>2012</v>
      </c>
      <c r="E1487" s="95">
        <v>1.1017863172804767</v>
      </c>
      <c r="F1487" s="95" t="s">
        <v>2764</v>
      </c>
      <c r="G1487" s="95" t="s">
        <v>286</v>
      </c>
      <c r="H1487" s="95" t="s">
        <v>2764</v>
      </c>
      <c r="I1487" s="95" t="s">
        <v>3103</v>
      </c>
    </row>
    <row r="1488" spans="1:9" ht="14.1" customHeight="1" x14ac:dyDescent="0.2">
      <c r="A1488" s="95" t="s">
        <v>2773</v>
      </c>
      <c r="B1488" s="95" t="s">
        <v>285</v>
      </c>
      <c r="C1488" s="95" t="s">
        <v>487</v>
      </c>
      <c r="D1488" s="95">
        <v>2012</v>
      </c>
      <c r="E1488" s="95">
        <v>-13.597541145620488</v>
      </c>
      <c r="F1488" s="95" t="s">
        <v>2774</v>
      </c>
      <c r="G1488" s="95" t="s">
        <v>286</v>
      </c>
      <c r="H1488" s="95" t="s">
        <v>2774</v>
      </c>
      <c r="I1488" s="95" t="s">
        <v>3103</v>
      </c>
    </row>
    <row r="1489" spans="1:9" ht="14.1" customHeight="1" x14ac:dyDescent="0.2">
      <c r="A1489" s="95" t="s">
        <v>2775</v>
      </c>
      <c r="B1489" s="95" t="s">
        <v>285</v>
      </c>
      <c r="C1489" s="95" t="s">
        <v>530</v>
      </c>
      <c r="D1489" s="95">
        <v>2012</v>
      </c>
      <c r="E1489" s="95">
        <v>2.1208423584229665E-2</v>
      </c>
      <c r="F1489" s="95" t="s">
        <v>2776</v>
      </c>
      <c r="G1489" s="95" t="s">
        <v>286</v>
      </c>
      <c r="H1489" s="95" t="s">
        <v>2776</v>
      </c>
      <c r="I1489" s="95" t="s">
        <v>3103</v>
      </c>
    </row>
    <row r="1490" spans="1:9" ht="14.1" customHeight="1" x14ac:dyDescent="0.2">
      <c r="A1490" s="95" t="s">
        <v>2777</v>
      </c>
      <c r="B1490" s="95" t="s">
        <v>285</v>
      </c>
      <c r="C1490" s="95" t="s">
        <v>486</v>
      </c>
      <c r="D1490" s="95">
        <v>2012</v>
      </c>
      <c r="E1490" s="95">
        <v>-20.660641846851377</v>
      </c>
      <c r="F1490" s="95" t="s">
        <v>2778</v>
      </c>
      <c r="G1490" s="95" t="s">
        <v>286</v>
      </c>
      <c r="H1490" s="95" t="s">
        <v>2778</v>
      </c>
      <c r="I1490" s="95" t="s">
        <v>3103</v>
      </c>
    </row>
    <row r="1491" spans="1:9" ht="14.1" customHeight="1" x14ac:dyDescent="0.2">
      <c r="A1491" s="95" t="s">
        <v>2779</v>
      </c>
      <c r="B1491" s="95" t="s">
        <v>285</v>
      </c>
      <c r="C1491" s="95" t="s">
        <v>482</v>
      </c>
      <c r="D1491" s="95">
        <v>2012</v>
      </c>
      <c r="E1491" s="95">
        <v>-11.122072975140332</v>
      </c>
      <c r="F1491" s="95" t="s">
        <v>2764</v>
      </c>
      <c r="G1491" s="95" t="s">
        <v>286</v>
      </c>
      <c r="H1491" s="95" t="s">
        <v>2764</v>
      </c>
      <c r="I1491" s="95" t="s">
        <v>3103</v>
      </c>
    </row>
    <row r="1492" spans="1:9" ht="14.1" customHeight="1" x14ac:dyDescent="0.2">
      <c r="A1492" s="95" t="s">
        <v>2780</v>
      </c>
      <c r="B1492" s="95" t="s">
        <v>285</v>
      </c>
      <c r="C1492" s="95" t="s">
        <v>532</v>
      </c>
      <c r="D1492" s="95">
        <v>2012</v>
      </c>
      <c r="E1492" s="95">
        <v>-25.358680057388813</v>
      </c>
      <c r="F1492" s="95" t="s">
        <v>2764</v>
      </c>
      <c r="G1492" s="95" t="s">
        <v>286</v>
      </c>
      <c r="H1492" s="95" t="s">
        <v>2764</v>
      </c>
      <c r="I1492" s="95" t="s">
        <v>3103</v>
      </c>
    </row>
    <row r="1493" spans="1:9" ht="14.1" customHeight="1" x14ac:dyDescent="0.2">
      <c r="A1493" s="95" t="s">
        <v>2781</v>
      </c>
      <c r="B1493" s="95" t="s">
        <v>285</v>
      </c>
      <c r="C1493" s="95" t="s">
        <v>534</v>
      </c>
      <c r="D1493" s="95">
        <v>2012</v>
      </c>
      <c r="E1493" s="95">
        <v>-25.388220392653579</v>
      </c>
      <c r="F1493" s="95" t="s">
        <v>2764</v>
      </c>
      <c r="G1493" s="95" t="s">
        <v>286</v>
      </c>
      <c r="H1493" s="95" t="s">
        <v>2764</v>
      </c>
      <c r="I1493" s="95" t="s">
        <v>3103</v>
      </c>
    </row>
    <row r="1494" spans="1:9" ht="14.1" customHeight="1" x14ac:dyDescent="0.2">
      <c r="A1494" s="95" t="s">
        <v>2782</v>
      </c>
      <c r="B1494" s="95" t="s">
        <v>285</v>
      </c>
      <c r="C1494" s="95" t="s">
        <v>490</v>
      </c>
      <c r="D1494" s="95">
        <v>2012</v>
      </c>
      <c r="E1494" s="95">
        <v>-18.533282575592775</v>
      </c>
      <c r="F1494" s="95" t="s">
        <v>2764</v>
      </c>
      <c r="G1494" s="95" t="s">
        <v>286</v>
      </c>
      <c r="H1494" s="95" t="s">
        <v>2764</v>
      </c>
      <c r="I1494" s="95" t="s">
        <v>3103</v>
      </c>
    </row>
    <row r="1495" spans="1:9" ht="14.1" customHeight="1" x14ac:dyDescent="0.2">
      <c r="A1495" s="95" t="s">
        <v>2783</v>
      </c>
      <c r="B1495" s="95" t="s">
        <v>285</v>
      </c>
      <c r="C1495" s="95" t="s">
        <v>536</v>
      </c>
      <c r="D1495" s="95">
        <v>2012</v>
      </c>
      <c r="E1495" s="95">
        <v>-25.342681168916261</v>
      </c>
      <c r="F1495" s="95" t="s">
        <v>2764</v>
      </c>
      <c r="G1495" s="95" t="s">
        <v>286</v>
      </c>
      <c r="H1495" s="95" t="s">
        <v>2764</v>
      </c>
      <c r="I1495" s="95" t="s">
        <v>3103</v>
      </c>
    </row>
    <row r="1496" spans="1:9" ht="14.1" customHeight="1" x14ac:dyDescent="0.2">
      <c r="A1496" s="95" t="s">
        <v>2784</v>
      </c>
      <c r="B1496" s="95" t="s">
        <v>285</v>
      </c>
      <c r="C1496" s="95" t="s">
        <v>481</v>
      </c>
      <c r="D1496" s="95">
        <v>2012</v>
      </c>
      <c r="E1496" s="95">
        <v>-2.7484827323726951E-2</v>
      </c>
      <c r="F1496" s="95" t="s">
        <v>2764</v>
      </c>
      <c r="G1496" s="95" t="s">
        <v>286</v>
      </c>
      <c r="H1496" s="95" t="s">
        <v>2764</v>
      </c>
      <c r="I1496" s="95" t="s">
        <v>3103</v>
      </c>
    </row>
    <row r="1497" spans="1:9" ht="14.1" customHeight="1" x14ac:dyDescent="0.2">
      <c r="A1497" s="95" t="s">
        <v>2785</v>
      </c>
      <c r="B1497" s="95" t="s">
        <v>285</v>
      </c>
      <c r="C1497" s="95" t="s">
        <v>484</v>
      </c>
      <c r="D1497" s="95">
        <v>2012</v>
      </c>
      <c r="E1497" s="95">
        <v>-21.828299067199694</v>
      </c>
      <c r="F1497" s="95" t="s">
        <v>2764</v>
      </c>
      <c r="G1497" s="95" t="s">
        <v>286</v>
      </c>
      <c r="H1497" s="95" t="s">
        <v>2764</v>
      </c>
      <c r="I1497" s="95" t="s">
        <v>3103</v>
      </c>
    </row>
    <row r="1498" spans="1:9" ht="14.1" customHeight="1" x14ac:dyDescent="0.2">
      <c r="A1498" s="95" t="s">
        <v>2786</v>
      </c>
      <c r="B1498" s="95" t="s">
        <v>285</v>
      </c>
      <c r="C1498" s="95" t="s">
        <v>485</v>
      </c>
      <c r="D1498" s="95">
        <v>2012</v>
      </c>
      <c r="E1498" s="95">
        <v>-17.367289051940539</v>
      </c>
      <c r="F1498" s="95" t="s">
        <v>2764</v>
      </c>
      <c r="G1498" s="95" t="s">
        <v>286</v>
      </c>
      <c r="H1498" s="95" t="s">
        <v>2764</v>
      </c>
      <c r="I1498" s="95" t="s">
        <v>3103</v>
      </c>
    </row>
    <row r="1499" spans="1:9" ht="14.1" customHeight="1" x14ac:dyDescent="0.2">
      <c r="A1499" s="95" t="s">
        <v>2787</v>
      </c>
      <c r="B1499" s="95" t="s">
        <v>285</v>
      </c>
      <c r="C1499" s="95" t="s">
        <v>540</v>
      </c>
      <c r="D1499" s="95">
        <v>2012</v>
      </c>
      <c r="E1499" s="95">
        <v>-7.0351669285905905</v>
      </c>
      <c r="F1499" s="95" t="s">
        <v>2764</v>
      </c>
      <c r="G1499" s="95" t="s">
        <v>286</v>
      </c>
      <c r="H1499" s="95" t="s">
        <v>2764</v>
      </c>
      <c r="I1499" s="95" t="s">
        <v>3103</v>
      </c>
    </row>
    <row r="1500" spans="1:9" ht="14.1" customHeight="1" x14ac:dyDescent="0.2">
      <c r="A1500" s="95" t="s">
        <v>2788</v>
      </c>
      <c r="B1500" s="95" t="s">
        <v>285</v>
      </c>
      <c r="C1500" s="95" t="s">
        <v>538</v>
      </c>
      <c r="D1500" s="95">
        <v>2012</v>
      </c>
      <c r="E1500" s="95">
        <v>2.59475832022633</v>
      </c>
      <c r="F1500" s="95" t="s">
        <v>2764</v>
      </c>
      <c r="G1500" s="95" t="s">
        <v>286</v>
      </c>
      <c r="H1500" s="95" t="s">
        <v>2764</v>
      </c>
      <c r="I1500" s="95" t="s">
        <v>3103</v>
      </c>
    </row>
    <row r="1501" spans="1:9" ht="14.1" customHeight="1" x14ac:dyDescent="0.2">
      <c r="A1501" s="95" t="s">
        <v>2789</v>
      </c>
      <c r="B1501" s="95" t="s">
        <v>285</v>
      </c>
      <c r="C1501" s="95" t="s">
        <v>489</v>
      </c>
      <c r="D1501" s="95">
        <v>2012</v>
      </c>
      <c r="E1501" s="95">
        <v>-14.90814275544105</v>
      </c>
      <c r="F1501" s="95" t="s">
        <v>2764</v>
      </c>
      <c r="G1501" s="95" t="s">
        <v>286</v>
      </c>
      <c r="H1501" s="95" t="s">
        <v>2764</v>
      </c>
      <c r="I1501" s="95" t="s">
        <v>3103</v>
      </c>
    </row>
    <row r="1502" spans="1:9" ht="14.1" customHeight="1" x14ac:dyDescent="0.2">
      <c r="A1502" s="95" t="s">
        <v>2790</v>
      </c>
      <c r="B1502" s="95" t="s">
        <v>285</v>
      </c>
      <c r="C1502" s="95" t="s">
        <v>542</v>
      </c>
      <c r="D1502" s="95">
        <v>2012</v>
      </c>
      <c r="E1502" s="95">
        <v>15.374630645842119</v>
      </c>
      <c r="F1502" s="95" t="s">
        <v>2764</v>
      </c>
      <c r="G1502" s="95" t="s">
        <v>286</v>
      </c>
      <c r="H1502" s="95" t="s">
        <v>2764</v>
      </c>
      <c r="I1502" s="95" t="s">
        <v>3103</v>
      </c>
    </row>
    <row r="1503" spans="1:9" ht="14.1" customHeight="1" x14ac:dyDescent="0.2">
      <c r="A1503" s="95" t="s">
        <v>2791</v>
      </c>
      <c r="B1503" s="95" t="s">
        <v>285</v>
      </c>
      <c r="C1503" s="95" t="s">
        <v>544</v>
      </c>
      <c r="D1503" s="95">
        <v>2012</v>
      </c>
      <c r="E1503" s="95">
        <v>16.563996518574193</v>
      </c>
      <c r="F1503" s="95" t="s">
        <v>2764</v>
      </c>
      <c r="G1503" s="95" t="s">
        <v>286</v>
      </c>
      <c r="H1503" s="95" t="s">
        <v>2764</v>
      </c>
      <c r="I1503" s="95" t="s">
        <v>3103</v>
      </c>
    </row>
    <row r="1504" spans="1:9" ht="14.1" customHeight="1" x14ac:dyDescent="0.2">
      <c r="A1504" s="95" t="s">
        <v>2792</v>
      </c>
      <c r="B1504" s="95" t="s">
        <v>285</v>
      </c>
      <c r="C1504" s="95" t="s">
        <v>546</v>
      </c>
      <c r="D1504" s="95">
        <v>2012</v>
      </c>
      <c r="E1504" s="95">
        <v>-4.6765597212383021</v>
      </c>
      <c r="F1504" s="95" t="s">
        <v>2764</v>
      </c>
      <c r="G1504" s="95" t="s">
        <v>286</v>
      </c>
      <c r="H1504" s="95" t="s">
        <v>2764</v>
      </c>
      <c r="I1504" s="95" t="s">
        <v>3103</v>
      </c>
    </row>
    <row r="1505" spans="1:9" ht="14.1" customHeight="1" x14ac:dyDescent="0.2">
      <c r="A1505" s="95" t="s">
        <v>2793</v>
      </c>
      <c r="B1505" s="95" t="s">
        <v>285</v>
      </c>
      <c r="C1505" s="95" t="s">
        <v>548</v>
      </c>
      <c r="D1505" s="95">
        <v>2012</v>
      </c>
      <c r="E1505" s="95">
        <v>10.477488520594942</v>
      </c>
      <c r="F1505" s="95" t="s">
        <v>2764</v>
      </c>
      <c r="G1505" s="95" t="s">
        <v>286</v>
      </c>
      <c r="H1505" s="95" t="s">
        <v>2764</v>
      </c>
      <c r="I1505" s="95" t="s">
        <v>3103</v>
      </c>
    </row>
    <row r="1506" spans="1:9" ht="14.1" customHeight="1" x14ac:dyDescent="0.2">
      <c r="A1506" s="95" t="s">
        <v>2794</v>
      </c>
      <c r="B1506" s="95" t="s">
        <v>285</v>
      </c>
      <c r="C1506" s="95" t="s">
        <v>518</v>
      </c>
      <c r="D1506" s="95">
        <v>2012</v>
      </c>
      <c r="E1506" s="95">
        <v>279.12101799106381</v>
      </c>
      <c r="F1506" s="95" t="s">
        <v>2795</v>
      </c>
      <c r="G1506" s="95" t="s">
        <v>286</v>
      </c>
      <c r="H1506" s="95" t="s">
        <v>2795</v>
      </c>
      <c r="I1506" s="95" t="s">
        <v>3103</v>
      </c>
    </row>
    <row r="1507" spans="1:9" ht="14.1" customHeight="1" x14ac:dyDescent="0.2">
      <c r="A1507" s="95" t="s">
        <v>2796</v>
      </c>
      <c r="B1507" s="95" t="s">
        <v>285</v>
      </c>
      <c r="C1507" s="95" t="s">
        <v>526</v>
      </c>
      <c r="D1507" s="95">
        <v>2012</v>
      </c>
      <c r="E1507" s="95">
        <v>397.72727272727275</v>
      </c>
      <c r="F1507" s="95" t="s">
        <v>2797</v>
      </c>
      <c r="G1507" s="95" t="s">
        <v>286</v>
      </c>
      <c r="H1507" s="95" t="s">
        <v>2797</v>
      </c>
      <c r="I1507" s="95" t="s">
        <v>3103</v>
      </c>
    </row>
    <row r="1508" spans="1:9" ht="14.1" customHeight="1" x14ac:dyDescent="0.2">
      <c r="A1508" s="95" t="s">
        <v>2798</v>
      </c>
      <c r="B1508" s="95" t="s">
        <v>285</v>
      </c>
      <c r="C1508" s="95" t="s">
        <v>520</v>
      </c>
      <c r="D1508" s="95">
        <v>2012</v>
      </c>
      <c r="E1508" s="95">
        <v>402.44937508879167</v>
      </c>
      <c r="F1508" s="95" t="s">
        <v>2799</v>
      </c>
      <c r="G1508" s="95" t="s">
        <v>286</v>
      </c>
      <c r="H1508" s="95" t="s">
        <v>2799</v>
      </c>
      <c r="I1508" s="95" t="s">
        <v>3103</v>
      </c>
    </row>
    <row r="1509" spans="1:9" ht="14.1" customHeight="1" x14ac:dyDescent="0.2">
      <c r="A1509" s="95" t="s">
        <v>2800</v>
      </c>
      <c r="B1509" s="95" t="s">
        <v>285</v>
      </c>
      <c r="C1509" s="95" t="s">
        <v>483</v>
      </c>
      <c r="D1509" s="95">
        <v>2012</v>
      </c>
      <c r="E1509" s="95">
        <v>146.21769172715318</v>
      </c>
      <c r="F1509" s="95" t="s">
        <v>2801</v>
      </c>
      <c r="G1509" s="95" t="s">
        <v>286</v>
      </c>
      <c r="H1509" s="95" t="s">
        <v>2801</v>
      </c>
      <c r="I1509" s="95" t="s">
        <v>3103</v>
      </c>
    </row>
    <row r="1510" spans="1:9" ht="14.1" customHeight="1" x14ac:dyDescent="0.2">
      <c r="A1510" s="95" t="s">
        <v>2802</v>
      </c>
      <c r="B1510" s="95" t="s">
        <v>285</v>
      </c>
      <c r="C1510" s="95" t="s">
        <v>522</v>
      </c>
      <c r="D1510" s="95">
        <v>2012</v>
      </c>
      <c r="E1510" s="95">
        <v>107.97417746759722</v>
      </c>
      <c r="F1510" s="95" t="s">
        <v>3104</v>
      </c>
      <c r="G1510" s="95" t="s">
        <v>286</v>
      </c>
      <c r="H1510" s="95" t="s">
        <v>3104</v>
      </c>
      <c r="I1510" s="95" t="s">
        <v>3103</v>
      </c>
    </row>
    <row r="1511" spans="1:9" ht="14.1" customHeight="1" x14ac:dyDescent="0.2">
      <c r="A1511" s="95" t="s">
        <v>2803</v>
      </c>
      <c r="B1511" s="95" t="s">
        <v>285</v>
      </c>
      <c r="C1511" s="95" t="s">
        <v>524</v>
      </c>
      <c r="D1511" s="95">
        <v>2012</v>
      </c>
      <c r="E1511" s="95">
        <v>383.82650405978302</v>
      </c>
      <c r="F1511" s="95" t="s">
        <v>2804</v>
      </c>
      <c r="G1511" s="95" t="s">
        <v>286</v>
      </c>
      <c r="H1511" s="95" t="s">
        <v>2804</v>
      </c>
      <c r="I1511" s="95" t="s">
        <v>3103</v>
      </c>
    </row>
    <row r="1512" spans="1:9" ht="14.1" customHeight="1" x14ac:dyDescent="0.2">
      <c r="A1512" s="95" t="s">
        <v>2805</v>
      </c>
      <c r="B1512" s="95" t="s">
        <v>285</v>
      </c>
      <c r="C1512" s="95" t="s">
        <v>528</v>
      </c>
      <c r="D1512" s="95">
        <v>2012</v>
      </c>
      <c r="E1512" s="95">
        <v>226.04901453772339</v>
      </c>
      <c r="F1512" s="95" t="s">
        <v>2806</v>
      </c>
      <c r="G1512" s="95" t="s">
        <v>286</v>
      </c>
      <c r="H1512" s="95" t="s">
        <v>2806</v>
      </c>
      <c r="I1512" s="95" t="s">
        <v>3103</v>
      </c>
    </row>
    <row r="1513" spans="1:9" ht="14.1" customHeight="1" x14ac:dyDescent="0.2">
      <c r="A1513" s="95" t="s">
        <v>2807</v>
      </c>
      <c r="B1513" s="95" t="s">
        <v>285</v>
      </c>
      <c r="C1513" s="95" t="s">
        <v>488</v>
      </c>
      <c r="D1513" s="95">
        <v>2012</v>
      </c>
      <c r="E1513" s="95">
        <v>196.50839091806517</v>
      </c>
      <c r="F1513" s="95" t="s">
        <v>2808</v>
      </c>
      <c r="G1513" s="95" t="s">
        <v>286</v>
      </c>
      <c r="H1513" s="95" t="s">
        <v>2808</v>
      </c>
      <c r="I1513" s="95" t="s">
        <v>3103</v>
      </c>
    </row>
    <row r="1514" spans="1:9" ht="14.1" customHeight="1" x14ac:dyDescent="0.2">
      <c r="A1514" s="95" t="s">
        <v>2809</v>
      </c>
      <c r="B1514" s="95" t="s">
        <v>285</v>
      </c>
      <c r="C1514" s="95" t="s">
        <v>487</v>
      </c>
      <c r="D1514" s="95">
        <v>2012</v>
      </c>
      <c r="E1514" s="95">
        <v>237.21727310748642</v>
      </c>
      <c r="F1514" s="95" t="s">
        <v>2810</v>
      </c>
      <c r="G1514" s="95" t="s">
        <v>286</v>
      </c>
      <c r="H1514" s="95" t="s">
        <v>2810</v>
      </c>
      <c r="I1514" s="95" t="s">
        <v>3103</v>
      </c>
    </row>
    <row r="1515" spans="1:9" ht="14.1" customHeight="1" x14ac:dyDescent="0.2">
      <c r="A1515" s="95" t="s">
        <v>2811</v>
      </c>
      <c r="B1515" s="95" t="s">
        <v>285</v>
      </c>
      <c r="C1515" s="95" t="s">
        <v>530</v>
      </c>
      <c r="D1515" s="95">
        <v>2012</v>
      </c>
      <c r="E1515" s="95">
        <v>111.97366366925263</v>
      </c>
      <c r="F1515" s="95" t="s">
        <v>2812</v>
      </c>
      <c r="G1515" s="95" t="s">
        <v>286</v>
      </c>
      <c r="H1515" s="95" t="s">
        <v>2812</v>
      </c>
      <c r="I1515" s="95" t="s">
        <v>3103</v>
      </c>
    </row>
    <row r="1516" spans="1:9" ht="14.1" customHeight="1" x14ac:dyDescent="0.2">
      <c r="A1516" s="95" t="s">
        <v>2813</v>
      </c>
      <c r="B1516" s="95" t="s">
        <v>285</v>
      </c>
      <c r="C1516" s="95" t="s">
        <v>486</v>
      </c>
      <c r="D1516" s="95">
        <v>2012</v>
      </c>
      <c r="E1516" s="95">
        <v>94.023422285703504</v>
      </c>
      <c r="F1516" s="95" t="s">
        <v>2814</v>
      </c>
      <c r="G1516" s="95" t="s">
        <v>286</v>
      </c>
      <c r="H1516" s="95" t="s">
        <v>2814</v>
      </c>
      <c r="I1516" s="95" t="s">
        <v>3103</v>
      </c>
    </row>
    <row r="1517" spans="1:9" ht="14.1" customHeight="1" x14ac:dyDescent="0.2">
      <c r="A1517" s="95" t="s">
        <v>2815</v>
      </c>
      <c r="B1517" s="95" t="s">
        <v>285</v>
      </c>
      <c r="C1517" s="95" t="s">
        <v>482</v>
      </c>
      <c r="D1517" s="95">
        <v>2012</v>
      </c>
      <c r="E1517" s="95">
        <v>135.84541542535584</v>
      </c>
      <c r="F1517" s="95" t="s">
        <v>2801</v>
      </c>
      <c r="G1517" s="95" t="s">
        <v>286</v>
      </c>
      <c r="H1517" s="95" t="s">
        <v>2801</v>
      </c>
      <c r="I1517" s="95" t="s">
        <v>3103</v>
      </c>
    </row>
    <row r="1518" spans="1:9" ht="14.1" customHeight="1" x14ac:dyDescent="0.2">
      <c r="A1518" s="95" t="s">
        <v>2816</v>
      </c>
      <c r="B1518" s="95" t="s">
        <v>285</v>
      </c>
      <c r="C1518" s="95" t="s">
        <v>532</v>
      </c>
      <c r="D1518" s="95">
        <v>2012</v>
      </c>
      <c r="E1518" s="95">
        <v>116.15827621118102</v>
      </c>
      <c r="F1518" s="95" t="s">
        <v>2817</v>
      </c>
      <c r="G1518" s="95" t="s">
        <v>286</v>
      </c>
      <c r="H1518" s="95" t="s">
        <v>2817</v>
      </c>
      <c r="I1518" s="95" t="s">
        <v>3103</v>
      </c>
    </row>
    <row r="1519" spans="1:9" ht="14.1" customHeight="1" x14ac:dyDescent="0.2">
      <c r="A1519" s="95" t="s">
        <v>2818</v>
      </c>
      <c r="B1519" s="95" t="s">
        <v>285</v>
      </c>
      <c r="C1519" s="95" t="s">
        <v>490</v>
      </c>
      <c r="D1519" s="95">
        <v>2012</v>
      </c>
      <c r="E1519" s="95">
        <v>134.15546884526276</v>
      </c>
      <c r="F1519" s="95" t="s">
        <v>2801</v>
      </c>
      <c r="G1519" s="95" t="s">
        <v>286</v>
      </c>
      <c r="H1519" s="95" t="s">
        <v>2801</v>
      </c>
      <c r="I1519" s="95" t="s">
        <v>3103</v>
      </c>
    </row>
    <row r="1520" spans="1:9" ht="14.1" customHeight="1" x14ac:dyDescent="0.2">
      <c r="A1520" s="95" t="s">
        <v>2819</v>
      </c>
      <c r="B1520" s="95" t="s">
        <v>285</v>
      </c>
      <c r="C1520" s="95" t="s">
        <v>536</v>
      </c>
      <c r="D1520" s="95">
        <v>2012</v>
      </c>
      <c r="E1520" s="95">
        <v>185.74274675490395</v>
      </c>
      <c r="F1520" s="95" t="s">
        <v>2820</v>
      </c>
      <c r="G1520" s="95" t="s">
        <v>286</v>
      </c>
      <c r="H1520" s="95" t="s">
        <v>2820</v>
      </c>
      <c r="I1520" s="95" t="s">
        <v>3103</v>
      </c>
    </row>
    <row r="1521" spans="1:9" ht="14.1" customHeight="1" x14ac:dyDescent="0.2">
      <c r="A1521" s="95" t="s">
        <v>2821</v>
      </c>
      <c r="B1521" s="95" t="s">
        <v>285</v>
      </c>
      <c r="C1521" s="95" t="s">
        <v>481</v>
      </c>
      <c r="D1521" s="95">
        <v>2012</v>
      </c>
      <c r="E1521" s="95">
        <v>281.52047496343755</v>
      </c>
      <c r="F1521" s="95" t="s">
        <v>2822</v>
      </c>
      <c r="G1521" s="95" t="s">
        <v>286</v>
      </c>
      <c r="H1521" s="95" t="s">
        <v>2822</v>
      </c>
      <c r="I1521" s="95" t="s">
        <v>3103</v>
      </c>
    </row>
    <row r="1522" spans="1:9" ht="14.1" customHeight="1" x14ac:dyDescent="0.2">
      <c r="A1522" s="95" t="s">
        <v>2823</v>
      </c>
      <c r="B1522" s="95" t="s">
        <v>285</v>
      </c>
      <c r="C1522" s="95" t="s">
        <v>484</v>
      </c>
      <c r="D1522" s="95">
        <v>2012</v>
      </c>
      <c r="E1522" s="95">
        <v>85.542718608928283</v>
      </c>
      <c r="F1522" s="95" t="s">
        <v>2824</v>
      </c>
      <c r="G1522" s="95" t="s">
        <v>286</v>
      </c>
      <c r="H1522" s="95" t="s">
        <v>2824</v>
      </c>
      <c r="I1522" s="95" t="s">
        <v>3103</v>
      </c>
    </row>
    <row r="1523" spans="1:9" ht="14.1" customHeight="1" x14ac:dyDescent="0.2">
      <c r="A1523" s="95" t="s">
        <v>2825</v>
      </c>
      <c r="B1523" s="95" t="s">
        <v>285</v>
      </c>
      <c r="C1523" s="95" t="s">
        <v>485</v>
      </c>
      <c r="D1523" s="95">
        <v>2012</v>
      </c>
      <c r="E1523" s="95">
        <v>126.96032831737347</v>
      </c>
      <c r="F1523" s="95" t="s">
        <v>2826</v>
      </c>
      <c r="G1523" s="95" t="s">
        <v>286</v>
      </c>
      <c r="H1523" s="95" t="s">
        <v>2826</v>
      </c>
      <c r="I1523" s="95" t="s">
        <v>3103</v>
      </c>
    </row>
    <row r="1524" spans="1:9" ht="14.1" customHeight="1" x14ac:dyDescent="0.2">
      <c r="A1524" s="95" t="s">
        <v>2827</v>
      </c>
      <c r="B1524" s="95" t="s">
        <v>285</v>
      </c>
      <c r="C1524" s="95" t="s">
        <v>540</v>
      </c>
      <c r="D1524" s="95">
        <v>2012</v>
      </c>
      <c r="E1524" s="95">
        <v>166.12805805180221</v>
      </c>
      <c r="F1524" s="95" t="s">
        <v>2828</v>
      </c>
      <c r="G1524" s="95" t="s">
        <v>286</v>
      </c>
      <c r="H1524" s="95" t="s">
        <v>2828</v>
      </c>
      <c r="I1524" s="95" t="s">
        <v>3103</v>
      </c>
    </row>
    <row r="1525" spans="1:9" ht="14.1" customHeight="1" x14ac:dyDescent="0.2">
      <c r="A1525" s="95" t="s">
        <v>2829</v>
      </c>
      <c r="B1525" s="95" t="s">
        <v>285</v>
      </c>
      <c r="C1525" s="95" t="s">
        <v>538</v>
      </c>
      <c r="D1525" s="95">
        <v>2012</v>
      </c>
      <c r="E1525" s="95">
        <v>70.152818796350985</v>
      </c>
      <c r="F1525" s="95" t="s">
        <v>3105</v>
      </c>
      <c r="G1525" s="95" t="s">
        <v>286</v>
      </c>
      <c r="H1525" s="95" t="s">
        <v>3105</v>
      </c>
      <c r="I1525" s="95" t="s">
        <v>3103</v>
      </c>
    </row>
    <row r="1526" spans="1:9" ht="14.1" customHeight="1" x14ac:dyDescent="0.2">
      <c r="A1526" s="95" t="s">
        <v>2830</v>
      </c>
      <c r="B1526" s="95" t="s">
        <v>285</v>
      </c>
      <c r="C1526" s="95" t="s">
        <v>489</v>
      </c>
      <c r="D1526" s="95">
        <v>2012</v>
      </c>
      <c r="E1526" s="95">
        <v>285.00273517632115</v>
      </c>
      <c r="F1526" s="95" t="s">
        <v>2801</v>
      </c>
      <c r="G1526" s="95" t="s">
        <v>286</v>
      </c>
      <c r="H1526" s="95" t="s">
        <v>2801</v>
      </c>
      <c r="I1526" s="95" t="s">
        <v>3103</v>
      </c>
    </row>
    <row r="1527" spans="1:9" ht="14.1" customHeight="1" x14ac:dyDescent="0.2">
      <c r="A1527" s="95" t="s">
        <v>2831</v>
      </c>
      <c r="B1527" s="95" t="s">
        <v>285</v>
      </c>
      <c r="C1527" s="95" t="s">
        <v>542</v>
      </c>
      <c r="D1527" s="95">
        <v>2012</v>
      </c>
      <c r="E1527" s="95">
        <v>303.29487179487177</v>
      </c>
      <c r="F1527" s="95" t="s">
        <v>2832</v>
      </c>
      <c r="G1527" s="95" t="s">
        <v>286</v>
      </c>
      <c r="H1527" s="95" t="s">
        <v>2832</v>
      </c>
      <c r="I1527" s="95" t="s">
        <v>3103</v>
      </c>
    </row>
    <row r="1528" spans="1:9" ht="14.1" customHeight="1" x14ac:dyDescent="0.2">
      <c r="A1528" s="95" t="s">
        <v>2833</v>
      </c>
      <c r="B1528" s="95" t="s">
        <v>285</v>
      </c>
      <c r="C1528" s="95" t="s">
        <v>544</v>
      </c>
      <c r="D1528" s="95">
        <v>2012</v>
      </c>
      <c r="E1528" s="95">
        <v>359.12490594431904</v>
      </c>
      <c r="F1528" s="95" t="s">
        <v>2834</v>
      </c>
      <c r="G1528" s="95" t="s">
        <v>286</v>
      </c>
      <c r="H1528" s="95" t="s">
        <v>2834</v>
      </c>
      <c r="I1528" s="95" t="s">
        <v>3103</v>
      </c>
    </row>
    <row r="1529" spans="1:9" ht="14.1" customHeight="1" x14ac:dyDescent="0.2">
      <c r="A1529" s="95" t="s">
        <v>2835</v>
      </c>
      <c r="B1529" s="95" t="s">
        <v>285</v>
      </c>
      <c r="C1529" s="95" t="s">
        <v>546</v>
      </c>
      <c r="D1529" s="95">
        <v>2012</v>
      </c>
      <c r="E1529" s="95">
        <v>502.93315587104416</v>
      </c>
      <c r="F1529" s="95" t="s">
        <v>2836</v>
      </c>
      <c r="G1529" s="95" t="s">
        <v>286</v>
      </c>
      <c r="H1529" s="95" t="s">
        <v>2836</v>
      </c>
      <c r="I1529" s="95" t="s">
        <v>3103</v>
      </c>
    </row>
    <row r="1530" spans="1:9" ht="14.1" customHeight="1" x14ac:dyDescent="0.2">
      <c r="A1530" s="95" t="s">
        <v>2837</v>
      </c>
      <c r="B1530" s="95" t="s">
        <v>285</v>
      </c>
      <c r="C1530" s="95" t="s">
        <v>518</v>
      </c>
      <c r="D1530" s="95">
        <v>2012</v>
      </c>
      <c r="E1530" s="95">
        <v>14.433924318816475</v>
      </c>
      <c r="F1530" s="95" t="s">
        <v>2795</v>
      </c>
      <c r="G1530" s="95" t="s">
        <v>286</v>
      </c>
      <c r="H1530" s="95" t="s">
        <v>2795</v>
      </c>
      <c r="I1530" s="95" t="s">
        <v>3103</v>
      </c>
    </row>
    <row r="1531" spans="1:9" ht="14.1" customHeight="1" x14ac:dyDescent="0.2">
      <c r="A1531" s="95" t="s">
        <v>2838</v>
      </c>
      <c r="B1531" s="95" t="s">
        <v>285</v>
      </c>
      <c r="C1531" s="95" t="s">
        <v>526</v>
      </c>
      <c r="D1531" s="95">
        <v>2012</v>
      </c>
      <c r="E1531" s="95">
        <v>16.7564782414277</v>
      </c>
      <c r="F1531" s="95" t="s">
        <v>2797</v>
      </c>
      <c r="G1531" s="95" t="s">
        <v>286</v>
      </c>
      <c r="H1531" s="95" t="s">
        <v>2797</v>
      </c>
      <c r="I1531" s="95" t="s">
        <v>3103</v>
      </c>
    </row>
    <row r="1532" spans="1:9" ht="14.1" customHeight="1" x14ac:dyDescent="0.2">
      <c r="A1532" s="95" t="s">
        <v>2839</v>
      </c>
      <c r="B1532" s="95" t="s">
        <v>285</v>
      </c>
      <c r="C1532" s="95" t="s">
        <v>520</v>
      </c>
      <c r="D1532" s="95">
        <v>2012</v>
      </c>
      <c r="E1532" s="95">
        <v>18.406740517049819</v>
      </c>
      <c r="F1532" s="95" t="s">
        <v>2799</v>
      </c>
      <c r="G1532" s="95" t="s">
        <v>286</v>
      </c>
      <c r="H1532" s="95" t="s">
        <v>2799</v>
      </c>
      <c r="I1532" s="95" t="s">
        <v>3103</v>
      </c>
    </row>
    <row r="1533" spans="1:9" ht="14.1" customHeight="1" x14ac:dyDescent="0.2">
      <c r="A1533" s="95" t="s">
        <v>2840</v>
      </c>
      <c r="B1533" s="95" t="s">
        <v>285</v>
      </c>
      <c r="C1533" s="95" t="s">
        <v>522</v>
      </c>
      <c r="D1533" s="95">
        <v>2012</v>
      </c>
      <c r="E1533" s="95">
        <v>9.8392821535393828</v>
      </c>
      <c r="F1533" s="95" t="s">
        <v>2841</v>
      </c>
      <c r="G1533" s="95" t="s">
        <v>286</v>
      </c>
      <c r="H1533" s="95" t="s">
        <v>2841</v>
      </c>
      <c r="I1533" s="95" t="s">
        <v>3103</v>
      </c>
    </row>
    <row r="1534" spans="1:9" ht="14.1" customHeight="1" x14ac:dyDescent="0.2">
      <c r="A1534" s="95" t="s">
        <v>2842</v>
      </c>
      <c r="B1534" s="95" t="s">
        <v>285</v>
      </c>
      <c r="C1534" s="95" t="s">
        <v>524</v>
      </c>
      <c r="D1534" s="95">
        <v>2012</v>
      </c>
      <c r="E1534" s="95">
        <v>38.411470719838569</v>
      </c>
      <c r="F1534" s="95" t="s">
        <v>2804</v>
      </c>
      <c r="G1534" s="95" t="s">
        <v>286</v>
      </c>
      <c r="H1534" s="95" t="s">
        <v>2804</v>
      </c>
      <c r="I1534" s="95" t="s">
        <v>3103</v>
      </c>
    </row>
    <row r="1535" spans="1:9" ht="14.1" customHeight="1" x14ac:dyDescent="0.2">
      <c r="A1535" s="95" t="s">
        <v>2843</v>
      </c>
      <c r="B1535" s="95" t="s">
        <v>285</v>
      </c>
      <c r="C1535" s="95" t="s">
        <v>528</v>
      </c>
      <c r="D1535" s="95">
        <v>2012</v>
      </c>
      <c r="E1535" s="95">
        <v>11.580244785381831</v>
      </c>
      <c r="F1535" s="95" t="s">
        <v>2844</v>
      </c>
      <c r="G1535" s="95" t="s">
        <v>286</v>
      </c>
      <c r="H1535" s="95" t="s">
        <v>2844</v>
      </c>
      <c r="I1535" s="95" t="s">
        <v>3103</v>
      </c>
    </row>
    <row r="1536" spans="1:9" ht="14.1" customHeight="1" x14ac:dyDescent="0.2">
      <c r="A1536" s="95" t="s">
        <v>2845</v>
      </c>
      <c r="B1536" s="95" t="s">
        <v>285</v>
      </c>
      <c r="C1536" s="95" t="s">
        <v>488</v>
      </c>
      <c r="D1536" s="95">
        <v>2012</v>
      </c>
      <c r="E1536" s="95">
        <v>6.5670629640757117</v>
      </c>
      <c r="F1536" s="95" t="s">
        <v>2808</v>
      </c>
      <c r="G1536" s="95" t="s">
        <v>286</v>
      </c>
      <c r="H1536" s="95" t="s">
        <v>2808</v>
      </c>
      <c r="I1536" s="95" t="s">
        <v>3103</v>
      </c>
    </row>
    <row r="1537" spans="1:9" ht="14.1" customHeight="1" x14ac:dyDescent="0.2">
      <c r="A1537" s="95" t="s">
        <v>2846</v>
      </c>
      <c r="B1537" s="95" t="s">
        <v>285</v>
      </c>
      <c r="C1537" s="95" t="s">
        <v>487</v>
      </c>
      <c r="D1537" s="95">
        <v>2012</v>
      </c>
      <c r="E1537" s="95">
        <v>40.941865328314513</v>
      </c>
      <c r="F1537" s="95" t="s">
        <v>2810</v>
      </c>
      <c r="G1537" s="95" t="s">
        <v>286</v>
      </c>
      <c r="H1537" s="95" t="s">
        <v>2810</v>
      </c>
      <c r="I1537" s="95" t="s">
        <v>3103</v>
      </c>
    </row>
    <row r="1538" spans="1:9" ht="14.1" customHeight="1" x14ac:dyDescent="0.2">
      <c r="A1538" s="95" t="s">
        <v>2847</v>
      </c>
      <c r="B1538" s="95" t="s">
        <v>285</v>
      </c>
      <c r="C1538" s="95" t="s">
        <v>530</v>
      </c>
      <c r="D1538" s="95">
        <v>2012</v>
      </c>
      <c r="E1538" s="95">
        <v>8.6682440358823349</v>
      </c>
      <c r="F1538" s="95" t="s">
        <v>2812</v>
      </c>
      <c r="G1538" s="95" t="s">
        <v>286</v>
      </c>
      <c r="H1538" s="95" t="s">
        <v>2812</v>
      </c>
      <c r="I1538" s="95" t="s">
        <v>3103</v>
      </c>
    </row>
    <row r="1539" spans="1:9" ht="14.1" customHeight="1" x14ac:dyDescent="0.2">
      <c r="A1539" s="95" t="s">
        <v>2848</v>
      </c>
      <c r="B1539" s="95" t="s">
        <v>285</v>
      </c>
      <c r="C1539" s="95" t="s">
        <v>486</v>
      </c>
      <c r="D1539" s="95">
        <v>2012</v>
      </c>
      <c r="E1539" s="95">
        <v>9.7685134660700736</v>
      </c>
      <c r="F1539" s="95" t="s">
        <v>2849</v>
      </c>
      <c r="G1539" s="95" t="s">
        <v>286</v>
      </c>
      <c r="H1539" s="95" t="s">
        <v>2849</v>
      </c>
      <c r="I1539" s="95" t="s">
        <v>3103</v>
      </c>
    </row>
    <row r="1540" spans="1:9" ht="14.1" customHeight="1" x14ac:dyDescent="0.2">
      <c r="A1540" s="95" t="s">
        <v>2850</v>
      </c>
      <c r="B1540" s="95" t="s">
        <v>285</v>
      </c>
      <c r="C1540" s="95" t="s">
        <v>482</v>
      </c>
      <c r="D1540" s="95">
        <v>2012</v>
      </c>
      <c r="E1540" s="95">
        <v>8.0604435617345249</v>
      </c>
      <c r="F1540" s="95" t="s">
        <v>2851</v>
      </c>
      <c r="G1540" s="95" t="s">
        <v>286</v>
      </c>
      <c r="H1540" s="95" t="s">
        <v>2851</v>
      </c>
      <c r="I1540" s="95" t="s">
        <v>3103</v>
      </c>
    </row>
    <row r="1541" spans="1:9" ht="14.1" customHeight="1" x14ac:dyDescent="0.2">
      <c r="A1541" s="95" t="s">
        <v>2852</v>
      </c>
      <c r="B1541" s="95" t="s">
        <v>285</v>
      </c>
      <c r="C1541" s="95" t="s">
        <v>532</v>
      </c>
      <c r="D1541" s="95">
        <v>2012</v>
      </c>
      <c r="E1541" s="95">
        <v>15.837378206651117</v>
      </c>
      <c r="F1541" s="95" t="s">
        <v>2817</v>
      </c>
      <c r="G1541" s="95" t="s">
        <v>286</v>
      </c>
      <c r="H1541" s="95" t="s">
        <v>2817</v>
      </c>
      <c r="I1541" s="95" t="s">
        <v>3103</v>
      </c>
    </row>
    <row r="1542" spans="1:9" ht="14.1" customHeight="1" x14ac:dyDescent="0.2">
      <c r="A1542" s="95" t="s">
        <v>2853</v>
      </c>
      <c r="B1542" s="95" t="s">
        <v>285</v>
      </c>
      <c r="C1542" s="95" t="s">
        <v>490</v>
      </c>
      <c r="D1542" s="95">
        <v>2012</v>
      </c>
      <c r="E1542" s="95">
        <v>7.2126569930496283</v>
      </c>
      <c r="F1542" s="95" t="s">
        <v>2851</v>
      </c>
      <c r="G1542" s="95" t="s">
        <v>286</v>
      </c>
      <c r="H1542" s="95" t="s">
        <v>2851</v>
      </c>
      <c r="I1542" s="95" t="s">
        <v>3103</v>
      </c>
    </row>
    <row r="1543" spans="1:9" ht="14.1" customHeight="1" x14ac:dyDescent="0.2">
      <c r="A1543" s="95" t="s">
        <v>2854</v>
      </c>
      <c r="B1543" s="95" t="s">
        <v>285</v>
      </c>
      <c r="C1543" s="95" t="s">
        <v>536</v>
      </c>
      <c r="D1543" s="95">
        <v>2012</v>
      </c>
      <c r="E1543" s="95">
        <v>7.3115159418707734</v>
      </c>
      <c r="F1543" s="95" t="s">
        <v>2820</v>
      </c>
      <c r="G1543" s="95" t="s">
        <v>286</v>
      </c>
      <c r="H1543" s="95" t="s">
        <v>2820</v>
      </c>
      <c r="I1543" s="95" t="s">
        <v>3103</v>
      </c>
    </row>
    <row r="1544" spans="1:9" ht="14.1" customHeight="1" x14ac:dyDescent="0.2">
      <c r="A1544" s="95" t="s">
        <v>2855</v>
      </c>
      <c r="B1544" s="95" t="s">
        <v>285</v>
      </c>
      <c r="C1544" s="95" t="s">
        <v>481</v>
      </c>
      <c r="D1544" s="95">
        <v>2012</v>
      </c>
      <c r="E1544" s="95">
        <v>3.3110070339160109</v>
      </c>
      <c r="F1544" s="95" t="s">
        <v>3106</v>
      </c>
      <c r="G1544" s="95" t="s">
        <v>286</v>
      </c>
      <c r="H1544" s="95" t="s">
        <v>3106</v>
      </c>
      <c r="I1544" s="95" t="s">
        <v>3103</v>
      </c>
    </row>
    <row r="1545" spans="1:9" ht="14.1" customHeight="1" x14ac:dyDescent="0.2">
      <c r="A1545" s="95" t="s">
        <v>2856</v>
      </c>
      <c r="B1545" s="95" t="s">
        <v>285</v>
      </c>
      <c r="C1545" s="95" t="s">
        <v>484</v>
      </c>
      <c r="D1545" s="95">
        <v>2012</v>
      </c>
      <c r="E1545" s="95">
        <v>7.1427854873766936</v>
      </c>
      <c r="F1545" s="95" t="s">
        <v>2824</v>
      </c>
      <c r="G1545" s="95" t="s">
        <v>286</v>
      </c>
      <c r="H1545" s="95" t="s">
        <v>2824</v>
      </c>
      <c r="I1545" s="95" t="s">
        <v>3103</v>
      </c>
    </row>
    <row r="1546" spans="1:9" ht="14.1" customHeight="1" x14ac:dyDescent="0.2">
      <c r="A1546" s="95" t="s">
        <v>2857</v>
      </c>
      <c r="B1546" s="95" t="s">
        <v>285</v>
      </c>
      <c r="C1546" s="95" t="s">
        <v>485</v>
      </c>
      <c r="D1546" s="95">
        <v>2012</v>
      </c>
      <c r="E1546" s="95">
        <v>5.9950752393980853</v>
      </c>
      <c r="F1546" s="95" t="s">
        <v>2826</v>
      </c>
      <c r="G1546" s="95" t="s">
        <v>286</v>
      </c>
      <c r="H1546" s="95" t="s">
        <v>2826</v>
      </c>
      <c r="I1546" s="95" t="s">
        <v>3103</v>
      </c>
    </row>
    <row r="1547" spans="1:9" ht="14.1" customHeight="1" x14ac:dyDescent="0.2">
      <c r="A1547" s="95" t="s">
        <v>2858</v>
      </c>
      <c r="B1547" s="95" t="s">
        <v>285</v>
      </c>
      <c r="C1547" s="95" t="s">
        <v>540</v>
      </c>
      <c r="D1547" s="95">
        <v>2012</v>
      </c>
      <c r="E1547" s="95">
        <v>36.25498950019994</v>
      </c>
      <c r="F1547" s="95" t="s">
        <v>2859</v>
      </c>
      <c r="G1547" s="95" t="s">
        <v>286</v>
      </c>
      <c r="H1547" s="95" t="s">
        <v>2859</v>
      </c>
      <c r="I1547" s="95" t="s">
        <v>3103</v>
      </c>
    </row>
    <row r="1548" spans="1:9" ht="14.1" customHeight="1" x14ac:dyDescent="0.2">
      <c r="A1548" s="95" t="s">
        <v>2860</v>
      </c>
      <c r="B1548" s="95" t="s">
        <v>285</v>
      </c>
      <c r="C1548" s="95" t="s">
        <v>538</v>
      </c>
      <c r="D1548" s="95">
        <v>2012</v>
      </c>
      <c r="E1548" s="95">
        <v>3.4833300518474766</v>
      </c>
      <c r="F1548" s="95" t="s">
        <v>3107</v>
      </c>
      <c r="G1548" s="95" t="s">
        <v>286</v>
      </c>
      <c r="H1548" s="95" t="s">
        <v>3107</v>
      </c>
      <c r="I1548" s="95" t="s">
        <v>3103</v>
      </c>
    </row>
    <row r="1549" spans="1:9" ht="14.1" customHeight="1" x14ac:dyDescent="0.2">
      <c r="A1549" s="95" t="s">
        <v>2861</v>
      </c>
      <c r="B1549" s="95" t="s">
        <v>285</v>
      </c>
      <c r="C1549" s="95" t="s">
        <v>489</v>
      </c>
      <c r="D1549" s="95">
        <v>2012</v>
      </c>
      <c r="E1549" s="95">
        <v>35.502490964149658</v>
      </c>
      <c r="F1549" s="95" t="s">
        <v>2862</v>
      </c>
      <c r="G1549" s="95" t="s">
        <v>286</v>
      </c>
      <c r="H1549" s="95" t="s">
        <v>2862</v>
      </c>
      <c r="I1549" s="95" t="s">
        <v>3103</v>
      </c>
    </row>
    <row r="1550" spans="1:9" ht="14.1" customHeight="1" x14ac:dyDescent="0.2">
      <c r="A1550" s="95" t="s">
        <v>2863</v>
      </c>
      <c r="B1550" s="95" t="s">
        <v>285</v>
      </c>
      <c r="C1550" s="95" t="s">
        <v>542</v>
      </c>
      <c r="D1550" s="95">
        <v>2012</v>
      </c>
      <c r="E1550" s="95">
        <v>62.401098901098891</v>
      </c>
      <c r="F1550" s="95" t="s">
        <v>2864</v>
      </c>
      <c r="G1550" s="95" t="s">
        <v>286</v>
      </c>
      <c r="H1550" s="95" t="s">
        <v>2864</v>
      </c>
      <c r="I1550" s="95" t="s">
        <v>3103</v>
      </c>
    </row>
    <row r="1551" spans="1:9" ht="14.1" customHeight="1" x14ac:dyDescent="0.2">
      <c r="A1551" s="95" t="s">
        <v>2865</v>
      </c>
      <c r="B1551" s="95" t="s">
        <v>285</v>
      </c>
      <c r="C1551" s="95" t="s">
        <v>546</v>
      </c>
      <c r="D1551" s="95">
        <v>2012</v>
      </c>
      <c r="E1551" s="95">
        <v>15.901212658976636</v>
      </c>
      <c r="F1551" s="95" t="s">
        <v>2836</v>
      </c>
      <c r="G1551" s="95" t="s">
        <v>286</v>
      </c>
      <c r="H1551" s="95" t="s">
        <v>2836</v>
      </c>
      <c r="I1551" s="95" t="s">
        <v>3103</v>
      </c>
    </row>
    <row r="1552" spans="1:9" ht="14.1" customHeight="1" x14ac:dyDescent="0.2">
      <c r="A1552" s="95" t="s">
        <v>2866</v>
      </c>
      <c r="B1552" s="95" t="s">
        <v>285</v>
      </c>
      <c r="C1552" s="95" t="s">
        <v>548</v>
      </c>
      <c r="D1552" s="95">
        <v>2012</v>
      </c>
      <c r="E1552" s="95">
        <v>30.99856323080283</v>
      </c>
      <c r="F1552" s="95" t="s">
        <v>2834</v>
      </c>
      <c r="G1552" s="95" t="s">
        <v>286</v>
      </c>
      <c r="H1552" s="95" t="s">
        <v>2834</v>
      </c>
      <c r="I1552" s="95" t="s">
        <v>3103</v>
      </c>
    </row>
    <row r="1553" spans="1:9" ht="14.1" customHeight="1" x14ac:dyDescent="0.2">
      <c r="A1553" s="95" t="s">
        <v>2867</v>
      </c>
      <c r="B1553" s="95" t="s">
        <v>285</v>
      </c>
      <c r="C1553" s="95" t="s">
        <v>518</v>
      </c>
      <c r="D1553" s="95">
        <v>2012</v>
      </c>
      <c r="E1553" s="95">
        <v>1.7262951693696773</v>
      </c>
      <c r="F1553" s="95" t="s">
        <v>2868</v>
      </c>
      <c r="G1553" s="95" t="s">
        <v>286</v>
      </c>
      <c r="H1553" s="95" t="s">
        <v>2868</v>
      </c>
      <c r="I1553" s="95" t="s">
        <v>3103</v>
      </c>
    </row>
    <row r="1554" spans="1:9" ht="14.1" customHeight="1" x14ac:dyDescent="0.2">
      <c r="A1554" s="95" t="s">
        <v>2869</v>
      </c>
      <c r="B1554" s="95" t="s">
        <v>285</v>
      </c>
      <c r="C1554" s="95" t="s">
        <v>526</v>
      </c>
      <c r="D1554" s="95">
        <v>2012</v>
      </c>
      <c r="E1554" s="95">
        <v>8.860928977272728</v>
      </c>
      <c r="F1554" s="95" t="s">
        <v>2870</v>
      </c>
      <c r="G1554" s="95" t="s">
        <v>286</v>
      </c>
      <c r="H1554" s="95" t="s">
        <v>2870</v>
      </c>
      <c r="I1554" s="95" t="s">
        <v>3103</v>
      </c>
    </row>
    <row r="1555" spans="1:9" ht="14.1" customHeight="1" x14ac:dyDescent="0.2">
      <c r="A1555" s="95" t="s">
        <v>2871</v>
      </c>
      <c r="B1555" s="95" t="s">
        <v>285</v>
      </c>
      <c r="C1555" s="95" t="s">
        <v>520</v>
      </c>
      <c r="D1555" s="95">
        <v>2012</v>
      </c>
      <c r="E1555" s="95">
        <v>1.139957525708603</v>
      </c>
      <c r="F1555" s="95" t="s">
        <v>2868</v>
      </c>
      <c r="G1555" s="95" t="s">
        <v>286</v>
      </c>
      <c r="H1555" s="95" t="s">
        <v>2868</v>
      </c>
      <c r="I1555" s="95" t="s">
        <v>3103</v>
      </c>
    </row>
    <row r="1556" spans="1:9" ht="14.1" customHeight="1" x14ac:dyDescent="0.2">
      <c r="A1556" s="95" t="s">
        <v>2872</v>
      </c>
      <c r="B1556" s="95" t="s">
        <v>285</v>
      </c>
      <c r="C1556" s="95" t="s">
        <v>483</v>
      </c>
      <c r="D1556" s="95">
        <v>2012</v>
      </c>
      <c r="E1556" s="95">
        <v>0.58779512074315576</v>
      </c>
      <c r="F1556" s="95" t="s">
        <v>2873</v>
      </c>
      <c r="G1556" s="95" t="s">
        <v>286</v>
      </c>
      <c r="H1556" s="95" t="s">
        <v>2873</v>
      </c>
      <c r="I1556" s="95" t="s">
        <v>3103</v>
      </c>
    </row>
    <row r="1557" spans="1:9" ht="14.1" customHeight="1" x14ac:dyDescent="0.2">
      <c r="A1557" s="95" t="s">
        <v>2874</v>
      </c>
      <c r="B1557" s="95" t="s">
        <v>285</v>
      </c>
      <c r="C1557" s="95" t="s">
        <v>522</v>
      </c>
      <c r="D1557" s="95">
        <v>2012</v>
      </c>
      <c r="E1557" s="95">
        <v>0.63404885343968098</v>
      </c>
      <c r="F1557" s="95" t="s">
        <v>2868</v>
      </c>
      <c r="G1557" s="95" t="s">
        <v>286</v>
      </c>
      <c r="H1557" s="95" t="s">
        <v>2868</v>
      </c>
      <c r="I1557" s="95" t="s">
        <v>3103</v>
      </c>
    </row>
    <row r="1558" spans="1:9" ht="14.1" customHeight="1" x14ac:dyDescent="0.2">
      <c r="A1558" s="95" t="s">
        <v>2875</v>
      </c>
      <c r="B1558" s="95" t="s">
        <v>285</v>
      </c>
      <c r="C1558" s="95" t="s">
        <v>524</v>
      </c>
      <c r="D1558" s="95">
        <v>2012</v>
      </c>
      <c r="E1558" s="95">
        <v>1.4189088098530676</v>
      </c>
      <c r="F1558" s="95" t="s">
        <v>2868</v>
      </c>
      <c r="G1558" s="95" t="s">
        <v>286</v>
      </c>
      <c r="H1558" s="95" t="s">
        <v>2868</v>
      </c>
      <c r="I1558" s="95" t="s">
        <v>3103</v>
      </c>
    </row>
    <row r="1559" spans="1:9" ht="14.1" customHeight="1" x14ac:dyDescent="0.2">
      <c r="A1559" s="95" t="s">
        <v>2876</v>
      </c>
      <c r="B1559" s="95" t="s">
        <v>285</v>
      </c>
      <c r="C1559" s="95" t="s">
        <v>528</v>
      </c>
      <c r="D1559" s="95">
        <v>2012</v>
      </c>
      <c r="E1559" s="95">
        <v>2.0627426305809347</v>
      </c>
      <c r="F1559" s="95" t="s">
        <v>2873</v>
      </c>
      <c r="G1559" s="95" t="s">
        <v>286</v>
      </c>
      <c r="H1559" s="95" t="s">
        <v>2873</v>
      </c>
      <c r="I1559" s="95" t="s">
        <v>3103</v>
      </c>
    </row>
    <row r="1560" spans="1:9" ht="14.1" customHeight="1" x14ac:dyDescent="0.2">
      <c r="A1560" s="95" t="s">
        <v>2877</v>
      </c>
      <c r="B1560" s="95" t="s">
        <v>285</v>
      </c>
      <c r="C1560" s="95" t="s">
        <v>488</v>
      </c>
      <c r="D1560" s="95">
        <v>2012</v>
      </c>
      <c r="E1560" s="95">
        <v>0.95327589166917037</v>
      </c>
      <c r="F1560" s="95" t="s">
        <v>2873</v>
      </c>
      <c r="G1560" s="95" t="s">
        <v>286</v>
      </c>
      <c r="H1560" s="95" t="s">
        <v>2873</v>
      </c>
      <c r="I1560" s="95" t="s">
        <v>3103</v>
      </c>
    </row>
    <row r="1561" spans="1:9" ht="14.1" customHeight="1" x14ac:dyDescent="0.2">
      <c r="A1561" s="95" t="s">
        <v>2878</v>
      </c>
      <c r="B1561" s="95" t="s">
        <v>285</v>
      </c>
      <c r="C1561" s="95" t="s">
        <v>487</v>
      </c>
      <c r="D1561" s="95">
        <v>2012</v>
      </c>
      <c r="E1561" s="95">
        <v>1.1820953575909661</v>
      </c>
      <c r="F1561" s="95" t="s">
        <v>2879</v>
      </c>
      <c r="G1561" s="95" t="s">
        <v>286</v>
      </c>
      <c r="H1561" s="95" t="s">
        <v>2879</v>
      </c>
      <c r="I1561" s="95" t="s">
        <v>3103</v>
      </c>
    </row>
    <row r="1562" spans="1:9" ht="14.1" customHeight="1" x14ac:dyDescent="0.2">
      <c r="A1562" s="95" t="s">
        <v>2880</v>
      </c>
      <c r="B1562" s="95" t="s">
        <v>285</v>
      </c>
      <c r="C1562" s="95" t="s">
        <v>530</v>
      </c>
      <c r="D1562" s="95">
        <v>2012</v>
      </c>
      <c r="E1562" s="95">
        <v>1.2008915362373078</v>
      </c>
      <c r="F1562" s="95" t="s">
        <v>2868</v>
      </c>
      <c r="G1562" s="95" t="s">
        <v>286</v>
      </c>
      <c r="H1562" s="95" t="s">
        <v>2868</v>
      </c>
      <c r="I1562" s="95" t="s">
        <v>3103</v>
      </c>
    </row>
    <row r="1563" spans="1:9" ht="14.1" customHeight="1" x14ac:dyDescent="0.2">
      <c r="A1563" s="95" t="s">
        <v>2881</v>
      </c>
      <c r="B1563" s="95" t="s">
        <v>285</v>
      </c>
      <c r="C1563" s="95" t="s">
        <v>486</v>
      </c>
      <c r="D1563" s="95">
        <v>2012</v>
      </c>
      <c r="E1563" s="95">
        <v>0.61869225518149185</v>
      </c>
      <c r="F1563" s="95" t="s">
        <v>2882</v>
      </c>
      <c r="G1563" s="95" t="s">
        <v>286</v>
      </c>
      <c r="H1563" s="95" t="s">
        <v>2882</v>
      </c>
      <c r="I1563" s="95" t="s">
        <v>3103</v>
      </c>
    </row>
    <row r="1564" spans="1:9" ht="14.1" customHeight="1" x14ac:dyDescent="0.2">
      <c r="A1564" s="95" t="s">
        <v>2883</v>
      </c>
      <c r="B1564" s="95" t="s">
        <v>285</v>
      </c>
      <c r="C1564" s="95" t="s">
        <v>482</v>
      </c>
      <c r="D1564" s="95">
        <v>2012</v>
      </c>
      <c r="E1564" s="95">
        <v>0.56061105594174121</v>
      </c>
      <c r="F1564" s="95" t="s">
        <v>2873</v>
      </c>
      <c r="G1564" s="95" t="s">
        <v>286</v>
      </c>
      <c r="H1564" s="95" t="s">
        <v>2873</v>
      </c>
      <c r="I1564" s="95" t="s">
        <v>3103</v>
      </c>
    </row>
    <row r="1565" spans="1:9" ht="14.1" customHeight="1" x14ac:dyDescent="0.2">
      <c r="A1565" s="95" t="s">
        <v>2884</v>
      </c>
      <c r="B1565" s="95" t="s">
        <v>285</v>
      </c>
      <c r="C1565" s="95" t="s">
        <v>532</v>
      </c>
      <c r="D1565" s="95">
        <v>2012</v>
      </c>
      <c r="E1565" s="95">
        <v>0.7198513174064497</v>
      </c>
      <c r="F1565" s="95" t="s">
        <v>2817</v>
      </c>
      <c r="G1565" s="95" t="s">
        <v>286</v>
      </c>
      <c r="H1565" s="95" t="s">
        <v>2817</v>
      </c>
      <c r="I1565" s="95" t="s">
        <v>3103</v>
      </c>
    </row>
    <row r="1566" spans="1:9" ht="14.1" customHeight="1" x14ac:dyDescent="0.2">
      <c r="A1566" s="95" t="s">
        <v>2885</v>
      </c>
      <c r="B1566" s="95" t="s">
        <v>285</v>
      </c>
      <c r="C1566" s="95" t="s">
        <v>534</v>
      </c>
      <c r="D1566" s="95">
        <v>2012</v>
      </c>
      <c r="E1566" s="95">
        <v>0.15787286674201048</v>
      </c>
      <c r="F1566" s="95" t="s">
        <v>2868</v>
      </c>
      <c r="G1566" s="95" t="s">
        <v>286</v>
      </c>
      <c r="H1566" s="95" t="s">
        <v>2868</v>
      </c>
      <c r="I1566" s="95" t="s">
        <v>3103</v>
      </c>
    </row>
    <row r="1567" spans="1:9" ht="14.1" customHeight="1" x14ac:dyDescent="0.2">
      <c r="A1567" s="95" t="s">
        <v>2886</v>
      </c>
      <c r="B1567" s="95" t="s">
        <v>285</v>
      </c>
      <c r="C1567" s="95" t="s">
        <v>490</v>
      </c>
      <c r="D1567" s="95">
        <v>2012</v>
      </c>
      <c r="E1567" s="95">
        <v>0.44493598341665647</v>
      </c>
      <c r="F1567" s="95" t="s">
        <v>2873</v>
      </c>
      <c r="G1567" s="95" t="s">
        <v>286</v>
      </c>
      <c r="H1567" s="95" t="s">
        <v>2873</v>
      </c>
      <c r="I1567" s="95" t="s">
        <v>3103</v>
      </c>
    </row>
    <row r="1568" spans="1:9" ht="14.1" customHeight="1" x14ac:dyDescent="0.2">
      <c r="A1568" s="95" t="s">
        <v>2887</v>
      </c>
      <c r="B1568" s="95" t="s">
        <v>285</v>
      </c>
      <c r="C1568" s="95" t="s">
        <v>536</v>
      </c>
      <c r="D1568" s="95">
        <v>2012</v>
      </c>
      <c r="E1568" s="95">
        <v>0.66371599822384564</v>
      </c>
      <c r="F1568" s="95" t="s">
        <v>2868</v>
      </c>
      <c r="G1568" s="95" t="s">
        <v>286</v>
      </c>
      <c r="H1568" s="95" t="s">
        <v>2868</v>
      </c>
      <c r="I1568" s="95" t="s">
        <v>3103</v>
      </c>
    </row>
    <row r="1569" spans="1:9" ht="14.1" customHeight="1" x14ac:dyDescent="0.2">
      <c r="A1569" s="95" t="s">
        <v>2888</v>
      </c>
      <c r="B1569" s="95" t="s">
        <v>285</v>
      </c>
      <c r="C1569" s="95" t="s">
        <v>481</v>
      </c>
      <c r="D1569" s="95">
        <v>2012</v>
      </c>
      <c r="E1569" s="95">
        <v>0.92564149662232742</v>
      </c>
      <c r="F1569" s="95" t="s">
        <v>2868</v>
      </c>
      <c r="G1569" s="95" t="s">
        <v>286</v>
      </c>
      <c r="H1569" s="95" t="s">
        <v>2868</v>
      </c>
      <c r="I1569" s="95" t="s">
        <v>3103</v>
      </c>
    </row>
    <row r="1570" spans="1:9" ht="14.1" customHeight="1" x14ac:dyDescent="0.2">
      <c r="A1570" s="95" t="s">
        <v>2889</v>
      </c>
      <c r="B1570" s="95" t="s">
        <v>285</v>
      </c>
      <c r="C1570" s="95" t="s">
        <v>484</v>
      </c>
      <c r="D1570" s="95">
        <v>2012</v>
      </c>
      <c r="E1570" s="95">
        <v>0.461039959872931</v>
      </c>
      <c r="F1570" s="95" t="s">
        <v>2873</v>
      </c>
      <c r="G1570" s="95" t="s">
        <v>286</v>
      </c>
      <c r="H1570" s="95" t="s">
        <v>2873</v>
      </c>
      <c r="I1570" s="95" t="s">
        <v>3103</v>
      </c>
    </row>
    <row r="1571" spans="1:9" ht="14.1" customHeight="1" x14ac:dyDescent="0.2">
      <c r="A1571" s="95" t="s">
        <v>2890</v>
      </c>
      <c r="B1571" s="95" t="s">
        <v>285</v>
      </c>
      <c r="C1571" s="95" t="s">
        <v>485</v>
      </c>
      <c r="D1571" s="95">
        <v>2012</v>
      </c>
      <c r="E1571" s="95">
        <v>1.2139124487004107</v>
      </c>
      <c r="F1571" s="95" t="s">
        <v>2873</v>
      </c>
      <c r="G1571" s="95" t="s">
        <v>286</v>
      </c>
      <c r="H1571" s="95" t="s">
        <v>2873</v>
      </c>
      <c r="I1571" s="95" t="s">
        <v>3103</v>
      </c>
    </row>
    <row r="1572" spans="1:9" ht="14.1" customHeight="1" x14ac:dyDescent="0.2">
      <c r="A1572" s="95" t="s">
        <v>2891</v>
      </c>
      <c r="B1572" s="95" t="s">
        <v>285</v>
      </c>
      <c r="C1572" s="95" t="s">
        <v>540</v>
      </c>
      <c r="D1572" s="95">
        <v>2012</v>
      </c>
      <c r="E1572" s="95">
        <v>1.2079229791177293</v>
      </c>
      <c r="F1572" s="95" t="s">
        <v>2868</v>
      </c>
      <c r="G1572" s="95" t="s">
        <v>286</v>
      </c>
      <c r="H1572" s="95" t="s">
        <v>2868</v>
      </c>
      <c r="I1572" s="95" t="s">
        <v>3103</v>
      </c>
    </row>
    <row r="1573" spans="1:9" ht="14.1" customHeight="1" x14ac:dyDescent="0.2">
      <c r="A1573" s="95" t="s">
        <v>2892</v>
      </c>
      <c r="B1573" s="95" t="s">
        <v>285</v>
      </c>
      <c r="C1573" s="95" t="s">
        <v>538</v>
      </c>
      <c r="D1573" s="95">
        <v>2012</v>
      </c>
      <c r="E1573" s="95">
        <v>0.84863194854630175</v>
      </c>
      <c r="F1573" s="95" t="s">
        <v>2873</v>
      </c>
      <c r="G1573" s="95" t="s">
        <v>286</v>
      </c>
      <c r="H1573" s="95" t="s">
        <v>2873</v>
      </c>
      <c r="I1573" s="95" t="s">
        <v>3103</v>
      </c>
    </row>
    <row r="1574" spans="1:9" ht="14.1" customHeight="1" x14ac:dyDescent="0.2">
      <c r="A1574" s="95" t="s">
        <v>2893</v>
      </c>
      <c r="B1574" s="95" t="s">
        <v>285</v>
      </c>
      <c r="C1574" s="95" t="s">
        <v>489</v>
      </c>
      <c r="D1574" s="95">
        <v>2012</v>
      </c>
      <c r="E1574" s="95">
        <v>0.35014750415160689</v>
      </c>
      <c r="F1574" s="95" t="s">
        <v>2873</v>
      </c>
      <c r="G1574" s="95" t="s">
        <v>286</v>
      </c>
      <c r="H1574" s="95" t="s">
        <v>2873</v>
      </c>
      <c r="I1574" s="95" t="s">
        <v>3103</v>
      </c>
    </row>
    <row r="1575" spans="1:9" ht="14.1" customHeight="1" x14ac:dyDescent="0.2">
      <c r="A1575" s="95" t="s">
        <v>2894</v>
      </c>
      <c r="B1575" s="95" t="s">
        <v>285</v>
      </c>
      <c r="C1575" s="95" t="s">
        <v>542</v>
      </c>
      <c r="D1575" s="95">
        <v>2012</v>
      </c>
      <c r="E1575" s="95">
        <v>1.5049267399267399</v>
      </c>
      <c r="F1575" s="95" t="s">
        <v>2873</v>
      </c>
      <c r="G1575" s="95" t="s">
        <v>286</v>
      </c>
      <c r="H1575" s="95" t="s">
        <v>2873</v>
      </c>
      <c r="I1575" s="95" t="s">
        <v>3103</v>
      </c>
    </row>
    <row r="1576" spans="1:9" ht="14.1" customHeight="1" x14ac:dyDescent="0.2">
      <c r="A1576" s="95" t="s">
        <v>2895</v>
      </c>
      <c r="B1576" s="95" t="s">
        <v>285</v>
      </c>
      <c r="C1576" s="95" t="s">
        <v>544</v>
      </c>
      <c r="D1576" s="95">
        <v>2012</v>
      </c>
      <c r="E1576" s="95">
        <v>2.1972686230248311</v>
      </c>
      <c r="F1576" s="95" t="s">
        <v>2873</v>
      </c>
      <c r="G1576" s="95" t="s">
        <v>286</v>
      </c>
      <c r="H1576" s="95" t="s">
        <v>2873</v>
      </c>
      <c r="I1576" s="95" t="s">
        <v>3103</v>
      </c>
    </row>
    <row r="1577" spans="1:9" ht="14.1" customHeight="1" x14ac:dyDescent="0.2">
      <c r="A1577" s="95" t="s">
        <v>2896</v>
      </c>
      <c r="B1577" s="95" t="s">
        <v>285</v>
      </c>
      <c r="C1577" s="95" t="s">
        <v>546</v>
      </c>
      <c r="D1577" s="95">
        <v>2012</v>
      </c>
      <c r="E1577" s="95">
        <v>1.3311564625850343</v>
      </c>
      <c r="F1577" s="95" t="s">
        <v>2868</v>
      </c>
      <c r="G1577" s="95" t="s">
        <v>286</v>
      </c>
      <c r="H1577" s="95" t="s">
        <v>2868</v>
      </c>
      <c r="I1577" s="95" t="s">
        <v>3103</v>
      </c>
    </row>
    <row r="1578" spans="1:9" ht="14.1" customHeight="1" x14ac:dyDescent="0.2">
      <c r="A1578" s="95" t="s">
        <v>2897</v>
      </c>
      <c r="B1578" s="95" t="s">
        <v>285</v>
      </c>
      <c r="C1578" s="95" t="s">
        <v>548</v>
      </c>
      <c r="D1578" s="95">
        <v>2012</v>
      </c>
      <c r="E1578" s="95">
        <v>0.30117694887691837</v>
      </c>
      <c r="F1578" s="95" t="s">
        <v>2873</v>
      </c>
      <c r="G1578" s="95" t="s">
        <v>286</v>
      </c>
      <c r="H1578" s="95" t="s">
        <v>2873</v>
      </c>
      <c r="I1578" s="95" t="s">
        <v>3103</v>
      </c>
    </row>
    <row r="1579" spans="1:9" ht="14.1" customHeight="1" x14ac:dyDescent="0.2">
      <c r="A1579" s="95" t="s">
        <v>2898</v>
      </c>
      <c r="B1579" s="95" t="s">
        <v>285</v>
      </c>
      <c r="C1579" s="95" t="s">
        <v>518</v>
      </c>
      <c r="D1579" s="95">
        <v>2012</v>
      </c>
      <c r="E1579" s="95">
        <v>0.93716973614594901</v>
      </c>
      <c r="F1579" s="95" t="s">
        <v>2868</v>
      </c>
      <c r="G1579" s="95" t="s">
        <v>286</v>
      </c>
      <c r="H1579" s="95" t="s">
        <v>2868</v>
      </c>
      <c r="I1579" s="95" t="s">
        <v>3103</v>
      </c>
    </row>
    <row r="1580" spans="1:9" ht="14.1" customHeight="1" x14ac:dyDescent="0.2">
      <c r="A1580" s="95" t="s">
        <v>2899</v>
      </c>
      <c r="B1580" s="95" t="s">
        <v>285</v>
      </c>
      <c r="C1580" s="95" t="s">
        <v>526</v>
      </c>
      <c r="D1580" s="95">
        <v>2012</v>
      </c>
      <c r="E1580" s="95">
        <v>4.723005681818182</v>
      </c>
      <c r="F1580" s="95" t="s">
        <v>2870</v>
      </c>
      <c r="G1580" s="95" t="s">
        <v>286</v>
      </c>
      <c r="H1580" s="95" t="s">
        <v>2870</v>
      </c>
      <c r="I1580" s="95" t="s">
        <v>3103</v>
      </c>
    </row>
    <row r="1581" spans="1:9" ht="14.1" customHeight="1" x14ac:dyDescent="0.2">
      <c r="A1581" s="95" t="s">
        <v>2900</v>
      </c>
      <c r="B1581" s="95" t="s">
        <v>285</v>
      </c>
      <c r="C1581" s="95" t="s">
        <v>520</v>
      </c>
      <c r="D1581" s="95">
        <v>2012</v>
      </c>
      <c r="E1581" s="95">
        <v>2.3365231550457346</v>
      </c>
      <c r="F1581" s="95" t="s">
        <v>2868</v>
      </c>
      <c r="G1581" s="95" t="s">
        <v>286</v>
      </c>
      <c r="H1581" s="95" t="s">
        <v>2868</v>
      </c>
      <c r="I1581" s="95" t="s">
        <v>3103</v>
      </c>
    </row>
    <row r="1582" spans="1:9" ht="14.1" customHeight="1" x14ac:dyDescent="0.2">
      <c r="A1582" s="95" t="s">
        <v>2901</v>
      </c>
      <c r="B1582" s="95" t="s">
        <v>285</v>
      </c>
      <c r="C1582" s="95" t="s">
        <v>483</v>
      </c>
      <c r="D1582" s="95">
        <v>2012</v>
      </c>
      <c r="E1582" s="95">
        <v>2.8161234991266246</v>
      </c>
      <c r="F1582" s="95" t="s">
        <v>2873</v>
      </c>
      <c r="G1582" s="95" t="s">
        <v>286</v>
      </c>
      <c r="H1582" s="95" t="s">
        <v>2873</v>
      </c>
      <c r="I1582" s="95" t="s">
        <v>3103</v>
      </c>
    </row>
    <row r="1583" spans="1:9" ht="14.1" customHeight="1" x14ac:dyDescent="0.2">
      <c r="A1583" s="95" t="s">
        <v>2902</v>
      </c>
      <c r="B1583" s="95" t="s">
        <v>285</v>
      </c>
      <c r="C1583" s="95" t="s">
        <v>522</v>
      </c>
      <c r="D1583" s="95">
        <v>2012</v>
      </c>
      <c r="E1583" s="95">
        <v>0.67551645064805588</v>
      </c>
      <c r="F1583" s="95" t="s">
        <v>2868</v>
      </c>
      <c r="G1583" s="95" t="s">
        <v>286</v>
      </c>
      <c r="H1583" s="95" t="s">
        <v>2868</v>
      </c>
      <c r="I1583" s="95" t="s">
        <v>3103</v>
      </c>
    </row>
    <row r="1584" spans="1:9" ht="14.1" customHeight="1" x14ac:dyDescent="0.2">
      <c r="A1584" s="95" t="s">
        <v>2903</v>
      </c>
      <c r="B1584" s="95" t="s">
        <v>285</v>
      </c>
      <c r="C1584" s="95" t="s">
        <v>524</v>
      </c>
      <c r="D1584" s="95">
        <v>2012</v>
      </c>
      <c r="E1584" s="95">
        <v>1.2173301509342758</v>
      </c>
      <c r="F1584" s="95" t="s">
        <v>2868</v>
      </c>
      <c r="G1584" s="95" t="s">
        <v>286</v>
      </c>
      <c r="H1584" s="95" t="s">
        <v>2868</v>
      </c>
      <c r="I1584" s="95" t="s">
        <v>3103</v>
      </c>
    </row>
    <row r="1585" spans="1:9" ht="14.1" customHeight="1" x14ac:dyDescent="0.2">
      <c r="A1585" s="95" t="s">
        <v>2904</v>
      </c>
      <c r="B1585" s="95" t="s">
        <v>285</v>
      </c>
      <c r="C1585" s="95" t="s">
        <v>528</v>
      </c>
      <c r="D1585" s="95">
        <v>2012</v>
      </c>
      <c r="E1585" s="95">
        <v>1.3647060851577315</v>
      </c>
      <c r="F1585" s="95" t="s">
        <v>2873</v>
      </c>
      <c r="G1585" s="95" t="s">
        <v>286</v>
      </c>
      <c r="H1585" s="95" t="s">
        <v>2873</v>
      </c>
      <c r="I1585" s="95" t="s">
        <v>3103</v>
      </c>
    </row>
    <row r="1586" spans="1:9" ht="14.1" customHeight="1" x14ac:dyDescent="0.2">
      <c r="A1586" s="95" t="s">
        <v>2905</v>
      </c>
      <c r="B1586" s="95" t="s">
        <v>285</v>
      </c>
      <c r="C1586" s="95" t="s">
        <v>488</v>
      </c>
      <c r="D1586" s="95">
        <v>2012</v>
      </c>
      <c r="E1586" s="95">
        <v>0.57052470063092842</v>
      </c>
      <c r="F1586" s="95" t="s">
        <v>2873</v>
      </c>
      <c r="G1586" s="95" t="s">
        <v>286</v>
      </c>
      <c r="H1586" s="95" t="s">
        <v>2873</v>
      </c>
      <c r="I1586" s="95" t="s">
        <v>3103</v>
      </c>
    </row>
    <row r="1587" spans="1:9" ht="14.1" customHeight="1" x14ac:dyDescent="0.2">
      <c r="A1587" s="95" t="s">
        <v>2906</v>
      </c>
      <c r="B1587" s="95" t="s">
        <v>285</v>
      </c>
      <c r="C1587" s="95" t="s">
        <v>487</v>
      </c>
      <c r="D1587" s="95">
        <v>2012</v>
      </c>
      <c r="E1587" s="95">
        <v>1.1676787954830616</v>
      </c>
      <c r="F1587" s="95" t="s">
        <v>2879</v>
      </c>
      <c r="G1587" s="95" t="s">
        <v>286</v>
      </c>
      <c r="H1587" s="95" t="s">
        <v>2879</v>
      </c>
      <c r="I1587" s="95" t="s">
        <v>3103</v>
      </c>
    </row>
    <row r="1588" spans="1:9" ht="14.1" customHeight="1" x14ac:dyDescent="0.2">
      <c r="A1588" s="95" t="s">
        <v>2907</v>
      </c>
      <c r="B1588" s="95" t="s">
        <v>285</v>
      </c>
      <c r="C1588" s="95" t="s">
        <v>530</v>
      </c>
      <c r="D1588" s="95">
        <v>2012</v>
      </c>
      <c r="E1588" s="95">
        <v>1.3585367581127825</v>
      </c>
      <c r="F1588" s="95" t="s">
        <v>2868</v>
      </c>
      <c r="G1588" s="95" t="s">
        <v>286</v>
      </c>
      <c r="H1588" s="95" t="s">
        <v>2868</v>
      </c>
      <c r="I1588" s="95" t="s">
        <v>3103</v>
      </c>
    </row>
    <row r="1589" spans="1:9" ht="14.1" customHeight="1" x14ac:dyDescent="0.2">
      <c r="A1589" s="95" t="s">
        <v>2908</v>
      </c>
      <c r="B1589" s="95" t="s">
        <v>285</v>
      </c>
      <c r="C1589" s="95" t="s">
        <v>486</v>
      </c>
      <c r="D1589" s="95">
        <v>2012</v>
      </c>
      <c r="E1589" s="95">
        <v>0.54990493277446206</v>
      </c>
      <c r="F1589" s="95" t="s">
        <v>2882</v>
      </c>
      <c r="G1589" s="95" t="s">
        <v>286</v>
      </c>
      <c r="H1589" s="95" t="s">
        <v>2882</v>
      </c>
      <c r="I1589" s="95" t="s">
        <v>3103</v>
      </c>
    </row>
    <row r="1590" spans="1:9" ht="14.1" customHeight="1" x14ac:dyDescent="0.2">
      <c r="A1590" s="95" t="s">
        <v>2909</v>
      </c>
      <c r="B1590" s="95" t="s">
        <v>285</v>
      </c>
      <c r="C1590" s="95" t="s">
        <v>482</v>
      </c>
      <c r="D1590" s="95">
        <v>2012</v>
      </c>
      <c r="E1590" s="95">
        <v>0.44566170142336975</v>
      </c>
      <c r="F1590" s="95" t="s">
        <v>2873</v>
      </c>
      <c r="G1590" s="95" t="s">
        <v>286</v>
      </c>
      <c r="H1590" s="95" t="s">
        <v>2873</v>
      </c>
      <c r="I1590" s="95" t="s">
        <v>3103</v>
      </c>
    </row>
    <row r="1591" spans="1:9" ht="14.1" customHeight="1" x14ac:dyDescent="0.2">
      <c r="A1591" s="95" t="s">
        <v>2910</v>
      </c>
      <c r="B1591" s="95" t="s">
        <v>285</v>
      </c>
      <c r="C1591" s="95" t="s">
        <v>532</v>
      </c>
      <c r="D1591" s="95">
        <v>2012</v>
      </c>
      <c r="E1591" s="95">
        <v>1.012411775809247</v>
      </c>
      <c r="F1591" s="95" t="s">
        <v>2817</v>
      </c>
      <c r="G1591" s="95" t="s">
        <v>286</v>
      </c>
      <c r="H1591" s="95" t="s">
        <v>2817</v>
      </c>
      <c r="I1591" s="95" t="s">
        <v>3103</v>
      </c>
    </row>
    <row r="1592" spans="1:9" ht="14.1" customHeight="1" x14ac:dyDescent="0.2">
      <c r="A1592" s="95" t="s">
        <v>2911</v>
      </c>
      <c r="B1592" s="95" t="s">
        <v>285</v>
      </c>
      <c r="C1592" s="95" t="s">
        <v>534</v>
      </c>
      <c r="D1592" s="95">
        <v>2012</v>
      </c>
      <c r="E1592" s="95">
        <v>0.1024806406115194</v>
      </c>
      <c r="F1592" s="95" t="s">
        <v>2868</v>
      </c>
      <c r="G1592" s="95" t="s">
        <v>286</v>
      </c>
      <c r="H1592" s="95" t="s">
        <v>2868</v>
      </c>
      <c r="I1592" s="95" t="s">
        <v>3103</v>
      </c>
    </row>
    <row r="1593" spans="1:9" ht="14.1" customHeight="1" x14ac:dyDescent="0.2">
      <c r="A1593" s="95" t="s">
        <v>2912</v>
      </c>
      <c r="B1593" s="95" t="s">
        <v>285</v>
      </c>
      <c r="C1593" s="95" t="s">
        <v>490</v>
      </c>
      <c r="D1593" s="95">
        <v>2012</v>
      </c>
      <c r="E1593" s="95">
        <v>0.43892939885379828</v>
      </c>
      <c r="F1593" s="95" t="s">
        <v>2873</v>
      </c>
      <c r="G1593" s="95" t="s">
        <v>286</v>
      </c>
      <c r="H1593" s="95" t="s">
        <v>2873</v>
      </c>
      <c r="I1593" s="95" t="s">
        <v>3103</v>
      </c>
    </row>
    <row r="1594" spans="1:9" ht="14.1" customHeight="1" x14ac:dyDescent="0.2">
      <c r="A1594" s="95" t="s">
        <v>2913</v>
      </c>
      <c r="B1594" s="95" t="s">
        <v>285</v>
      </c>
      <c r="C1594" s="95" t="s">
        <v>536</v>
      </c>
      <c r="D1594" s="95">
        <v>2012</v>
      </c>
      <c r="E1594" s="95">
        <v>1.3398790916829062</v>
      </c>
      <c r="F1594" s="95" t="s">
        <v>2868</v>
      </c>
      <c r="G1594" s="95" t="s">
        <v>286</v>
      </c>
      <c r="H1594" s="95" t="s">
        <v>2868</v>
      </c>
      <c r="I1594" s="95" t="s">
        <v>3103</v>
      </c>
    </row>
    <row r="1595" spans="1:9" ht="14.1" customHeight="1" x14ac:dyDescent="0.2">
      <c r="A1595" s="95" t="s">
        <v>2914</v>
      </c>
      <c r="B1595" s="95" t="s">
        <v>285</v>
      </c>
      <c r="C1595" s="95" t="s">
        <v>481</v>
      </c>
      <c r="D1595" s="95">
        <v>2012</v>
      </c>
      <c r="E1595" s="95">
        <v>2.2672664356849364</v>
      </c>
      <c r="F1595" s="95" t="s">
        <v>2868</v>
      </c>
      <c r="G1595" s="95" t="s">
        <v>286</v>
      </c>
      <c r="H1595" s="95" t="s">
        <v>2868</v>
      </c>
      <c r="I1595" s="95" t="s">
        <v>3103</v>
      </c>
    </row>
    <row r="1596" spans="1:9" ht="14.1" customHeight="1" x14ac:dyDescent="0.2">
      <c r="A1596" s="95" t="s">
        <v>2915</v>
      </c>
      <c r="B1596" s="95" t="s">
        <v>285</v>
      </c>
      <c r="C1596" s="95" t="s">
        <v>484</v>
      </c>
      <c r="D1596" s="95">
        <v>2012</v>
      </c>
      <c r="E1596" s="95">
        <v>0.27001003176726301</v>
      </c>
      <c r="F1596" s="95" t="s">
        <v>2873</v>
      </c>
      <c r="G1596" s="95" t="s">
        <v>286</v>
      </c>
      <c r="H1596" s="95" t="s">
        <v>2873</v>
      </c>
      <c r="I1596" s="95" t="s">
        <v>3103</v>
      </c>
    </row>
    <row r="1597" spans="1:9" ht="14.1" customHeight="1" x14ac:dyDescent="0.2">
      <c r="A1597" s="95" t="s">
        <v>2916</v>
      </c>
      <c r="B1597" s="95" t="s">
        <v>285</v>
      </c>
      <c r="C1597" s="95" t="s">
        <v>485</v>
      </c>
      <c r="D1597" s="95">
        <v>2012</v>
      </c>
      <c r="E1597" s="95">
        <v>1.247658002735978</v>
      </c>
      <c r="F1597" s="95" t="s">
        <v>2873</v>
      </c>
      <c r="G1597" s="95" t="s">
        <v>286</v>
      </c>
      <c r="H1597" s="95" t="s">
        <v>2873</v>
      </c>
      <c r="I1597" s="95" t="s">
        <v>3103</v>
      </c>
    </row>
    <row r="1598" spans="1:9" ht="14.1" customHeight="1" x14ac:dyDescent="0.2">
      <c r="A1598" s="95" t="s">
        <v>2917</v>
      </c>
      <c r="B1598" s="95" t="s">
        <v>285</v>
      </c>
      <c r="C1598" s="95" t="s">
        <v>540</v>
      </c>
      <c r="D1598" s="95">
        <v>2012</v>
      </c>
      <c r="E1598" s="95">
        <v>0.52536563727919894</v>
      </c>
      <c r="F1598" s="95" t="s">
        <v>2868</v>
      </c>
      <c r="G1598" s="95" t="s">
        <v>286</v>
      </c>
      <c r="H1598" s="95" t="s">
        <v>2868</v>
      </c>
      <c r="I1598" s="95" t="s">
        <v>3103</v>
      </c>
    </row>
    <row r="1599" spans="1:9" ht="14.1" customHeight="1" x14ac:dyDescent="0.2">
      <c r="A1599" s="95" t="s">
        <v>2918</v>
      </c>
      <c r="B1599" s="95" t="s">
        <v>285</v>
      </c>
      <c r="C1599" s="95" t="s">
        <v>538</v>
      </c>
      <c r="D1599" s="95">
        <v>2012</v>
      </c>
      <c r="E1599" s="95">
        <v>0.2552956618756973</v>
      </c>
      <c r="F1599" s="95" t="s">
        <v>2873</v>
      </c>
      <c r="G1599" s="95" t="s">
        <v>286</v>
      </c>
      <c r="H1599" s="95" t="s">
        <v>2873</v>
      </c>
      <c r="I1599" s="95" t="s">
        <v>3103</v>
      </c>
    </row>
    <row r="1600" spans="1:9" ht="14.1" customHeight="1" x14ac:dyDescent="0.2">
      <c r="A1600" s="95" t="s">
        <v>2919</v>
      </c>
      <c r="B1600" s="95" t="s">
        <v>285</v>
      </c>
      <c r="C1600" s="95" t="s">
        <v>489</v>
      </c>
      <c r="D1600" s="95">
        <v>2012</v>
      </c>
      <c r="E1600" s="95">
        <v>0.5087506105304288</v>
      </c>
      <c r="F1600" s="95" t="s">
        <v>2873</v>
      </c>
      <c r="G1600" s="95" t="s">
        <v>286</v>
      </c>
      <c r="H1600" s="95" t="s">
        <v>2873</v>
      </c>
      <c r="I1600" s="95" t="s">
        <v>3103</v>
      </c>
    </row>
    <row r="1601" spans="1:9" ht="14.1" customHeight="1" x14ac:dyDescent="0.2">
      <c r="A1601" s="95" t="s">
        <v>2920</v>
      </c>
      <c r="B1601" s="95" t="s">
        <v>285</v>
      </c>
      <c r="C1601" s="95" t="s">
        <v>542</v>
      </c>
      <c r="D1601" s="95">
        <v>2012</v>
      </c>
      <c r="E1601" s="95">
        <v>1.8691391941391942</v>
      </c>
      <c r="F1601" s="95" t="s">
        <v>2873</v>
      </c>
      <c r="G1601" s="95" t="s">
        <v>286</v>
      </c>
      <c r="H1601" s="95" t="s">
        <v>2873</v>
      </c>
      <c r="I1601" s="95" t="s">
        <v>3103</v>
      </c>
    </row>
    <row r="1602" spans="1:9" ht="14.1" customHeight="1" x14ac:dyDescent="0.2">
      <c r="A1602" s="95" t="s">
        <v>2921</v>
      </c>
      <c r="B1602" s="95" t="s">
        <v>285</v>
      </c>
      <c r="C1602" s="95" t="s">
        <v>544</v>
      </c>
      <c r="D1602" s="95">
        <v>2012</v>
      </c>
      <c r="E1602" s="95">
        <v>2.9272234762979688</v>
      </c>
      <c r="F1602" s="95" t="s">
        <v>2873</v>
      </c>
      <c r="G1602" s="95" t="s">
        <v>286</v>
      </c>
      <c r="H1602" s="95" t="s">
        <v>2873</v>
      </c>
      <c r="I1602" s="95" t="s">
        <v>3103</v>
      </c>
    </row>
    <row r="1603" spans="1:9" ht="14.1" customHeight="1" x14ac:dyDescent="0.2">
      <c r="A1603" s="95" t="s">
        <v>2922</v>
      </c>
      <c r="B1603" s="95" t="s">
        <v>285</v>
      </c>
      <c r="C1603" s="95" t="s">
        <v>546</v>
      </c>
      <c r="D1603" s="95">
        <v>2012</v>
      </c>
      <c r="E1603" s="95">
        <v>1.0496598639455783</v>
      </c>
      <c r="F1603" s="95" t="s">
        <v>2868</v>
      </c>
      <c r="G1603" s="95" t="s">
        <v>286</v>
      </c>
      <c r="H1603" s="95" t="s">
        <v>2868</v>
      </c>
      <c r="I1603" s="95" t="s">
        <v>3103</v>
      </c>
    </row>
    <row r="1604" spans="1:9" ht="14.1" customHeight="1" x14ac:dyDescent="0.2">
      <c r="A1604" s="95" t="s">
        <v>2923</v>
      </c>
      <c r="B1604" s="95" t="s">
        <v>285</v>
      </c>
      <c r="C1604" s="95" t="s">
        <v>548</v>
      </c>
      <c r="D1604" s="95">
        <v>2012</v>
      </c>
      <c r="E1604" s="95">
        <v>2.4555628959582614</v>
      </c>
      <c r="F1604" s="95" t="s">
        <v>2873</v>
      </c>
      <c r="G1604" s="95" t="s">
        <v>286</v>
      </c>
      <c r="H1604" s="95" t="s">
        <v>2873</v>
      </c>
      <c r="I1604" s="95" t="s">
        <v>3103</v>
      </c>
    </row>
    <row r="1605" spans="1:9" ht="14.1" customHeight="1" x14ac:dyDescent="0.2">
      <c r="A1605" s="95" t="s">
        <v>2924</v>
      </c>
      <c r="B1605" s="95" t="s">
        <v>285</v>
      </c>
      <c r="C1605" s="95" t="s">
        <v>518</v>
      </c>
      <c r="D1605" s="95">
        <v>2012</v>
      </c>
      <c r="E1605" s="95">
        <v>0.22611586822039997</v>
      </c>
      <c r="F1605" s="95" t="s">
        <v>3108</v>
      </c>
      <c r="G1605" s="95" t="s">
        <v>286</v>
      </c>
      <c r="H1605" s="95" t="s">
        <v>3108</v>
      </c>
      <c r="I1605" s="95" t="s">
        <v>3103</v>
      </c>
    </row>
    <row r="1606" spans="1:9" ht="14.1" customHeight="1" x14ac:dyDescent="0.2">
      <c r="A1606" s="95" t="s">
        <v>2925</v>
      </c>
      <c r="B1606" s="95" t="s">
        <v>285</v>
      </c>
      <c r="C1606" s="95" t="s">
        <v>526</v>
      </c>
      <c r="D1606" s="95">
        <v>2012</v>
      </c>
      <c r="E1606" s="95">
        <v>0.19574927953890489</v>
      </c>
      <c r="F1606" s="95" t="s">
        <v>2797</v>
      </c>
      <c r="G1606" s="95" t="s">
        <v>286</v>
      </c>
      <c r="H1606" s="95" t="s">
        <v>2797</v>
      </c>
      <c r="I1606" s="95" t="s">
        <v>3103</v>
      </c>
    </row>
    <row r="1607" spans="1:9" ht="14.1" customHeight="1" x14ac:dyDescent="0.2">
      <c r="A1607" s="95" t="s">
        <v>2926</v>
      </c>
      <c r="B1607" s="95" t="s">
        <v>285</v>
      </c>
      <c r="C1607" s="95" t="s">
        <v>520</v>
      </c>
      <c r="D1607" s="95">
        <v>2012</v>
      </c>
      <c r="E1607" s="95">
        <v>3.6511627906976742</v>
      </c>
      <c r="F1607" s="95" t="s">
        <v>2799</v>
      </c>
      <c r="G1607" s="95" t="s">
        <v>286</v>
      </c>
      <c r="H1607" s="95" t="s">
        <v>2799</v>
      </c>
      <c r="I1607" s="95" t="s">
        <v>3103</v>
      </c>
    </row>
    <row r="1608" spans="1:9" ht="14.1" customHeight="1" x14ac:dyDescent="0.2">
      <c r="A1608" s="95" t="s">
        <v>2927</v>
      </c>
      <c r="B1608" s="95" t="s">
        <v>285</v>
      </c>
      <c r="C1608" s="95" t="s">
        <v>483</v>
      </c>
      <c r="D1608" s="95">
        <v>2012</v>
      </c>
      <c r="E1608" s="95">
        <v>0.14283848498040924</v>
      </c>
      <c r="F1608" s="95" t="s">
        <v>2928</v>
      </c>
      <c r="G1608" s="95" t="s">
        <v>286</v>
      </c>
      <c r="H1608" s="95" t="s">
        <v>2928</v>
      </c>
      <c r="I1608" s="95" t="s">
        <v>3103</v>
      </c>
    </row>
    <row r="1609" spans="1:9" ht="14.1" customHeight="1" x14ac:dyDescent="0.2">
      <c r="A1609" s="95" t="s">
        <v>2929</v>
      </c>
      <c r="B1609" s="95" t="s">
        <v>285</v>
      </c>
      <c r="C1609" s="95" t="s">
        <v>522</v>
      </c>
      <c r="D1609" s="95">
        <v>2012</v>
      </c>
      <c r="E1609" s="95">
        <v>7.3751503075330807E-2</v>
      </c>
      <c r="F1609" s="95" t="s">
        <v>2930</v>
      </c>
      <c r="G1609" s="95" t="s">
        <v>286</v>
      </c>
      <c r="H1609" s="95" t="s">
        <v>2930</v>
      </c>
      <c r="I1609" s="95" t="s">
        <v>3103</v>
      </c>
    </row>
    <row r="1610" spans="1:9" ht="14.1" customHeight="1" x14ac:dyDescent="0.2">
      <c r="A1610" s="95" t="s">
        <v>2931</v>
      </c>
      <c r="B1610" s="95" t="s">
        <v>285</v>
      </c>
      <c r="C1610" s="95" t="s">
        <v>524</v>
      </c>
      <c r="D1610" s="95">
        <v>2012</v>
      </c>
      <c r="E1610" s="95">
        <v>0.19861278138975536</v>
      </c>
      <c r="F1610" s="95" t="s">
        <v>2932</v>
      </c>
      <c r="G1610" s="95" t="s">
        <v>286</v>
      </c>
      <c r="H1610" s="95" t="s">
        <v>2932</v>
      </c>
      <c r="I1610" s="95" t="s">
        <v>3103</v>
      </c>
    </row>
    <row r="1611" spans="1:9" ht="14.1" customHeight="1" x14ac:dyDescent="0.2">
      <c r="A1611" s="95" t="s">
        <v>2933</v>
      </c>
      <c r="B1611" s="95" t="s">
        <v>285</v>
      </c>
      <c r="C1611" s="95" t="s">
        <v>528</v>
      </c>
      <c r="D1611" s="95">
        <v>2012</v>
      </c>
      <c r="E1611" s="95">
        <v>0.1024243145657263</v>
      </c>
      <c r="F1611" s="95" t="s">
        <v>2934</v>
      </c>
      <c r="G1611" s="95" t="s">
        <v>286</v>
      </c>
      <c r="H1611" s="95" t="s">
        <v>2934</v>
      </c>
      <c r="I1611" s="95" t="s">
        <v>3103</v>
      </c>
    </row>
    <row r="1612" spans="1:9" ht="14.1" customHeight="1" x14ac:dyDescent="0.2">
      <c r="A1612" s="95" t="s">
        <v>2935</v>
      </c>
      <c r="B1612" s="95" t="s">
        <v>285</v>
      </c>
      <c r="C1612" s="95" t="s">
        <v>488</v>
      </c>
      <c r="D1612" s="95">
        <v>2012</v>
      </c>
      <c r="E1612" s="95">
        <v>0.18826045677329847</v>
      </c>
      <c r="F1612" s="95" t="s">
        <v>2936</v>
      </c>
      <c r="G1612" s="95" t="s">
        <v>286</v>
      </c>
      <c r="H1612" s="95" t="s">
        <v>2936</v>
      </c>
      <c r="I1612" s="95" t="s">
        <v>3103</v>
      </c>
    </row>
    <row r="1613" spans="1:9" ht="14.1" customHeight="1" x14ac:dyDescent="0.2">
      <c r="A1613" s="95" t="s">
        <v>2937</v>
      </c>
      <c r="B1613" s="95" t="s">
        <v>285</v>
      </c>
      <c r="C1613" s="95" t="s">
        <v>487</v>
      </c>
      <c r="D1613" s="95">
        <v>2012</v>
      </c>
      <c r="E1613" s="95">
        <v>0.87964371819960863</v>
      </c>
      <c r="F1613" s="95" t="s">
        <v>2938</v>
      </c>
      <c r="G1613" s="95" t="s">
        <v>286</v>
      </c>
      <c r="H1613" s="95" t="s">
        <v>2938</v>
      </c>
      <c r="I1613" s="95" t="s">
        <v>3103</v>
      </c>
    </row>
    <row r="1614" spans="1:9" ht="14.1" customHeight="1" x14ac:dyDescent="0.2">
      <c r="A1614" s="95" t="s">
        <v>2939</v>
      </c>
      <c r="B1614" s="95" t="s">
        <v>285</v>
      </c>
      <c r="C1614" s="95" t="s">
        <v>530</v>
      </c>
      <c r="D1614" s="95">
        <v>2012</v>
      </c>
      <c r="E1614" s="95">
        <v>0.17069859968014978</v>
      </c>
      <c r="F1614" s="95" t="s">
        <v>2940</v>
      </c>
      <c r="G1614" s="95" t="s">
        <v>286</v>
      </c>
      <c r="H1614" s="95" t="s">
        <v>2940</v>
      </c>
      <c r="I1614" s="95" t="s">
        <v>3103</v>
      </c>
    </row>
    <row r="1615" spans="1:9" ht="14.1" customHeight="1" x14ac:dyDescent="0.2">
      <c r="A1615" s="95" t="s">
        <v>2941</v>
      </c>
      <c r="B1615" s="95" t="s">
        <v>285</v>
      </c>
      <c r="C1615" s="95" t="s">
        <v>486</v>
      </c>
      <c r="D1615" s="95">
        <v>2012</v>
      </c>
      <c r="E1615" s="95">
        <v>0.4418916349809886</v>
      </c>
      <c r="F1615" s="95" t="s">
        <v>2942</v>
      </c>
      <c r="G1615" s="95" t="s">
        <v>286</v>
      </c>
      <c r="H1615" s="95" t="s">
        <v>2942</v>
      </c>
      <c r="I1615" s="95" t="s">
        <v>3103</v>
      </c>
    </row>
    <row r="1616" spans="1:9" ht="14.1" customHeight="1" x14ac:dyDescent="0.2">
      <c r="A1616" s="95" t="s">
        <v>2943</v>
      </c>
      <c r="B1616" s="95" t="s">
        <v>285</v>
      </c>
      <c r="C1616" s="95" t="s">
        <v>482</v>
      </c>
      <c r="D1616" s="95">
        <v>2012</v>
      </c>
      <c r="E1616" s="95">
        <v>0.17292680686931766</v>
      </c>
      <c r="F1616" s="95" t="s">
        <v>2942</v>
      </c>
      <c r="G1616" s="95" t="s">
        <v>286</v>
      </c>
      <c r="H1616" s="95" t="s">
        <v>2942</v>
      </c>
      <c r="I1616" s="95" t="s">
        <v>3103</v>
      </c>
    </row>
    <row r="1617" spans="1:9" ht="14.1" customHeight="1" x14ac:dyDescent="0.2">
      <c r="A1617" s="95" t="s">
        <v>2944</v>
      </c>
      <c r="B1617" s="95" t="s">
        <v>285</v>
      </c>
      <c r="C1617" s="95" t="s">
        <v>532</v>
      </c>
      <c r="D1617" s="95">
        <v>2012</v>
      </c>
      <c r="E1617" s="95">
        <v>2.421733265106759E-2</v>
      </c>
      <c r="F1617" s="95" t="s">
        <v>2817</v>
      </c>
      <c r="G1617" s="95" t="s">
        <v>286</v>
      </c>
      <c r="H1617" s="95" t="s">
        <v>2817</v>
      </c>
      <c r="I1617" s="95" t="s">
        <v>3103</v>
      </c>
    </row>
    <row r="1618" spans="1:9" ht="14.1" customHeight="1" x14ac:dyDescent="0.2">
      <c r="A1618" s="95" t="s">
        <v>2945</v>
      </c>
      <c r="B1618" s="95" t="s">
        <v>285</v>
      </c>
      <c r="C1618" s="95" t="s">
        <v>534</v>
      </c>
      <c r="D1618" s="95">
        <v>2012</v>
      </c>
      <c r="E1618" s="95">
        <v>0.15372972972972973</v>
      </c>
      <c r="F1618" s="95" t="s">
        <v>2946</v>
      </c>
      <c r="G1618" s="95" t="s">
        <v>286</v>
      </c>
      <c r="H1618" s="95" t="s">
        <v>2946</v>
      </c>
      <c r="I1618" s="95" t="s">
        <v>3103</v>
      </c>
    </row>
    <row r="1619" spans="1:9" ht="14.1" customHeight="1" x14ac:dyDescent="0.2">
      <c r="A1619" s="95" t="s">
        <v>2947</v>
      </c>
      <c r="B1619" s="95" t="s">
        <v>285</v>
      </c>
      <c r="C1619" s="95" t="s">
        <v>490</v>
      </c>
      <c r="D1619" s="95">
        <v>2012</v>
      </c>
      <c r="E1619" s="95">
        <v>0.12708685216463686</v>
      </c>
      <c r="F1619" s="95" t="s">
        <v>2942</v>
      </c>
      <c r="G1619" s="95" t="s">
        <v>286</v>
      </c>
      <c r="H1619" s="95" t="s">
        <v>2942</v>
      </c>
      <c r="I1619" s="95" t="s">
        <v>3103</v>
      </c>
    </row>
    <row r="1620" spans="1:9" ht="14.1" customHeight="1" x14ac:dyDescent="0.2">
      <c r="A1620" s="95" t="s">
        <v>2948</v>
      </c>
      <c r="B1620" s="95" t="s">
        <v>285</v>
      </c>
      <c r="C1620" s="95" t="s">
        <v>536</v>
      </c>
      <c r="D1620" s="95">
        <v>2012</v>
      </c>
      <c r="E1620" s="95">
        <v>2.0078685168334847</v>
      </c>
      <c r="F1620" s="95" t="s">
        <v>2820</v>
      </c>
      <c r="G1620" s="95" t="s">
        <v>286</v>
      </c>
      <c r="H1620" s="95" t="s">
        <v>2820</v>
      </c>
      <c r="I1620" s="95" t="s">
        <v>3103</v>
      </c>
    </row>
    <row r="1621" spans="1:9" ht="14.1" customHeight="1" x14ac:dyDescent="0.2">
      <c r="A1621" s="95" t="s">
        <v>2949</v>
      </c>
      <c r="B1621" s="95" t="s">
        <v>285</v>
      </c>
      <c r="C1621" s="95" t="s">
        <v>481</v>
      </c>
      <c r="D1621" s="95">
        <v>2012</v>
      </c>
      <c r="E1621" s="95">
        <v>0.19052423665482238</v>
      </c>
      <c r="F1621" s="95" t="s">
        <v>2942</v>
      </c>
      <c r="G1621" s="95" t="s">
        <v>286</v>
      </c>
      <c r="H1621" s="95" t="s">
        <v>2942</v>
      </c>
      <c r="I1621" s="95" t="s">
        <v>3103</v>
      </c>
    </row>
    <row r="1622" spans="1:9" ht="14.1" customHeight="1" x14ac:dyDescent="0.2">
      <c r="A1622" s="95" t="s">
        <v>2950</v>
      </c>
      <c r="B1622" s="95" t="s">
        <v>285</v>
      </c>
      <c r="C1622" s="95" t="s">
        <v>484</v>
      </c>
      <c r="D1622" s="95">
        <v>2012</v>
      </c>
      <c r="E1622" s="95">
        <v>0.18330229347242463</v>
      </c>
      <c r="F1622" s="95" t="s">
        <v>2951</v>
      </c>
      <c r="G1622" s="95" t="s">
        <v>286</v>
      </c>
      <c r="H1622" s="95" t="s">
        <v>2951</v>
      </c>
      <c r="I1622" s="95" t="s">
        <v>3103</v>
      </c>
    </row>
    <row r="1623" spans="1:9" ht="14.1" customHeight="1" x14ac:dyDescent="0.2">
      <c r="A1623" s="95" t="s">
        <v>2952</v>
      </c>
      <c r="B1623" s="95" t="s">
        <v>285</v>
      </c>
      <c r="C1623" s="95" t="s">
        <v>485</v>
      </c>
      <c r="D1623" s="95">
        <v>2012</v>
      </c>
      <c r="E1623" s="95">
        <v>0.20625656324582339</v>
      </c>
      <c r="F1623" s="95" t="s">
        <v>2953</v>
      </c>
      <c r="G1623" s="95" t="s">
        <v>286</v>
      </c>
      <c r="H1623" s="95" t="s">
        <v>2953</v>
      </c>
      <c r="I1623" s="95" t="s">
        <v>3103</v>
      </c>
    </row>
    <row r="1624" spans="1:9" ht="14.1" customHeight="1" x14ac:dyDescent="0.2">
      <c r="A1624" s="95" t="s">
        <v>2954</v>
      </c>
      <c r="B1624" s="95" t="s">
        <v>285</v>
      </c>
      <c r="C1624" s="95" t="s">
        <v>540</v>
      </c>
      <c r="D1624" s="95">
        <v>2012</v>
      </c>
      <c r="E1624" s="95">
        <v>7.881745543945913E-2</v>
      </c>
      <c r="F1624" s="95" t="s">
        <v>2955</v>
      </c>
      <c r="G1624" s="95" t="s">
        <v>286</v>
      </c>
      <c r="H1624" s="95" t="s">
        <v>2955</v>
      </c>
      <c r="I1624" s="95" t="s">
        <v>3103</v>
      </c>
    </row>
    <row r="1625" spans="1:9" ht="14.1" customHeight="1" x14ac:dyDescent="0.2">
      <c r="A1625" s="95" t="s">
        <v>2956</v>
      </c>
      <c r="B1625" s="95" t="s">
        <v>285</v>
      </c>
      <c r="C1625" s="95" t="s">
        <v>538</v>
      </c>
      <c r="D1625" s="95">
        <v>2012</v>
      </c>
      <c r="E1625" s="95">
        <v>0.11644696627814694</v>
      </c>
      <c r="F1625" s="95" t="s">
        <v>2957</v>
      </c>
      <c r="G1625" s="95" t="s">
        <v>286</v>
      </c>
      <c r="H1625" s="95" t="s">
        <v>2957</v>
      </c>
      <c r="I1625" s="95" t="s">
        <v>3103</v>
      </c>
    </row>
    <row r="1626" spans="1:9" ht="14.1" customHeight="1" x14ac:dyDescent="0.2">
      <c r="A1626" s="95" t="s">
        <v>2958</v>
      </c>
      <c r="B1626" s="95" t="s">
        <v>285</v>
      </c>
      <c r="C1626" s="95" t="s">
        <v>489</v>
      </c>
      <c r="D1626" s="95">
        <v>2012</v>
      </c>
      <c r="E1626" s="95">
        <v>0.39695911238956239</v>
      </c>
      <c r="F1626" s="95" t="s">
        <v>2822</v>
      </c>
      <c r="G1626" s="95" t="s">
        <v>286</v>
      </c>
      <c r="H1626" s="95" t="s">
        <v>2822</v>
      </c>
      <c r="I1626" s="95" t="s">
        <v>3103</v>
      </c>
    </row>
    <row r="1627" spans="1:9" ht="14.1" customHeight="1" x14ac:dyDescent="0.2">
      <c r="A1627" s="95" t="s">
        <v>2959</v>
      </c>
      <c r="B1627" s="95" t="s">
        <v>285</v>
      </c>
      <c r="C1627" s="95" t="s">
        <v>542</v>
      </c>
      <c r="D1627" s="95">
        <v>2012</v>
      </c>
      <c r="E1627" s="95">
        <v>2.8293248687583934E-2</v>
      </c>
      <c r="F1627" s="95" t="s">
        <v>2960</v>
      </c>
      <c r="G1627" s="95" t="s">
        <v>286</v>
      </c>
      <c r="H1627" s="95" t="s">
        <v>2960</v>
      </c>
      <c r="I1627" s="95" t="s">
        <v>3103</v>
      </c>
    </row>
    <row r="1628" spans="1:9" ht="14.1" customHeight="1" x14ac:dyDescent="0.2">
      <c r="A1628" s="95" t="s">
        <v>2961</v>
      </c>
      <c r="B1628" s="95" t="s">
        <v>285</v>
      </c>
      <c r="C1628" s="95" t="s">
        <v>544</v>
      </c>
      <c r="D1628" s="95">
        <v>2012</v>
      </c>
      <c r="E1628" s="95">
        <v>1.8787524366471735</v>
      </c>
      <c r="F1628" s="95" t="s">
        <v>2940</v>
      </c>
      <c r="G1628" s="95" t="s">
        <v>286</v>
      </c>
      <c r="H1628" s="95" t="s">
        <v>2940</v>
      </c>
      <c r="I1628" s="95" t="s">
        <v>3103</v>
      </c>
    </row>
    <row r="1629" spans="1:9" ht="14.1" customHeight="1" x14ac:dyDescent="0.2">
      <c r="A1629" s="95" t="s">
        <v>2962</v>
      </c>
      <c r="B1629" s="95" t="s">
        <v>285</v>
      </c>
      <c r="C1629" s="95" t="s">
        <v>546</v>
      </c>
      <c r="D1629" s="95">
        <v>2012</v>
      </c>
      <c r="E1629" s="95">
        <v>4.9843264101691064E-2</v>
      </c>
      <c r="F1629" s="95" t="s">
        <v>2963</v>
      </c>
      <c r="G1629" s="95" t="s">
        <v>286</v>
      </c>
      <c r="H1629" s="95" t="s">
        <v>2963</v>
      </c>
      <c r="I1629" s="95" t="s">
        <v>3103</v>
      </c>
    </row>
    <row r="1630" spans="1:9" ht="14.1" customHeight="1" x14ac:dyDescent="0.2">
      <c r="A1630" s="95" t="s">
        <v>2964</v>
      </c>
      <c r="B1630" s="95" t="s">
        <v>285</v>
      </c>
      <c r="C1630" s="95" t="s">
        <v>548</v>
      </c>
      <c r="D1630" s="95">
        <v>2012</v>
      </c>
      <c r="E1630" s="95">
        <v>0.10542733402773971</v>
      </c>
      <c r="F1630" s="95" t="s">
        <v>2965</v>
      </c>
      <c r="G1630" s="95" t="s">
        <v>286</v>
      </c>
      <c r="H1630" s="95" t="s">
        <v>2965</v>
      </c>
      <c r="I1630" s="95" t="s">
        <v>3103</v>
      </c>
    </row>
    <row r="1631" spans="1:9" ht="14.1" customHeight="1" x14ac:dyDescent="0.2">
      <c r="A1631" s="95" t="s">
        <v>2966</v>
      </c>
      <c r="B1631" s="95" t="s">
        <v>285</v>
      </c>
      <c r="C1631" s="95" t="s">
        <v>518</v>
      </c>
      <c r="D1631" s="95">
        <v>2012</v>
      </c>
      <c r="E1631" s="95">
        <v>15.290425949563229</v>
      </c>
      <c r="F1631" s="95" t="s">
        <v>3108</v>
      </c>
      <c r="G1631" s="95" t="s">
        <v>286</v>
      </c>
      <c r="H1631" s="95" t="s">
        <v>3108</v>
      </c>
      <c r="I1631" s="95" t="s">
        <v>3103</v>
      </c>
    </row>
    <row r="1632" spans="1:9" ht="14.1" customHeight="1" x14ac:dyDescent="0.2">
      <c r="A1632" s="95" t="s">
        <v>2967</v>
      </c>
      <c r="B1632" s="95" t="s">
        <v>285</v>
      </c>
      <c r="C1632" s="95" t="s">
        <v>526</v>
      </c>
      <c r="D1632" s="95">
        <v>2012</v>
      </c>
      <c r="E1632" s="95">
        <v>7.7187500000000009</v>
      </c>
      <c r="F1632" s="95" t="s">
        <v>2797</v>
      </c>
      <c r="G1632" s="95" t="s">
        <v>286</v>
      </c>
      <c r="H1632" s="95" t="s">
        <v>2797</v>
      </c>
      <c r="I1632" s="95" t="s">
        <v>3103</v>
      </c>
    </row>
    <row r="1633" spans="1:9" ht="14.1" customHeight="1" x14ac:dyDescent="0.2">
      <c r="A1633" s="95" t="s">
        <v>2968</v>
      </c>
      <c r="B1633" s="95" t="s">
        <v>285</v>
      </c>
      <c r="C1633" s="95" t="s">
        <v>520</v>
      </c>
      <c r="D1633" s="95">
        <v>2012</v>
      </c>
      <c r="E1633" s="95">
        <v>5.7190941246325391</v>
      </c>
      <c r="F1633" s="95" t="s">
        <v>2799</v>
      </c>
      <c r="G1633" s="95" t="s">
        <v>286</v>
      </c>
      <c r="H1633" s="95" t="s">
        <v>2799</v>
      </c>
      <c r="I1633" s="95" t="s">
        <v>3103</v>
      </c>
    </row>
    <row r="1634" spans="1:9" ht="14.1" customHeight="1" x14ac:dyDescent="0.2">
      <c r="A1634" s="95" t="s">
        <v>2969</v>
      </c>
      <c r="B1634" s="95" t="s">
        <v>285</v>
      </c>
      <c r="C1634" s="95" t="s">
        <v>483</v>
      </c>
      <c r="D1634" s="95">
        <v>2012</v>
      </c>
      <c r="E1634" s="95">
        <v>9.5948049311357906</v>
      </c>
      <c r="F1634" s="95" t="s">
        <v>2851</v>
      </c>
      <c r="G1634" s="95" t="s">
        <v>286</v>
      </c>
      <c r="H1634" s="95" t="s">
        <v>2851</v>
      </c>
      <c r="I1634" s="95" t="s">
        <v>3103</v>
      </c>
    </row>
    <row r="1635" spans="1:9" ht="14.1" customHeight="1" x14ac:dyDescent="0.2">
      <c r="A1635" s="95" t="s">
        <v>2970</v>
      </c>
      <c r="B1635" s="95" t="s">
        <v>285</v>
      </c>
      <c r="C1635" s="95" t="s">
        <v>522</v>
      </c>
      <c r="D1635" s="95">
        <v>2012</v>
      </c>
      <c r="E1635" s="95">
        <v>8.0779661016949156</v>
      </c>
      <c r="F1635" s="95" t="s">
        <v>2930</v>
      </c>
      <c r="G1635" s="95" t="s">
        <v>286</v>
      </c>
      <c r="H1635" s="95" t="s">
        <v>2930</v>
      </c>
      <c r="I1635" s="95" t="s">
        <v>3103</v>
      </c>
    </row>
    <row r="1636" spans="1:9" ht="14.1" customHeight="1" x14ac:dyDescent="0.2">
      <c r="A1636" s="95" t="s">
        <v>2971</v>
      </c>
      <c r="B1636" s="95" t="s">
        <v>285</v>
      </c>
      <c r="C1636" s="95" t="s">
        <v>524</v>
      </c>
      <c r="D1636" s="95">
        <v>2012</v>
      </c>
      <c r="E1636" s="95">
        <v>8.5255780701412895</v>
      </c>
      <c r="F1636" s="95" t="s">
        <v>2932</v>
      </c>
      <c r="G1636" s="95" t="s">
        <v>286</v>
      </c>
      <c r="H1636" s="95" t="s">
        <v>2932</v>
      </c>
      <c r="I1636" s="95" t="s">
        <v>3103</v>
      </c>
    </row>
    <row r="1637" spans="1:9" ht="14.1" customHeight="1" x14ac:dyDescent="0.2">
      <c r="A1637" s="95" t="s">
        <v>2972</v>
      </c>
      <c r="B1637" s="95" t="s">
        <v>285</v>
      </c>
      <c r="C1637" s="95" t="s">
        <v>528</v>
      </c>
      <c r="D1637" s="95">
        <v>2012</v>
      </c>
      <c r="E1637" s="95">
        <v>4.4499224271677305</v>
      </c>
      <c r="F1637" s="95" t="s">
        <v>2973</v>
      </c>
      <c r="G1637" s="95" t="s">
        <v>286</v>
      </c>
      <c r="H1637" s="95" t="s">
        <v>2973</v>
      </c>
      <c r="I1637" s="95" t="s">
        <v>3103</v>
      </c>
    </row>
    <row r="1638" spans="1:9" ht="14.1" customHeight="1" x14ac:dyDescent="0.2">
      <c r="A1638" s="95" t="s">
        <v>2974</v>
      </c>
      <c r="B1638" s="95" t="s">
        <v>285</v>
      </c>
      <c r="C1638" s="95" t="s">
        <v>488</v>
      </c>
      <c r="D1638" s="95">
        <v>2012</v>
      </c>
      <c r="E1638" s="95">
        <v>4.612773080389716</v>
      </c>
      <c r="F1638" s="95" t="s">
        <v>2808</v>
      </c>
      <c r="G1638" s="95" t="s">
        <v>286</v>
      </c>
      <c r="H1638" s="95" t="s">
        <v>2808</v>
      </c>
      <c r="I1638" s="95" t="s">
        <v>3103</v>
      </c>
    </row>
    <row r="1639" spans="1:9" ht="14.1" customHeight="1" x14ac:dyDescent="0.2">
      <c r="A1639" s="95" t="s">
        <v>2975</v>
      </c>
      <c r="B1639" s="95" t="s">
        <v>285</v>
      </c>
      <c r="C1639" s="95" t="s">
        <v>487</v>
      </c>
      <c r="D1639" s="95">
        <v>2012</v>
      </c>
      <c r="E1639" s="95">
        <v>9.399789627770808</v>
      </c>
      <c r="F1639" s="95" t="s">
        <v>2976</v>
      </c>
      <c r="G1639" s="95" t="s">
        <v>286</v>
      </c>
      <c r="H1639" s="95" t="s">
        <v>2976</v>
      </c>
      <c r="I1639" s="95" t="s">
        <v>3103</v>
      </c>
    </row>
    <row r="1640" spans="1:9" ht="14.1" customHeight="1" x14ac:dyDescent="0.2">
      <c r="A1640" s="95" t="s">
        <v>2977</v>
      </c>
      <c r="B1640" s="95" t="s">
        <v>285</v>
      </c>
      <c r="C1640" s="95" t="s">
        <v>530</v>
      </c>
      <c r="D1640" s="95">
        <v>2012</v>
      </c>
      <c r="E1640" s="95">
        <v>2.9434928340726816</v>
      </c>
      <c r="F1640" s="95" t="s">
        <v>2940</v>
      </c>
      <c r="G1640" s="95" t="s">
        <v>286</v>
      </c>
      <c r="H1640" s="95" t="s">
        <v>2940</v>
      </c>
      <c r="I1640" s="95" t="s">
        <v>3103</v>
      </c>
    </row>
    <row r="1641" spans="1:9" ht="14.1" customHeight="1" x14ac:dyDescent="0.2">
      <c r="A1641" s="95" t="s">
        <v>2978</v>
      </c>
      <c r="B1641" s="95" t="s">
        <v>285</v>
      </c>
      <c r="C1641" s="95" t="s">
        <v>486</v>
      </c>
      <c r="D1641" s="95">
        <v>2012</v>
      </c>
      <c r="E1641" s="95">
        <v>1.487759674662384</v>
      </c>
      <c r="F1641" s="95" t="s">
        <v>2979</v>
      </c>
      <c r="G1641" s="95" t="s">
        <v>286</v>
      </c>
      <c r="H1641" s="95" t="s">
        <v>2979</v>
      </c>
      <c r="I1641" s="95" t="s">
        <v>3103</v>
      </c>
    </row>
    <row r="1642" spans="1:9" ht="14.1" customHeight="1" x14ac:dyDescent="0.2">
      <c r="A1642" s="95" t="s">
        <v>2980</v>
      </c>
      <c r="B1642" s="95" t="s">
        <v>285</v>
      </c>
      <c r="C1642" s="95" t="s">
        <v>482</v>
      </c>
      <c r="D1642" s="95">
        <v>2012</v>
      </c>
      <c r="E1642" s="95">
        <v>1.2466070837471037</v>
      </c>
      <c r="F1642" s="95" t="s">
        <v>2851</v>
      </c>
      <c r="G1642" s="95" t="s">
        <v>286</v>
      </c>
      <c r="H1642" s="95" t="s">
        <v>2851</v>
      </c>
      <c r="I1642" s="95" t="s">
        <v>3103</v>
      </c>
    </row>
    <row r="1643" spans="1:9" ht="14.1" customHeight="1" x14ac:dyDescent="0.2">
      <c r="A1643" s="95" t="s">
        <v>2981</v>
      </c>
      <c r="B1643" s="95" t="s">
        <v>285</v>
      </c>
      <c r="C1643" s="95" t="s">
        <v>532</v>
      </c>
      <c r="D1643" s="95">
        <v>2012</v>
      </c>
      <c r="E1643" s="95">
        <v>6.8718180222205509</v>
      </c>
      <c r="F1643" s="95" t="s">
        <v>2817</v>
      </c>
      <c r="G1643" s="95" t="s">
        <v>286</v>
      </c>
      <c r="H1643" s="95" t="s">
        <v>2817</v>
      </c>
      <c r="I1643" s="95" t="s">
        <v>3103</v>
      </c>
    </row>
    <row r="1644" spans="1:9" ht="14.1" customHeight="1" x14ac:dyDescent="0.2">
      <c r="A1644" s="95" t="s">
        <v>2982</v>
      </c>
      <c r="B1644" s="95" t="s">
        <v>285</v>
      </c>
      <c r="C1644" s="95" t="s">
        <v>534</v>
      </c>
      <c r="D1644" s="95">
        <v>2012</v>
      </c>
      <c r="E1644" s="95">
        <v>0.41601950084096206</v>
      </c>
      <c r="F1644" s="95" t="s">
        <v>2946</v>
      </c>
      <c r="G1644" s="95" t="s">
        <v>286</v>
      </c>
      <c r="H1644" s="95" t="s">
        <v>2946</v>
      </c>
      <c r="I1644" s="95" t="s">
        <v>3103</v>
      </c>
    </row>
    <row r="1645" spans="1:9" ht="14.1" customHeight="1" x14ac:dyDescent="0.2">
      <c r="A1645" s="95" t="s">
        <v>2983</v>
      </c>
      <c r="B1645" s="95" t="s">
        <v>285</v>
      </c>
      <c r="C1645" s="95" t="s">
        <v>490</v>
      </c>
      <c r="D1645" s="95">
        <v>2012</v>
      </c>
      <c r="E1645" s="95">
        <v>1.743202048530667</v>
      </c>
      <c r="F1645" s="95" t="s">
        <v>2851</v>
      </c>
      <c r="G1645" s="95" t="s">
        <v>286</v>
      </c>
      <c r="H1645" s="95" t="s">
        <v>2851</v>
      </c>
      <c r="I1645" s="95" t="s">
        <v>3103</v>
      </c>
    </row>
    <row r="1646" spans="1:9" ht="14.1" customHeight="1" x14ac:dyDescent="0.2">
      <c r="A1646" s="95" t="s">
        <v>2984</v>
      </c>
      <c r="B1646" s="95" t="s">
        <v>285</v>
      </c>
      <c r="C1646" s="95" t="s">
        <v>536</v>
      </c>
      <c r="D1646" s="95">
        <v>2012</v>
      </c>
      <c r="E1646" s="95">
        <v>8.1381782468294013</v>
      </c>
      <c r="F1646" s="95" t="s">
        <v>2820</v>
      </c>
      <c r="G1646" s="95" t="s">
        <v>286</v>
      </c>
      <c r="H1646" s="95" t="s">
        <v>2820</v>
      </c>
      <c r="I1646" s="95" t="s">
        <v>3103</v>
      </c>
    </row>
    <row r="1647" spans="1:9" ht="14.1" customHeight="1" x14ac:dyDescent="0.2">
      <c r="A1647" s="95" t="s">
        <v>2985</v>
      </c>
      <c r="B1647" s="95" t="s">
        <v>285</v>
      </c>
      <c r="C1647" s="95" t="s">
        <v>481</v>
      </c>
      <c r="D1647" s="95">
        <v>2012</v>
      </c>
      <c r="E1647" s="95">
        <v>3.2580785570025768</v>
      </c>
      <c r="F1647" s="95" t="s">
        <v>2942</v>
      </c>
      <c r="G1647" s="95" t="s">
        <v>286</v>
      </c>
      <c r="H1647" s="95" t="s">
        <v>2942</v>
      </c>
      <c r="I1647" s="95" t="s">
        <v>3103</v>
      </c>
    </row>
    <row r="1648" spans="1:9" ht="14.1" customHeight="1" x14ac:dyDescent="0.2">
      <c r="A1648" s="95" t="s">
        <v>2986</v>
      </c>
      <c r="B1648" s="95" t="s">
        <v>285</v>
      </c>
      <c r="C1648" s="95" t="s">
        <v>484</v>
      </c>
      <c r="D1648" s="95">
        <v>2012</v>
      </c>
      <c r="E1648" s="95">
        <v>3.9955057682661765</v>
      </c>
      <c r="F1648" s="95" t="s">
        <v>2824</v>
      </c>
      <c r="G1648" s="95" t="s">
        <v>286</v>
      </c>
      <c r="H1648" s="95" t="s">
        <v>2824</v>
      </c>
      <c r="I1648" s="95" t="s">
        <v>3103</v>
      </c>
    </row>
    <row r="1649" spans="1:9" ht="14.1" customHeight="1" x14ac:dyDescent="0.2">
      <c r="A1649" s="95" t="s">
        <v>2987</v>
      </c>
      <c r="B1649" s="95" t="s">
        <v>285</v>
      </c>
      <c r="C1649" s="95" t="s">
        <v>485</v>
      </c>
      <c r="D1649" s="95">
        <v>2012</v>
      </c>
      <c r="E1649" s="95">
        <v>4.2560519835841317</v>
      </c>
      <c r="F1649" s="95" t="s">
        <v>2826</v>
      </c>
      <c r="G1649" s="95" t="s">
        <v>286</v>
      </c>
      <c r="H1649" s="95" t="s">
        <v>2826</v>
      </c>
      <c r="I1649" s="95" t="s">
        <v>3103</v>
      </c>
    </row>
    <row r="1650" spans="1:9" ht="14.1" customHeight="1" x14ac:dyDescent="0.2">
      <c r="A1650" s="95" t="s">
        <v>2988</v>
      </c>
      <c r="B1650" s="95" t="s">
        <v>285</v>
      </c>
      <c r="C1650" s="95" t="s">
        <v>540</v>
      </c>
      <c r="D1650" s="95">
        <v>2012</v>
      </c>
      <c r="E1650" s="95">
        <v>4.7977920488857277</v>
      </c>
      <c r="F1650" s="95" t="s">
        <v>2955</v>
      </c>
      <c r="G1650" s="95" t="s">
        <v>286</v>
      </c>
      <c r="H1650" s="95" t="s">
        <v>2955</v>
      </c>
      <c r="I1650" s="95" t="s">
        <v>3103</v>
      </c>
    </row>
    <row r="1651" spans="1:9" ht="14.1" customHeight="1" x14ac:dyDescent="0.2">
      <c r="A1651" s="95" t="s">
        <v>2989</v>
      </c>
      <c r="B1651" s="95" t="s">
        <v>285</v>
      </c>
      <c r="C1651" s="95" t="s">
        <v>538</v>
      </c>
      <c r="D1651" s="95">
        <v>2012</v>
      </c>
      <c r="E1651" s="95">
        <v>4.9110707488350727</v>
      </c>
      <c r="F1651" s="95" t="s">
        <v>2990</v>
      </c>
      <c r="G1651" s="95" t="s">
        <v>286</v>
      </c>
      <c r="H1651" s="95" t="s">
        <v>2990</v>
      </c>
      <c r="I1651" s="95" t="s">
        <v>3103</v>
      </c>
    </row>
    <row r="1652" spans="1:9" ht="14.1" customHeight="1" x14ac:dyDescent="0.2">
      <c r="A1652" s="95" t="s">
        <v>2991</v>
      </c>
      <c r="B1652" s="95" t="s">
        <v>285</v>
      </c>
      <c r="C1652" s="95" t="s">
        <v>489</v>
      </c>
      <c r="D1652" s="95">
        <v>2012</v>
      </c>
      <c r="E1652" s="95">
        <v>1.8872716616196152</v>
      </c>
      <c r="F1652" s="95" t="s">
        <v>2801</v>
      </c>
      <c r="G1652" s="95" t="s">
        <v>286</v>
      </c>
      <c r="H1652" s="95" t="s">
        <v>2801</v>
      </c>
      <c r="I1652" s="95" t="s">
        <v>3103</v>
      </c>
    </row>
    <row r="1653" spans="1:9" ht="14.1" customHeight="1" x14ac:dyDescent="0.2">
      <c r="A1653" s="95" t="s">
        <v>2992</v>
      </c>
      <c r="B1653" s="95" t="s">
        <v>285</v>
      </c>
      <c r="C1653" s="95" t="s">
        <v>542</v>
      </c>
      <c r="D1653" s="95">
        <v>2012</v>
      </c>
      <c r="E1653" s="95">
        <v>8.4890109890109873</v>
      </c>
      <c r="F1653" s="95" t="s">
        <v>2864</v>
      </c>
      <c r="G1653" s="95" t="s">
        <v>286</v>
      </c>
      <c r="H1653" s="95" t="s">
        <v>2864</v>
      </c>
      <c r="I1653" s="95" t="s">
        <v>3103</v>
      </c>
    </row>
    <row r="1654" spans="1:9" ht="14.1" customHeight="1" x14ac:dyDescent="0.2">
      <c r="A1654" s="95" t="s">
        <v>2993</v>
      </c>
      <c r="B1654" s="95" t="s">
        <v>285</v>
      </c>
      <c r="C1654" s="95" t="s">
        <v>544</v>
      </c>
      <c r="D1654" s="95">
        <v>2012</v>
      </c>
      <c r="E1654" s="95">
        <v>7.2520692249811889</v>
      </c>
      <c r="F1654" s="95" t="s">
        <v>2834</v>
      </c>
      <c r="G1654" s="95" t="s">
        <v>286</v>
      </c>
      <c r="H1654" s="95" t="s">
        <v>2834</v>
      </c>
      <c r="I1654" s="95" t="s">
        <v>3103</v>
      </c>
    </row>
    <row r="1655" spans="1:9" ht="14.1" customHeight="1" x14ac:dyDescent="0.2">
      <c r="A1655" s="95" t="s">
        <v>2994</v>
      </c>
      <c r="B1655" s="95" t="s">
        <v>285</v>
      </c>
      <c r="C1655" s="95" t="s">
        <v>546</v>
      </c>
      <c r="D1655" s="95">
        <v>2012</v>
      </c>
      <c r="E1655" s="95">
        <v>2.5978645371191953</v>
      </c>
      <c r="F1655" s="95" t="s">
        <v>2963</v>
      </c>
      <c r="G1655" s="95" t="s">
        <v>286</v>
      </c>
      <c r="H1655" s="95" t="s">
        <v>2963</v>
      </c>
      <c r="I1655" s="95" t="s">
        <v>3103</v>
      </c>
    </row>
    <row r="1656" spans="1:9" ht="14.1" customHeight="1" x14ac:dyDescent="0.2">
      <c r="A1656" s="95" t="s">
        <v>2995</v>
      </c>
      <c r="B1656" s="95" t="s">
        <v>285</v>
      </c>
      <c r="C1656" s="95" t="s">
        <v>548</v>
      </c>
      <c r="D1656" s="95">
        <v>2012</v>
      </c>
      <c r="E1656" s="95">
        <v>3.2576142561913475</v>
      </c>
      <c r="F1656" s="95" t="s">
        <v>2996</v>
      </c>
      <c r="G1656" s="95" t="s">
        <v>286</v>
      </c>
      <c r="H1656" s="95" t="s">
        <v>2996</v>
      </c>
      <c r="I1656" s="95" t="s">
        <v>3103</v>
      </c>
    </row>
    <row r="1657" spans="1:9" ht="14.1" customHeight="1" x14ac:dyDescent="0.2">
      <c r="A1657" s="95" t="s">
        <v>3024</v>
      </c>
      <c r="B1657" s="95" t="s">
        <v>285</v>
      </c>
      <c r="C1657" s="95" t="s">
        <v>518</v>
      </c>
      <c r="D1657" s="95">
        <v>2012</v>
      </c>
      <c r="E1657" s="95">
        <v>1.2118603481656672E-3</v>
      </c>
      <c r="F1657" s="95" t="s">
        <v>3025</v>
      </c>
      <c r="G1657" s="95" t="s">
        <v>286</v>
      </c>
      <c r="H1657" s="95" t="s">
        <v>3025</v>
      </c>
      <c r="I1657" s="95" t="s">
        <v>3103</v>
      </c>
    </row>
    <row r="1658" spans="1:9" ht="14.1" customHeight="1" x14ac:dyDescent="0.2">
      <c r="A1658" s="95" t="s">
        <v>3026</v>
      </c>
      <c r="B1658" s="95" t="s">
        <v>285</v>
      </c>
      <c r="C1658" s="95" t="s">
        <v>522</v>
      </c>
      <c r="D1658" s="95">
        <v>2012</v>
      </c>
      <c r="E1658" s="95">
        <v>7.4874347014925369E-4</v>
      </c>
      <c r="F1658" s="95" t="s">
        <v>3109</v>
      </c>
      <c r="G1658" s="95" t="s">
        <v>286</v>
      </c>
      <c r="H1658" s="95" t="s">
        <v>3109</v>
      </c>
      <c r="I1658" s="95" t="s">
        <v>3103</v>
      </c>
    </row>
    <row r="1659" spans="1:9" ht="14.1" customHeight="1" x14ac:dyDescent="0.2">
      <c r="A1659" s="95" t="s">
        <v>2997</v>
      </c>
      <c r="B1659" s="95" t="s">
        <v>285</v>
      </c>
      <c r="C1659" s="95" t="s">
        <v>524</v>
      </c>
      <c r="D1659" s="95">
        <v>2012</v>
      </c>
      <c r="E1659" s="95">
        <v>1.7069037733769336E-2</v>
      </c>
      <c r="F1659" s="95" t="s">
        <v>3110</v>
      </c>
      <c r="G1659" s="95" t="s">
        <v>286</v>
      </c>
      <c r="H1659" s="95" t="s">
        <v>3110</v>
      </c>
      <c r="I1659" s="95" t="s">
        <v>3103</v>
      </c>
    </row>
    <row r="1660" spans="1:9" ht="14.1" customHeight="1" x14ac:dyDescent="0.2">
      <c r="A1660" s="95" t="s">
        <v>3027</v>
      </c>
      <c r="B1660" s="95" t="s">
        <v>285</v>
      </c>
      <c r="C1660" s="95" t="s">
        <v>528</v>
      </c>
      <c r="D1660" s="95">
        <v>2012</v>
      </c>
      <c r="E1660" s="95">
        <v>1.2909857477730895E-2</v>
      </c>
      <c r="F1660" s="95" t="s">
        <v>3028</v>
      </c>
      <c r="G1660" s="95" t="s">
        <v>286</v>
      </c>
      <c r="H1660" s="95" t="s">
        <v>3028</v>
      </c>
      <c r="I1660" s="95" t="s">
        <v>3103</v>
      </c>
    </row>
    <row r="1661" spans="1:9" ht="14.1" customHeight="1" x14ac:dyDescent="0.2">
      <c r="A1661" s="95" t="s">
        <v>2998</v>
      </c>
      <c r="B1661" s="95" t="s">
        <v>285</v>
      </c>
      <c r="C1661" s="95" t="s">
        <v>488</v>
      </c>
      <c r="D1661" s="95">
        <v>2012</v>
      </c>
      <c r="E1661" s="95">
        <v>8.1702127659574464E-2</v>
      </c>
      <c r="F1661" s="95" t="s">
        <v>3029</v>
      </c>
      <c r="G1661" s="95" t="s">
        <v>286</v>
      </c>
      <c r="H1661" s="95" t="s">
        <v>3029</v>
      </c>
      <c r="I1661" s="95" t="s">
        <v>3103</v>
      </c>
    </row>
    <row r="1662" spans="1:9" ht="14.1" customHeight="1" x14ac:dyDescent="0.2">
      <c r="A1662" s="95" t="s">
        <v>3030</v>
      </c>
      <c r="B1662" s="95" t="s">
        <v>285</v>
      </c>
      <c r="C1662" s="95" t="s">
        <v>487</v>
      </c>
      <c r="D1662" s="95">
        <v>2012</v>
      </c>
      <c r="E1662" s="95">
        <v>1.1132148148148148E-3</v>
      </c>
      <c r="F1662" s="95" t="s">
        <v>3031</v>
      </c>
      <c r="G1662" s="95" t="s">
        <v>286</v>
      </c>
      <c r="H1662" s="95" t="s">
        <v>3031</v>
      </c>
      <c r="I1662" s="95" t="s">
        <v>3103</v>
      </c>
    </row>
    <row r="1663" spans="1:9" ht="14.1" customHeight="1" x14ac:dyDescent="0.2">
      <c r="A1663" s="95" t="s">
        <v>3032</v>
      </c>
      <c r="B1663" s="95" t="s">
        <v>285</v>
      </c>
      <c r="C1663" s="95" t="s">
        <v>481</v>
      </c>
      <c r="D1663" s="95">
        <v>2012</v>
      </c>
      <c r="E1663" s="95">
        <v>4.1758222022673696E-3</v>
      </c>
      <c r="F1663" s="95" t="s">
        <v>3033</v>
      </c>
      <c r="G1663" s="95" t="s">
        <v>286</v>
      </c>
      <c r="H1663" s="95" t="s">
        <v>3033</v>
      </c>
      <c r="I1663" s="95" t="s">
        <v>3103</v>
      </c>
    </row>
    <row r="1664" spans="1:9" ht="14.1" customHeight="1" x14ac:dyDescent="0.2">
      <c r="A1664" s="95" t="s">
        <v>3034</v>
      </c>
      <c r="B1664" s="95" t="s">
        <v>285</v>
      </c>
      <c r="C1664" s="95" t="s">
        <v>538</v>
      </c>
      <c r="D1664" s="95">
        <v>2012</v>
      </c>
      <c r="E1664" s="95">
        <v>3.9496194525093318E-3</v>
      </c>
      <c r="F1664" s="95" t="s">
        <v>3111</v>
      </c>
      <c r="G1664" s="95" t="s">
        <v>286</v>
      </c>
      <c r="H1664" s="95" t="s">
        <v>3111</v>
      </c>
      <c r="I1664" s="95" t="s">
        <v>3103</v>
      </c>
    </row>
    <row r="1665" spans="1:9" ht="14.1" customHeight="1" x14ac:dyDescent="0.2">
      <c r="A1665" s="95" t="s">
        <v>3035</v>
      </c>
      <c r="B1665" s="95" t="s">
        <v>285</v>
      </c>
      <c r="C1665" s="95" t="s">
        <v>546</v>
      </c>
      <c r="D1665" s="95">
        <v>2012</v>
      </c>
      <c r="E1665" s="95">
        <v>5.7431341463414637E-4</v>
      </c>
      <c r="F1665" s="95" t="s">
        <v>3036</v>
      </c>
      <c r="G1665" s="95" t="s">
        <v>286</v>
      </c>
      <c r="H1665" s="95" t="s">
        <v>3036</v>
      </c>
      <c r="I1665" s="95" t="s">
        <v>3103</v>
      </c>
    </row>
    <row r="1666" spans="1:9" ht="14.1" customHeight="1" x14ac:dyDescent="0.2">
      <c r="A1666" s="95" t="s">
        <v>3037</v>
      </c>
      <c r="B1666" s="95" t="s">
        <v>285</v>
      </c>
      <c r="C1666" s="95" t="s">
        <v>518</v>
      </c>
      <c r="D1666" s="95">
        <v>2012</v>
      </c>
      <c r="E1666" s="95">
        <v>9.4837802422576623</v>
      </c>
      <c r="F1666" s="95" t="s">
        <v>3112</v>
      </c>
      <c r="G1666" s="95" t="s">
        <v>286</v>
      </c>
      <c r="H1666" s="95" t="s">
        <v>3112</v>
      </c>
      <c r="I1666" s="95" t="s">
        <v>3103</v>
      </c>
    </row>
    <row r="1667" spans="1:9" ht="14.1" customHeight="1" x14ac:dyDescent="0.2">
      <c r="A1667" s="95" t="s">
        <v>3038</v>
      </c>
      <c r="B1667" s="95" t="s">
        <v>285</v>
      </c>
      <c r="C1667" s="95" t="s">
        <v>520</v>
      </c>
      <c r="D1667" s="95">
        <v>2012</v>
      </c>
      <c r="E1667" s="95">
        <v>10.773987206823028</v>
      </c>
      <c r="F1667" s="95" t="s">
        <v>3039</v>
      </c>
      <c r="G1667" s="95" t="s">
        <v>286</v>
      </c>
      <c r="H1667" s="95" t="s">
        <v>3039</v>
      </c>
      <c r="I1667" s="95" t="s">
        <v>3103</v>
      </c>
    </row>
    <row r="1668" spans="1:9" ht="14.1" customHeight="1" x14ac:dyDescent="0.2">
      <c r="A1668" s="95" t="s">
        <v>3040</v>
      </c>
      <c r="B1668" s="95" t="s">
        <v>285</v>
      </c>
      <c r="C1668" s="95" t="s">
        <v>524</v>
      </c>
      <c r="D1668" s="95">
        <v>2012</v>
      </c>
      <c r="E1668" s="95">
        <v>4.5236198524430842</v>
      </c>
      <c r="F1668" s="95" t="s">
        <v>3041</v>
      </c>
      <c r="G1668" s="95" t="s">
        <v>286</v>
      </c>
      <c r="H1668" s="95" t="s">
        <v>3041</v>
      </c>
      <c r="I1668" s="95" t="s">
        <v>3103</v>
      </c>
    </row>
    <row r="1669" spans="1:9" ht="14.1" customHeight="1" x14ac:dyDescent="0.2">
      <c r="A1669" s="95" t="s">
        <v>3042</v>
      </c>
      <c r="B1669" s="95" t="s">
        <v>285</v>
      </c>
      <c r="C1669" s="95" t="s">
        <v>528</v>
      </c>
      <c r="D1669" s="95">
        <v>2012</v>
      </c>
      <c r="E1669" s="95">
        <v>3.0141786691793424</v>
      </c>
      <c r="F1669" s="95" t="s">
        <v>2999</v>
      </c>
      <c r="G1669" s="95" t="s">
        <v>286</v>
      </c>
      <c r="H1669" s="95" t="s">
        <v>2999</v>
      </c>
      <c r="I1669" s="95" t="s">
        <v>3103</v>
      </c>
    </row>
    <row r="1670" spans="1:9" ht="14.1" customHeight="1" x14ac:dyDescent="0.2">
      <c r="A1670" s="95" t="s">
        <v>3043</v>
      </c>
      <c r="B1670" s="95" t="s">
        <v>285</v>
      </c>
      <c r="C1670" s="95" t="s">
        <v>488</v>
      </c>
      <c r="D1670" s="95">
        <v>2012</v>
      </c>
      <c r="E1670" s="95">
        <v>6.3657676585918894</v>
      </c>
      <c r="F1670" s="95" t="s">
        <v>3000</v>
      </c>
      <c r="G1670" s="95" t="s">
        <v>286</v>
      </c>
      <c r="H1670" s="95" t="s">
        <v>3000</v>
      </c>
      <c r="I1670" s="95" t="s">
        <v>3103</v>
      </c>
    </row>
    <row r="1671" spans="1:9" ht="14.1" customHeight="1" x14ac:dyDescent="0.2">
      <c r="A1671" s="95" t="s">
        <v>3044</v>
      </c>
      <c r="B1671" s="95" t="s">
        <v>285</v>
      </c>
      <c r="C1671" s="95" t="s">
        <v>486</v>
      </c>
      <c r="D1671" s="95">
        <v>2012</v>
      </c>
      <c r="E1671" s="95">
        <v>5.0871666666666666</v>
      </c>
      <c r="F1671" s="95" t="s">
        <v>3001</v>
      </c>
      <c r="G1671" s="95" t="s">
        <v>286</v>
      </c>
      <c r="H1671" s="95" t="s">
        <v>3001</v>
      </c>
      <c r="I1671" s="95" t="s">
        <v>3103</v>
      </c>
    </row>
    <row r="1672" spans="1:9" ht="14.1" customHeight="1" x14ac:dyDescent="0.2">
      <c r="A1672" s="95" t="s">
        <v>3045</v>
      </c>
      <c r="B1672" s="95" t="s">
        <v>285</v>
      </c>
      <c r="C1672" s="95" t="s">
        <v>482</v>
      </c>
      <c r="D1672" s="95">
        <v>2012</v>
      </c>
      <c r="E1672" s="95">
        <v>22.584492672973475</v>
      </c>
      <c r="F1672" s="95" t="s">
        <v>3002</v>
      </c>
      <c r="G1672" s="95" t="s">
        <v>286</v>
      </c>
      <c r="H1672" s="95" t="s">
        <v>3002</v>
      </c>
      <c r="I1672" s="95" t="s">
        <v>3103</v>
      </c>
    </row>
    <row r="1673" spans="1:9" ht="14.1" customHeight="1" x14ac:dyDescent="0.2">
      <c r="A1673" s="95" t="s">
        <v>3046</v>
      </c>
      <c r="B1673" s="95" t="s">
        <v>285</v>
      </c>
      <c r="C1673" s="95" t="s">
        <v>532</v>
      </c>
      <c r="D1673" s="95">
        <v>2012</v>
      </c>
      <c r="E1673" s="95">
        <v>5.6118764468859688</v>
      </c>
      <c r="F1673" s="95" t="s">
        <v>3003</v>
      </c>
      <c r="G1673" s="95" t="s">
        <v>286</v>
      </c>
      <c r="H1673" s="95" t="s">
        <v>3003</v>
      </c>
      <c r="I1673" s="95" t="s">
        <v>3103</v>
      </c>
    </row>
    <row r="1674" spans="1:9" ht="14.1" customHeight="1" x14ac:dyDescent="0.2">
      <c r="A1674" s="95" t="s">
        <v>3047</v>
      </c>
      <c r="B1674" s="95" t="s">
        <v>285</v>
      </c>
      <c r="C1674" s="95" t="s">
        <v>490</v>
      </c>
      <c r="D1674" s="95">
        <v>2012</v>
      </c>
      <c r="E1674" s="95">
        <v>4.5039975633899338</v>
      </c>
      <c r="F1674" s="95" t="s">
        <v>3002</v>
      </c>
      <c r="G1674" s="95" t="s">
        <v>286</v>
      </c>
      <c r="H1674" s="95" t="s">
        <v>3002</v>
      </c>
      <c r="I1674" s="95" t="s">
        <v>3103</v>
      </c>
    </row>
    <row r="1675" spans="1:9" ht="14.1" customHeight="1" x14ac:dyDescent="0.2">
      <c r="A1675" s="95" t="s">
        <v>3048</v>
      </c>
      <c r="B1675" s="95" t="s">
        <v>285</v>
      </c>
      <c r="C1675" s="95" t="s">
        <v>536</v>
      </c>
      <c r="D1675" s="95">
        <v>2012</v>
      </c>
      <c r="E1675" s="95">
        <v>9.0154615734424741</v>
      </c>
      <c r="F1675" s="95" t="s">
        <v>3004</v>
      </c>
      <c r="G1675" s="95" t="s">
        <v>286</v>
      </c>
      <c r="H1675" s="95" t="s">
        <v>3004</v>
      </c>
      <c r="I1675" s="95" t="s">
        <v>3103</v>
      </c>
    </row>
    <row r="1676" spans="1:9" ht="14.1" customHeight="1" x14ac:dyDescent="0.2">
      <c r="A1676" s="95" t="s">
        <v>3049</v>
      </c>
      <c r="B1676" s="95" t="s">
        <v>285</v>
      </c>
      <c r="C1676" s="95" t="s">
        <v>481</v>
      </c>
      <c r="D1676" s="95">
        <v>2012</v>
      </c>
      <c r="E1676" s="95">
        <v>1.1358307103309462</v>
      </c>
      <c r="F1676" s="95" t="s">
        <v>3113</v>
      </c>
      <c r="G1676" s="95" t="s">
        <v>286</v>
      </c>
      <c r="H1676" s="95" t="s">
        <v>3113</v>
      </c>
      <c r="I1676" s="95" t="s">
        <v>3103</v>
      </c>
    </row>
    <row r="1677" spans="1:9" ht="14.1" customHeight="1" x14ac:dyDescent="0.2">
      <c r="A1677" s="95" t="s">
        <v>3050</v>
      </c>
      <c r="B1677" s="95" t="s">
        <v>285</v>
      </c>
      <c r="C1677" s="95" t="s">
        <v>484</v>
      </c>
      <c r="D1677" s="95">
        <v>2012</v>
      </c>
      <c r="E1677" s="95">
        <v>6.8672239189840862</v>
      </c>
      <c r="F1677" s="95" t="s">
        <v>3005</v>
      </c>
      <c r="G1677" s="95" t="s">
        <v>286</v>
      </c>
      <c r="H1677" s="95" t="s">
        <v>3005</v>
      </c>
      <c r="I1677" s="95" t="s">
        <v>3103</v>
      </c>
    </row>
    <row r="1678" spans="1:9" ht="14.1" customHeight="1" x14ac:dyDescent="0.2">
      <c r="A1678" s="95" t="s">
        <v>3051</v>
      </c>
      <c r="B1678" s="95" t="s">
        <v>285</v>
      </c>
      <c r="C1678" s="95" t="s">
        <v>485</v>
      </c>
      <c r="D1678" s="95">
        <v>2012</v>
      </c>
      <c r="E1678" s="95">
        <v>2.5065202470830474</v>
      </c>
      <c r="F1678" s="95" t="s">
        <v>3006</v>
      </c>
      <c r="G1678" s="95" t="s">
        <v>286</v>
      </c>
      <c r="H1678" s="95" t="s">
        <v>3006</v>
      </c>
      <c r="I1678" s="95" t="s">
        <v>3103</v>
      </c>
    </row>
    <row r="1679" spans="1:9" ht="14.1" customHeight="1" x14ac:dyDescent="0.2">
      <c r="A1679" s="95" t="s">
        <v>3052</v>
      </c>
      <c r="B1679" s="95" t="s">
        <v>285</v>
      </c>
      <c r="C1679" s="95" t="s">
        <v>540</v>
      </c>
      <c r="D1679" s="95">
        <v>2012</v>
      </c>
      <c r="E1679" s="95">
        <v>43.768202348690153</v>
      </c>
      <c r="F1679" s="95" t="s">
        <v>3007</v>
      </c>
      <c r="G1679" s="95" t="s">
        <v>286</v>
      </c>
      <c r="H1679" s="95" t="s">
        <v>3007</v>
      </c>
      <c r="I1679" s="95" t="s">
        <v>3103</v>
      </c>
    </row>
    <row r="1680" spans="1:9" ht="14.1" customHeight="1" x14ac:dyDescent="0.2">
      <c r="A1680" s="95" t="s">
        <v>3053</v>
      </c>
      <c r="B1680" s="95" t="s">
        <v>285</v>
      </c>
      <c r="C1680" s="95" t="s">
        <v>538</v>
      </c>
      <c r="D1680" s="95">
        <v>2012</v>
      </c>
      <c r="E1680" s="95">
        <v>1.358350288558742</v>
      </c>
      <c r="F1680" s="95" t="s">
        <v>3114</v>
      </c>
      <c r="G1680" s="95" t="s">
        <v>286</v>
      </c>
      <c r="H1680" s="95" t="s">
        <v>3114</v>
      </c>
      <c r="I1680" s="95" t="s">
        <v>3103</v>
      </c>
    </row>
    <row r="1681" spans="1:9" ht="14.1" customHeight="1" x14ac:dyDescent="0.2">
      <c r="A1681" s="95" t="s">
        <v>3054</v>
      </c>
      <c r="B1681" s="95" t="s">
        <v>285</v>
      </c>
      <c r="C1681" s="95" t="s">
        <v>546</v>
      </c>
      <c r="D1681" s="95">
        <v>2012</v>
      </c>
      <c r="E1681" s="95">
        <v>1.9275752034706537</v>
      </c>
      <c r="F1681" s="95" t="s">
        <v>3008</v>
      </c>
      <c r="G1681" s="95" t="s">
        <v>286</v>
      </c>
      <c r="H1681" s="95" t="s">
        <v>3008</v>
      </c>
      <c r="I1681" s="95" t="s">
        <v>3103</v>
      </c>
    </row>
  </sheetData>
  <phoneticPr fontId="12" type="noConversion"/>
  <pageMargins left="0.7" right="0.7" top="0.75" bottom="0.75" header="0.3" footer="0.3"/>
  <pageSetup orientation="portrait" r:id="rId1"/>
  <headerFooter>
    <oddHeader>&amp;LAnuario de Transporte de Carga y Logística 2014, BID</oddHeader>
    <oddFooter>&amp;LObservatorio Regional de Transporte de Carga y Logistica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N107"/>
  <sheetViews>
    <sheetView showGridLines="0" showRowColHeaders="0" topLeftCell="Q1" workbookViewId="0">
      <pane ySplit="1" topLeftCell="A66" activePane="bottomLeft" state="frozen"/>
      <selection activeCell="A36" sqref="A36"/>
      <selection pane="bottomLeft" activeCell="AE93" sqref="AE93"/>
    </sheetView>
  </sheetViews>
  <sheetFormatPr defaultColWidth="9.140625" defaultRowHeight="11.25" x14ac:dyDescent="0.2"/>
  <cols>
    <col min="1" max="1" width="5.5703125" style="49" customWidth="1"/>
    <col min="2" max="2" width="9.28515625" style="49" bestFit="1" customWidth="1"/>
    <col min="3" max="3" width="7.5703125" style="49" bestFit="1" customWidth="1"/>
    <col min="4" max="4" width="4.5703125" style="49" bestFit="1" customWidth="1"/>
    <col min="5" max="5" width="6.28515625" style="49" bestFit="1" customWidth="1"/>
    <col min="6" max="7" width="9.140625" style="49"/>
    <col min="8" max="8" width="3.42578125" style="49" customWidth="1"/>
    <col min="9" max="9" width="5.140625" style="49" customWidth="1"/>
    <col min="10" max="14" width="3.42578125" style="49" customWidth="1"/>
    <col min="15" max="15" width="36.140625" style="55" customWidth="1"/>
    <col min="16" max="16" width="19" style="55" customWidth="1"/>
    <col min="17" max="17" width="14.85546875" style="55" customWidth="1"/>
    <col min="18" max="18" width="30.7109375" style="55" customWidth="1"/>
    <col min="19" max="21" width="9.140625" style="55"/>
    <col min="22" max="22" width="9.140625" style="49" customWidth="1"/>
    <col min="23" max="23" width="9.140625" style="56" customWidth="1"/>
    <col min="24" max="24" width="9.140625" style="56"/>
    <col min="25" max="30" width="9.140625" style="49"/>
    <col min="31" max="31" width="29.28515625" style="49" customWidth="1"/>
    <col min="32" max="35" width="9.140625" style="49"/>
    <col min="36" max="36" width="22.5703125" style="49" customWidth="1"/>
    <col min="37" max="37" width="14.42578125" style="49" customWidth="1"/>
    <col min="38" max="16384" width="9.140625" style="49"/>
  </cols>
  <sheetData>
    <row r="1" spans="1:40" x14ac:dyDescent="0.2">
      <c r="A1" s="59" t="s">
        <v>31</v>
      </c>
      <c r="B1" s="59" t="s">
        <v>32</v>
      </c>
      <c r="C1" s="59" t="s">
        <v>33</v>
      </c>
      <c r="D1" s="59" t="s">
        <v>34</v>
      </c>
      <c r="E1" s="59" t="s">
        <v>35</v>
      </c>
      <c r="F1" s="59" t="s">
        <v>242</v>
      </c>
      <c r="G1" s="59" t="s">
        <v>244</v>
      </c>
      <c r="H1" s="59" t="s">
        <v>278</v>
      </c>
      <c r="I1" s="59" t="s">
        <v>279</v>
      </c>
      <c r="J1" s="59" t="s">
        <v>280</v>
      </c>
      <c r="K1" s="59" t="s">
        <v>281</v>
      </c>
      <c r="L1" s="59" t="s">
        <v>282</v>
      </c>
      <c r="M1" s="59" t="s">
        <v>1262</v>
      </c>
      <c r="N1" s="59" t="s">
        <v>503</v>
      </c>
      <c r="O1" s="60" t="s">
        <v>36</v>
      </c>
      <c r="P1" s="60" t="s">
        <v>37</v>
      </c>
      <c r="Q1" s="60" t="s">
        <v>269</v>
      </c>
      <c r="R1" s="60" t="s">
        <v>717</v>
      </c>
      <c r="S1" s="59" t="s">
        <v>1261</v>
      </c>
      <c r="T1" s="60"/>
      <c r="U1" s="60"/>
      <c r="AA1" s="103"/>
      <c r="AB1" s="103" t="s">
        <v>1272</v>
      </c>
      <c r="AE1" s="103" t="s">
        <v>36</v>
      </c>
      <c r="AF1" s="103" t="s">
        <v>37</v>
      </c>
      <c r="AG1" s="103" t="s">
        <v>269</v>
      </c>
      <c r="AH1" s="103" t="s">
        <v>716</v>
      </c>
      <c r="AI1" s="103" t="s">
        <v>717</v>
      </c>
      <c r="AJ1" s="104" t="s">
        <v>36</v>
      </c>
      <c r="AK1" s="104" t="s">
        <v>37</v>
      </c>
      <c r="AL1" s="104" t="s">
        <v>269</v>
      </c>
      <c r="AM1" s="104" t="s">
        <v>716</v>
      </c>
      <c r="AN1" s="104" t="s">
        <v>717</v>
      </c>
    </row>
    <row r="2" spans="1:40" s="12" customFormat="1" x14ac:dyDescent="0.2">
      <c r="A2" s="13">
        <v>1</v>
      </c>
      <c r="B2" s="13" t="s">
        <v>39</v>
      </c>
      <c r="C2" s="13"/>
      <c r="D2" s="13">
        <v>0</v>
      </c>
      <c r="E2" s="13">
        <v>0</v>
      </c>
      <c r="F2" s="13"/>
      <c r="G2" s="13" t="s">
        <v>157</v>
      </c>
      <c r="H2" s="13"/>
      <c r="I2" s="13"/>
      <c r="J2" s="13"/>
      <c r="K2" s="13"/>
      <c r="L2" s="13"/>
      <c r="M2" s="13"/>
      <c r="N2" s="13"/>
      <c r="O2" s="67" t="str">
        <f>CHOOSE(uxbWorks!$B$7,AE2,AJ2)</f>
        <v>General indicators</v>
      </c>
      <c r="P2" s="67">
        <f>CHOOSE(uxbWorks!$B$7,AF2,AK2)</f>
        <v>0</v>
      </c>
      <c r="Q2" s="67">
        <f>CHOOSE(uxbWorks!$B$7,AG2,AL2)</f>
        <v>0</v>
      </c>
      <c r="R2" s="67"/>
      <c r="S2" s="13"/>
      <c r="T2" s="67"/>
      <c r="U2" s="67"/>
      <c r="W2" s="68" t="str">
        <f>CONCATENATE(REPT("  ",$D2),CHOOSE($E2+1,UPPER(O2),O2))</f>
        <v>GENERAL INDICATORS</v>
      </c>
      <c r="X2" s="68" t="str">
        <f t="shared" ref="X2:X33" si="0">IF($D2=0,"",INDEX($O$2:$O$149,MATCH($C2,$B$2:$B$149,0)))</f>
        <v/>
      </c>
      <c r="Y2" s="68"/>
      <c r="AA2" s="69"/>
      <c r="AB2" s="69" t="s">
        <v>40</v>
      </c>
      <c r="AC2" s="67" t="str">
        <f>IF($D2=0,"",MATCH($F2,tblIndiDefs!$A$2:$A$89,0))</f>
        <v/>
      </c>
      <c r="AE2" s="69" t="s">
        <v>40</v>
      </c>
      <c r="AF2" s="69"/>
      <c r="AG2" s="69"/>
      <c r="AH2" s="69"/>
      <c r="AI2" s="69"/>
      <c r="AJ2" s="69" t="s">
        <v>428</v>
      </c>
      <c r="AK2" s="13"/>
      <c r="AL2" s="13"/>
    </row>
    <row r="3" spans="1:40" x14ac:dyDescent="0.2">
      <c r="A3" s="49">
        <v>2</v>
      </c>
      <c r="B3" s="49" t="s">
        <v>41</v>
      </c>
      <c r="C3" s="49" t="s">
        <v>39</v>
      </c>
      <c r="D3" s="49">
        <v>1</v>
      </c>
      <c r="E3" s="49">
        <v>1</v>
      </c>
      <c r="F3" s="49">
        <v>1</v>
      </c>
      <c r="G3" s="49">
        <v>2</v>
      </c>
      <c r="N3" s="49">
        <v>0</v>
      </c>
      <c r="O3" s="55" t="str">
        <f>CHOOSE(uxbWorks!$B$7,AE3,AJ3)</f>
        <v>Transport sector  % GDP</v>
      </c>
      <c r="P3" s="55" t="str">
        <f>CHOOSE(uxbWorks!$B$7,AF3,AK3)</f>
        <v>%</v>
      </c>
      <c r="Q3" s="55" t="str">
        <f>CHOOSE(uxbWorks!$B$7,AG3,AL3)</f>
        <v>General indicators</v>
      </c>
      <c r="R3" s="55" t="str">
        <f>IF(CHOOSE(uxbWorks!$B$7,AI3,AN3)=0,"",CHOOSE(uxbWorks!$B$7,AI3,AN3))</f>
        <v>Extent of the transport sector in the total GDP. Each country specifies how it is computed using the International Standard Industrial Classification (ISIC).</v>
      </c>
      <c r="S3" s="49">
        <v>0</v>
      </c>
      <c r="W3" s="56" t="str">
        <f>CONCATENATE(REPT("  ",$D3),CHOOSE($E3+1,UPPER(O3),O3))</f>
        <v xml:space="preserve">  Transport sector  % GDP</v>
      </c>
      <c r="X3" s="56" t="str">
        <f t="shared" si="0"/>
        <v>General indicators</v>
      </c>
      <c r="Y3" s="56" t="str">
        <f>IF(X3="","",TRIM(CONCATENATE(UPPER(X3)," » ",UPPER(U3))))</f>
        <v>GENERAL INDICATORS »</v>
      </c>
      <c r="AA3" s="54"/>
      <c r="AB3" s="54" t="str">
        <f>IF($AC3="","",INDEX(tblIndiDefs!$B$2:$B$197,$AC3))</f>
        <v>Transport sector  % GDP</v>
      </c>
      <c r="AC3" s="55">
        <f>IF($D3=0,"",MATCH($F3,tblIndiDefs!$A$2:$A$89,0))</f>
        <v>1</v>
      </c>
      <c r="AE3" s="54" t="str">
        <f>IF($AC3="","",INDEX(tblIndiDefs!B$2:B$197,$AC3))</f>
        <v>Transport sector  % GDP</v>
      </c>
      <c r="AF3" s="54" t="str">
        <f>IF($AC3="","",INDEX(tblIndiDefs!C$2:C$197,$AC3))</f>
        <v>%</v>
      </c>
      <c r="AG3" s="54" t="str">
        <f>IF($AC3="","",INDEX(tblIndiDefs!D$2:D$197,$AC3))</f>
        <v>General indicators</v>
      </c>
      <c r="AH3" s="54">
        <f>IF($AC3="","",INDEX(tblIndiDefs!E$2:E$197,$AC3))</f>
        <v>0</v>
      </c>
      <c r="AI3" s="54" t="str">
        <f>IF($AC3="","",INDEX(tblIndiDefs!F$2:F$197,$AC3))</f>
        <v>Extent of the transport sector in the total GDP. Each country specifies how it is computed using the International Standard Industrial Classification (ISIC).</v>
      </c>
      <c r="AJ3" s="54" t="str">
        <f>IF($AC3="","",INDEX(tblIndiDefs!G$2:G$197,$AC3))</f>
        <v>Participación transporte en PIB</v>
      </c>
      <c r="AK3" s="54" t="str">
        <f>IF($AC3="","",INDEX(tblIndiDefs!H$2:H$197,$AC3))</f>
        <v>%</v>
      </c>
      <c r="AL3" s="54" t="str">
        <f>IF($AC3="","",INDEX(tblIndiDefs!I$2:I$197,$AC3))</f>
        <v>Indicadores generales</v>
      </c>
      <c r="AM3" s="54">
        <f>IF($AC3="","",INDEX(tblIndiDefs!J$2:J$197,$AC3))</f>
        <v>0</v>
      </c>
      <c r="AN3" s="54" t="str">
        <f>IF($AC3="","",INDEX(tblIndiDefs!K$2:K$197,$AC3))</f>
        <v>Porcentaje de participación del sector transporte en el total del PIB nacional. Cada país especifica como se computa según la Clasificación Internacional Industrial Uniforme (CIIU).</v>
      </c>
    </row>
    <row r="4" spans="1:40" x14ac:dyDescent="0.2">
      <c r="A4" s="49">
        <v>3</v>
      </c>
      <c r="B4" s="49" t="s">
        <v>42</v>
      </c>
      <c r="C4" s="49" t="s">
        <v>39</v>
      </c>
      <c r="D4" s="49">
        <v>1</v>
      </c>
      <c r="E4" s="49">
        <v>1</v>
      </c>
      <c r="F4" s="49">
        <v>2</v>
      </c>
      <c r="G4" s="49">
        <v>1</v>
      </c>
      <c r="N4" s="49">
        <v>0</v>
      </c>
      <c r="O4" s="55" t="str">
        <f>CHOOSE(uxbWorks!$B$7,AE4,AJ4)</f>
        <v>Population</v>
      </c>
      <c r="P4" s="55" t="str">
        <f>CHOOSE(uxbWorks!$B$7,AF4,AK4)</f>
        <v>millions</v>
      </c>
      <c r="Q4" s="55" t="str">
        <f>CHOOSE(uxbWorks!$B$7,AG4,AL4)</f>
        <v>General indicators</v>
      </c>
      <c r="R4" s="55" t="str">
        <f>IF(CHOOSE(uxbWorks!$B$7,AI4,AN4)=0,"",CHOOSE(uxbWorks!$B$7,AI4,AN4))</f>
        <v>Total number of inhabitants of a country.</v>
      </c>
      <c r="S4" s="49">
        <v>0</v>
      </c>
      <c r="W4" s="56" t="str">
        <f t="shared" ref="W4:W13" si="1">CONCATENATE(REPT("  ",$D4),CHOOSE($E4+1,UPPER(O4),O4))</f>
        <v xml:space="preserve">  Population</v>
      </c>
      <c r="X4" s="56" t="str">
        <f t="shared" si="0"/>
        <v>General indicators</v>
      </c>
      <c r="Y4" s="56" t="str">
        <f t="shared" ref="Y4:Y13" si="2">IF(X4="","",TRIM(CONCATENATE(UPPER(X4)," » ",UPPER(U4))))</f>
        <v>GENERAL INDICATORS »</v>
      </c>
      <c r="AA4" s="54"/>
      <c r="AB4" s="54" t="s">
        <v>718</v>
      </c>
      <c r="AC4" s="55">
        <f>IF($D4=0,"",MATCH($F4,tblIndiDefs!$A$2:$A$89,0))</f>
        <v>2</v>
      </c>
      <c r="AE4" s="54" t="str">
        <f>IF($AC4="","",INDEX(tblIndiDefs!B$2:B$197,$AC4))</f>
        <v>Population</v>
      </c>
      <c r="AF4" s="54" t="str">
        <f>IF($AC4="","",INDEX(tblIndiDefs!C$2:C$197,$AC4))</f>
        <v>millions</v>
      </c>
      <c r="AG4" s="54" t="str">
        <f>IF($AC4="","",INDEX(tblIndiDefs!D$2:D$197,$AC4))</f>
        <v>General indicators</v>
      </c>
      <c r="AH4" s="54">
        <f>IF($AC4="","",INDEX(tblIndiDefs!E$2:E$197,$AC4))</f>
        <v>0</v>
      </c>
      <c r="AI4" s="54" t="str">
        <f>IF($AC4="","",INDEX(tblIndiDefs!F$2:F$197,$AC4))</f>
        <v>Total number of inhabitants of a country.</v>
      </c>
      <c r="AJ4" s="54" t="str">
        <f>IF($AC4="","",INDEX(tblIndiDefs!G$2:G$197,$AC4))</f>
        <v>Población</v>
      </c>
      <c r="AK4" s="54" t="str">
        <f>IF($AC4="","",INDEX(tblIndiDefs!H$2:H$197,$AC4))</f>
        <v>millones</v>
      </c>
      <c r="AL4" s="54" t="str">
        <f>IF($AC4="","",INDEX(tblIndiDefs!I$2:I$197,$AC4))</f>
        <v>Indicadores generales</v>
      </c>
      <c r="AM4" s="54">
        <f>IF($AC4="","",INDEX(tblIndiDefs!J$2:J$197,$AC4))</f>
        <v>0</v>
      </c>
      <c r="AN4" s="54" t="str">
        <f>IF($AC4="","",INDEX(tblIndiDefs!K$2:K$197,$AC4))</f>
        <v>Número total de habitantes de un país.</v>
      </c>
    </row>
    <row r="5" spans="1:40" x14ac:dyDescent="0.2">
      <c r="A5" s="49">
        <v>4</v>
      </c>
      <c r="B5" s="49" t="s">
        <v>44</v>
      </c>
      <c r="C5" s="49" t="s">
        <v>39</v>
      </c>
      <c r="D5" s="49">
        <v>1</v>
      </c>
      <c r="E5" s="49">
        <v>1</v>
      </c>
      <c r="F5" s="49">
        <v>3</v>
      </c>
      <c r="G5" s="49">
        <v>0</v>
      </c>
      <c r="N5" s="49">
        <v>0</v>
      </c>
      <c r="O5" s="55" t="str">
        <f>CHOOSE(uxbWorks!$B$7,AE5,AJ5)</f>
        <v>Land area</v>
      </c>
      <c r="P5" s="55" t="str">
        <f>CHOOSE(uxbWorks!$B$7,AF5,AK5)</f>
        <v>sq km</v>
      </c>
      <c r="Q5" s="55" t="str">
        <f>CHOOSE(uxbWorks!$B$7,AG5,AL5)</f>
        <v>General indicators</v>
      </c>
      <c r="R5" s="55" t="str">
        <f>IF(CHOOSE(uxbWorks!$B$7,AI5,AN5)=0,"",CHOOSE(uxbWorks!$B$7,AI5,AN5))</f>
        <v>Country area</v>
      </c>
      <c r="S5" s="49">
        <v>0</v>
      </c>
      <c r="W5" s="56" t="str">
        <f t="shared" si="1"/>
        <v xml:space="preserve">  Land area</v>
      </c>
      <c r="X5" s="56" t="str">
        <f t="shared" si="0"/>
        <v>General indicators</v>
      </c>
      <c r="Y5" s="56" t="str">
        <f t="shared" si="2"/>
        <v>GENERAL INDICATORS »</v>
      </c>
      <c r="AA5" s="54"/>
      <c r="AB5" s="54" t="s">
        <v>719</v>
      </c>
      <c r="AC5" s="55">
        <f>IF($D5=0,"",MATCH($F5,tblIndiDefs!$A$2:$A$89,0))</f>
        <v>3</v>
      </c>
      <c r="AE5" s="54" t="str">
        <f>IF($AC5="","",INDEX(tblIndiDefs!B$2:B$197,$AC5))</f>
        <v>Land area</v>
      </c>
      <c r="AF5" s="54" t="str">
        <f>IF($AC5="","",INDEX(tblIndiDefs!C$2:C$197,$AC5))</f>
        <v>sq km</v>
      </c>
      <c r="AG5" s="54" t="str">
        <f>IF($AC5="","",INDEX(tblIndiDefs!D$2:D$197,$AC5))</f>
        <v>General indicators</v>
      </c>
      <c r="AH5" s="54">
        <f>IF($AC5="","",INDEX(tblIndiDefs!E$2:E$197,$AC5))</f>
        <v>0</v>
      </c>
      <c r="AI5" s="54" t="str">
        <f>IF($AC5="","",INDEX(tblIndiDefs!F$2:F$197,$AC5))</f>
        <v>Country area</v>
      </c>
      <c r="AJ5" s="54" t="str">
        <f>IF($AC5="","",INDEX(tblIndiDefs!G$2:G$197,$AC5))</f>
        <v>Superficie</v>
      </c>
      <c r="AK5" s="54" t="str">
        <f>IF($AC5="","",INDEX(tblIndiDefs!H$2:H$197,$AC5))</f>
        <v>km2</v>
      </c>
      <c r="AL5" s="54" t="str">
        <f>IF($AC5="","",INDEX(tblIndiDefs!I$2:I$197,$AC5))</f>
        <v>Indicadores generales</v>
      </c>
      <c r="AM5" s="54">
        <f>IF($AC5="","",INDEX(tblIndiDefs!J$2:J$197,$AC5))</f>
        <v>0</v>
      </c>
      <c r="AN5" s="54" t="str">
        <f>IF($AC5="","",INDEX(tblIndiDefs!K$2:K$197,$AC5))</f>
        <v>Superficie o área del país.</v>
      </c>
    </row>
    <row r="6" spans="1:40" x14ac:dyDescent="0.2">
      <c r="A6" s="49">
        <v>5</v>
      </c>
      <c r="B6" s="49" t="s">
        <v>45</v>
      </c>
      <c r="C6" s="49" t="s">
        <v>39</v>
      </c>
      <c r="D6" s="49">
        <v>1</v>
      </c>
      <c r="E6" s="49">
        <v>1</v>
      </c>
      <c r="F6" s="49">
        <v>4</v>
      </c>
      <c r="G6" s="49">
        <v>1</v>
      </c>
      <c r="N6" s="49">
        <v>0</v>
      </c>
      <c r="O6" s="55" t="str">
        <f>CHOOSE(uxbWorks!$B$7,AE6,AJ6)</f>
        <v>Gross Domestic Product (GDP)</v>
      </c>
      <c r="P6" s="55" t="str">
        <f>CHOOSE(uxbWorks!$B$7,AF6,AK6)</f>
        <v>US$ (billions)</v>
      </c>
      <c r="Q6" s="55" t="str">
        <f>CHOOSE(uxbWorks!$B$7,AG6,AL6)</f>
        <v>General indicators</v>
      </c>
      <c r="R6" s="55" t="str">
        <f>IF(CHOOSE(uxbWorks!$B$7,AI6,AN6)=0,"",CHOOSE(uxbWorks!$B$7,AI6,AN6))</f>
        <v>Economic indicator that reflects the total output of goods and services (monetary value) associated with a country over a period of time (year).</v>
      </c>
      <c r="S6" s="49">
        <v>0</v>
      </c>
      <c r="W6" s="56" t="str">
        <f t="shared" si="1"/>
        <v xml:space="preserve">  Gross Domestic Product (GDP)</v>
      </c>
      <c r="X6" s="56" t="str">
        <f t="shared" si="0"/>
        <v>General indicators</v>
      </c>
      <c r="Y6" s="56" t="str">
        <f t="shared" si="2"/>
        <v>GENERAL INDICATORS »</v>
      </c>
      <c r="AA6" s="54"/>
      <c r="AB6" s="54" t="s">
        <v>720</v>
      </c>
      <c r="AC6" s="55">
        <f>IF($D6=0,"",MATCH($F6,tblIndiDefs!$A$2:$A$89,0))</f>
        <v>4</v>
      </c>
      <c r="AE6" s="54" t="str">
        <f>IF($AC6="","",INDEX(tblIndiDefs!B$2:B$197,$AC6))</f>
        <v>Gross Domestic Product (GDP)</v>
      </c>
      <c r="AF6" s="54" t="str">
        <f>IF($AC6="","",INDEX(tblIndiDefs!C$2:C$197,$AC6))</f>
        <v>US$ (billions)</v>
      </c>
      <c r="AG6" s="54" t="str">
        <f>IF($AC6="","",INDEX(tblIndiDefs!D$2:D$197,$AC6))</f>
        <v>General indicators</v>
      </c>
      <c r="AH6" s="54">
        <f>IF($AC6="","",INDEX(tblIndiDefs!E$2:E$197,$AC6))</f>
        <v>0</v>
      </c>
      <c r="AI6" s="54" t="str">
        <f>IF($AC6="","",INDEX(tblIndiDefs!F$2:F$197,$AC6))</f>
        <v>Economic indicator that reflects the total output of goods and services (monetary value) associated with a country over a period of time (year).</v>
      </c>
      <c r="AJ6" s="54" t="str">
        <f>IF($AC6="","",INDEX(tblIndiDefs!G$2:G$197,$AC6))</f>
        <v>Producto Bruto Interno (PBI)</v>
      </c>
      <c r="AK6" s="54" t="str">
        <f>IF($AC6="","",INDEX(tblIndiDefs!H$2:H$197,$AC6))</f>
        <v>US$ (mil millones)</v>
      </c>
      <c r="AL6" s="54" t="str">
        <f>IF($AC6="","",INDEX(tblIndiDefs!I$2:I$197,$AC6))</f>
        <v>Indicadores generales</v>
      </c>
      <c r="AM6" s="54">
        <f>IF($AC6="","",INDEX(tblIndiDefs!J$2:J$197,$AC6))</f>
        <v>0</v>
      </c>
      <c r="AN6" s="54" t="str">
        <f>IF($AC6="","",INDEX(tblIndiDefs!K$2:K$197,$AC6))</f>
        <v>Indicador económico que refleja la producción total de bienes y servicios (valor monetario) asociada a un país durante un período de tiempo (año).</v>
      </c>
    </row>
    <row r="7" spans="1:40" x14ac:dyDescent="0.2">
      <c r="A7" s="49">
        <v>6</v>
      </c>
      <c r="B7" s="49" t="s">
        <v>46</v>
      </c>
      <c r="C7" s="49" t="s">
        <v>39</v>
      </c>
      <c r="D7" s="49">
        <v>1</v>
      </c>
      <c r="E7" s="49">
        <v>1</v>
      </c>
      <c r="F7" s="49">
        <v>5</v>
      </c>
      <c r="G7" s="49">
        <v>1</v>
      </c>
      <c r="N7" s="49">
        <v>0</v>
      </c>
      <c r="O7" s="55" t="str">
        <f>CHOOSE(uxbWorks!$B$7,AE7,AJ7)</f>
        <v>GDP-PPP</v>
      </c>
      <c r="P7" s="55" t="str">
        <f>CHOOSE(uxbWorks!$B$7,AF7,AK7)</f>
        <v>US$ (billions)</v>
      </c>
      <c r="Q7" s="55" t="str">
        <f>CHOOSE(uxbWorks!$B$7,AG7,AL7)</f>
        <v>General indicators</v>
      </c>
      <c r="R7" s="55" t="str">
        <f>IF(CHOOSE(uxbWorks!$B$7,AI7,AN7)=0,"",CHOOSE(uxbWorks!$B$7,AI7,AN7))</f>
        <v>Gross Domestic Product (Purchasing Power Parity)</v>
      </c>
      <c r="S7" s="49">
        <v>0</v>
      </c>
      <c r="W7" s="56" t="str">
        <f t="shared" si="1"/>
        <v xml:space="preserve">  GDP-PPP</v>
      </c>
      <c r="X7" s="56" t="str">
        <f t="shared" si="0"/>
        <v>General indicators</v>
      </c>
      <c r="Y7" s="56" t="str">
        <f t="shared" si="2"/>
        <v>GENERAL INDICATORS »</v>
      </c>
      <c r="AA7" s="54"/>
      <c r="AB7" s="54" t="s">
        <v>47</v>
      </c>
      <c r="AC7" s="55">
        <f>IF($D7=0,"",MATCH($F7,tblIndiDefs!$A$2:$A$89,0))</f>
        <v>5</v>
      </c>
      <c r="AE7" s="54" t="str">
        <f>IF($AC7="","",INDEX(tblIndiDefs!B$2:B$197,$AC7))</f>
        <v>GDP-PPP</v>
      </c>
      <c r="AF7" s="54" t="str">
        <f>IF($AC7="","",INDEX(tblIndiDefs!C$2:C$197,$AC7))</f>
        <v>US$ (billions)</v>
      </c>
      <c r="AG7" s="54" t="str">
        <f>IF($AC7="","",INDEX(tblIndiDefs!D$2:D$197,$AC7))</f>
        <v>General indicators</v>
      </c>
      <c r="AH7" s="54">
        <f>IF($AC7="","",INDEX(tblIndiDefs!E$2:E$197,$AC7))</f>
        <v>0</v>
      </c>
      <c r="AI7" s="54" t="str">
        <f>IF($AC7="","",INDEX(tblIndiDefs!F$2:F$197,$AC7))</f>
        <v>Gross Domestic Product (Purchasing Power Parity)</v>
      </c>
      <c r="AJ7" s="54" t="str">
        <f>IF($AC7="","",INDEX(tblIndiDefs!G$2:G$197,$AC7))</f>
        <v>PIB-PPP</v>
      </c>
      <c r="AK7" s="54" t="str">
        <f>IF($AC7="","",INDEX(tblIndiDefs!H$2:H$197,$AC7))</f>
        <v>US$ (mil millones)</v>
      </c>
      <c r="AL7" s="54" t="str">
        <f>IF($AC7="","",INDEX(tblIndiDefs!I$2:I$197,$AC7))</f>
        <v>Indicadores generales</v>
      </c>
      <c r="AM7" s="54">
        <f>IF($AC7="","",INDEX(tblIndiDefs!J$2:J$197,$AC7))</f>
        <v>0</v>
      </c>
      <c r="AN7" s="54" t="str">
        <f>IF($AC7="","",INDEX(tblIndiDefs!K$2:K$197,$AC7))</f>
        <v>Producto Bruto Interno (Paridad de Poder Adquisitivo)</v>
      </c>
    </row>
    <row r="8" spans="1:40" x14ac:dyDescent="0.2">
      <c r="A8" s="49">
        <v>7</v>
      </c>
      <c r="B8" s="49" t="s">
        <v>48</v>
      </c>
      <c r="C8" s="49" t="s">
        <v>39</v>
      </c>
      <c r="D8" s="49">
        <v>1</v>
      </c>
      <c r="E8" s="49">
        <v>1</v>
      </c>
      <c r="F8" s="49">
        <v>6</v>
      </c>
      <c r="G8" s="49">
        <v>1</v>
      </c>
      <c r="N8" s="49">
        <v>0</v>
      </c>
      <c r="O8" s="55" t="str">
        <f>CHOOSE(uxbWorks!$B$7,AE8,AJ8)</f>
        <v>Transport service imports</v>
      </c>
      <c r="P8" s="55" t="str">
        <f>CHOOSE(uxbWorks!$B$7,AF8,AK8)</f>
        <v>US$ (billions)</v>
      </c>
      <c r="Q8" s="55" t="str">
        <f>CHOOSE(uxbWorks!$B$7,AG8,AL8)</f>
        <v>General indicators</v>
      </c>
      <c r="R8" s="55" t="str">
        <f>IF(CHOOSE(uxbWorks!$B$7,AI8,AN8)=0,"",CHOOSE(uxbWorks!$B$7,AI8,AN8))</f>
        <v>Monetary value of all services related to the transport sector, imported by a country.</v>
      </c>
      <c r="S8" s="49">
        <v>0</v>
      </c>
      <c r="W8" s="56" t="str">
        <f t="shared" si="1"/>
        <v xml:space="preserve">  Transport service imports</v>
      </c>
      <c r="X8" s="56" t="str">
        <f t="shared" si="0"/>
        <v>General indicators</v>
      </c>
      <c r="Y8" s="56" t="str">
        <f t="shared" si="2"/>
        <v>GENERAL INDICATORS »</v>
      </c>
      <c r="AA8" s="54"/>
      <c r="AB8" s="54" t="s">
        <v>721</v>
      </c>
      <c r="AC8" s="55">
        <f>IF($D8=0,"",MATCH($F8,tblIndiDefs!$A$2:$A$89,0))</f>
        <v>6</v>
      </c>
      <c r="AE8" s="54" t="str">
        <f>IF($AC8="","",INDEX(tblIndiDefs!B$2:B$197,$AC8))</f>
        <v>Transport service imports</v>
      </c>
      <c r="AF8" s="54" t="str">
        <f>IF($AC8="","",INDEX(tblIndiDefs!C$2:C$197,$AC8))</f>
        <v>US$ (billions)</v>
      </c>
      <c r="AG8" s="54" t="str">
        <f>IF($AC8="","",INDEX(tblIndiDefs!D$2:D$197,$AC8))</f>
        <v>General indicators</v>
      </c>
      <c r="AH8" s="54">
        <f>IF($AC8="","",INDEX(tblIndiDefs!E$2:E$197,$AC8))</f>
        <v>0</v>
      </c>
      <c r="AI8" s="54" t="str">
        <f>IF($AC8="","",INDEX(tblIndiDefs!F$2:F$197,$AC8))</f>
        <v>Monetary value of all services related to the transport sector, imported by a country.</v>
      </c>
      <c r="AJ8" s="54" t="str">
        <f>IF($AC8="","",INDEX(tblIndiDefs!G$2:G$197,$AC8))</f>
        <v>Importación servicios de transporte</v>
      </c>
      <c r="AK8" s="54" t="str">
        <f>IF($AC8="","",INDEX(tblIndiDefs!H$2:H$197,$AC8))</f>
        <v>US$ (mil millones)</v>
      </c>
      <c r="AL8" s="54" t="str">
        <f>IF($AC8="","",INDEX(tblIndiDefs!I$2:I$197,$AC8))</f>
        <v>Indicadores generales</v>
      </c>
      <c r="AM8" s="54">
        <f>IF($AC8="","",INDEX(tblIndiDefs!J$2:J$197,$AC8))</f>
        <v>0</v>
      </c>
      <c r="AN8" s="54" t="str">
        <f>IF($AC8="","",INDEX(tblIndiDefs!K$2:K$197,$AC8))</f>
        <v>Valor monetario del total de servicios relacionados con el sector transporte, importados por un país.</v>
      </c>
    </row>
    <row r="9" spans="1:40" x14ac:dyDescent="0.2">
      <c r="A9" s="49">
        <v>8</v>
      </c>
      <c r="B9" s="49" t="s">
        <v>49</v>
      </c>
      <c r="C9" s="49" t="s">
        <v>39</v>
      </c>
      <c r="D9" s="49">
        <v>1</v>
      </c>
      <c r="E9" s="49">
        <v>1</v>
      </c>
      <c r="F9" s="49">
        <v>7</v>
      </c>
      <c r="G9" s="49">
        <v>1</v>
      </c>
      <c r="N9" s="49">
        <v>0</v>
      </c>
      <c r="O9" s="55" t="str">
        <f>CHOOSE(uxbWorks!$B$7,AE9,AJ9)</f>
        <v>Transport service exports</v>
      </c>
      <c r="P9" s="55" t="str">
        <f>CHOOSE(uxbWorks!$B$7,AF9,AK9)</f>
        <v>US$ (billions)</v>
      </c>
      <c r="Q9" s="55" t="str">
        <f>CHOOSE(uxbWorks!$B$7,AG9,AL9)</f>
        <v>General indicators</v>
      </c>
      <c r="R9" s="55" t="str">
        <f>IF(CHOOSE(uxbWorks!$B$7,AI9,AN9)=0,"",CHOOSE(uxbWorks!$B$7,AI9,AN9))</f>
        <v>Monetary value of all services related to the transport sector, exported by a country.</v>
      </c>
      <c r="S9" s="49">
        <v>0</v>
      </c>
      <c r="W9" s="56" t="str">
        <f t="shared" si="1"/>
        <v xml:space="preserve">  Transport service exports</v>
      </c>
      <c r="X9" s="56" t="str">
        <f t="shared" si="0"/>
        <v>General indicators</v>
      </c>
      <c r="Y9" s="56" t="str">
        <f t="shared" si="2"/>
        <v>GENERAL INDICATORS »</v>
      </c>
      <c r="AA9" s="54"/>
      <c r="AB9" s="54" t="s">
        <v>722</v>
      </c>
      <c r="AC9" s="55">
        <f>IF($D9=0,"",MATCH($F9,tblIndiDefs!$A$2:$A$89,0))</f>
        <v>7</v>
      </c>
      <c r="AE9" s="54" t="str">
        <f>IF($AC9="","",INDEX(tblIndiDefs!B$2:B$197,$AC9))</f>
        <v>Transport service exports</v>
      </c>
      <c r="AF9" s="54" t="str">
        <f>IF($AC9="","",INDEX(tblIndiDefs!C$2:C$197,$AC9))</f>
        <v>US$ (billions)</v>
      </c>
      <c r="AG9" s="54" t="str">
        <f>IF($AC9="","",INDEX(tblIndiDefs!D$2:D$197,$AC9))</f>
        <v>General indicators</v>
      </c>
      <c r="AH9" s="54">
        <f>IF($AC9="","",INDEX(tblIndiDefs!E$2:E$197,$AC9))</f>
        <v>0</v>
      </c>
      <c r="AI9" s="54" t="str">
        <f>IF($AC9="","",INDEX(tblIndiDefs!F$2:F$197,$AC9))</f>
        <v>Monetary value of all services related to the transport sector, exported by a country.</v>
      </c>
      <c r="AJ9" s="54" t="str">
        <f>IF($AC9="","",INDEX(tblIndiDefs!G$2:G$197,$AC9))</f>
        <v>Exportación servicios de transporte</v>
      </c>
      <c r="AK9" s="54" t="str">
        <f>IF($AC9="","",INDEX(tblIndiDefs!H$2:H$197,$AC9))</f>
        <v>US$ (mil millones)</v>
      </c>
      <c r="AL9" s="54" t="str">
        <f>IF($AC9="","",INDEX(tblIndiDefs!I$2:I$197,$AC9))</f>
        <v>Indicadores generales</v>
      </c>
      <c r="AM9" s="54">
        <f>IF($AC9="","",INDEX(tblIndiDefs!J$2:J$197,$AC9))</f>
        <v>0</v>
      </c>
      <c r="AN9" s="54" t="str">
        <f>IF($AC9="","",INDEX(tblIndiDefs!K$2:K$197,$AC9))</f>
        <v>Valor monetario del total de servicios relacionados con el sector transporte, exportados desde un país.</v>
      </c>
    </row>
    <row r="10" spans="1:40" x14ac:dyDescent="0.2">
      <c r="A10" s="49">
        <v>9</v>
      </c>
      <c r="B10" s="49" t="s">
        <v>50</v>
      </c>
      <c r="C10" s="49" t="s">
        <v>39</v>
      </c>
      <c r="D10" s="49">
        <v>1</v>
      </c>
      <c r="E10" s="49">
        <v>1</v>
      </c>
      <c r="F10" s="49">
        <v>8</v>
      </c>
      <c r="G10" s="49">
        <v>1</v>
      </c>
      <c r="N10" s="49">
        <v>0</v>
      </c>
      <c r="O10" s="55" t="str">
        <f>CHOOSE(uxbWorks!$B$7,AE10,AJ10)</f>
        <v>Value of exports</v>
      </c>
      <c r="P10" s="55" t="str">
        <f>CHOOSE(uxbWorks!$B$7,AF10,AK10)</f>
        <v>US$ (billions)</v>
      </c>
      <c r="Q10" s="55" t="str">
        <f>CHOOSE(uxbWorks!$B$7,AG10,AL10)</f>
        <v>General indicators</v>
      </c>
      <c r="R10" s="55" t="str">
        <f>IF(CHOOSE(uxbWorks!$B$7,AI10,AN10)=0,"",CHOOSE(uxbWorks!$B$7,AI10,AN10))</f>
        <v>Value of national exports</v>
      </c>
      <c r="S10" s="49">
        <v>0</v>
      </c>
      <c r="W10" s="56" t="str">
        <f t="shared" si="1"/>
        <v xml:space="preserve">  Value of exports</v>
      </c>
      <c r="X10" s="56" t="str">
        <f t="shared" si="0"/>
        <v>General indicators</v>
      </c>
      <c r="Y10" s="56" t="str">
        <f t="shared" si="2"/>
        <v>GENERAL INDICATORS »</v>
      </c>
      <c r="AA10" s="54"/>
      <c r="AB10" s="54" t="s">
        <v>51</v>
      </c>
      <c r="AC10" s="55">
        <f>IF($D10=0,"",MATCH($F10,tblIndiDefs!$A$2:$A$89,0))</f>
        <v>8</v>
      </c>
      <c r="AE10" s="54" t="str">
        <f>IF($AC10="","",INDEX(tblIndiDefs!B$2:B$197,$AC10))</f>
        <v>Value of exports</v>
      </c>
      <c r="AF10" s="54" t="str">
        <f>IF($AC10="","",INDEX(tblIndiDefs!C$2:C$197,$AC10))</f>
        <v>US$ (billions)</v>
      </c>
      <c r="AG10" s="54" t="str">
        <f>IF($AC10="","",INDEX(tblIndiDefs!D$2:D$197,$AC10))</f>
        <v>General indicators</v>
      </c>
      <c r="AH10" s="54">
        <f>IF($AC10="","",INDEX(tblIndiDefs!E$2:E$197,$AC10))</f>
        <v>0</v>
      </c>
      <c r="AI10" s="54" t="str">
        <f>IF($AC10="","",INDEX(tblIndiDefs!F$2:F$197,$AC10))</f>
        <v>Value of national exports</v>
      </c>
      <c r="AJ10" s="54" t="str">
        <f>IF($AC10="","",INDEX(tblIndiDefs!G$2:G$197,$AC10))</f>
        <v>Valor de exportaciones</v>
      </c>
      <c r="AK10" s="54" t="str">
        <f>IF($AC10="","",INDEX(tblIndiDefs!H$2:H$197,$AC10))</f>
        <v>US$ (mil millones)</v>
      </c>
      <c r="AL10" s="54" t="str">
        <f>IF($AC10="","",INDEX(tblIndiDefs!I$2:I$197,$AC10))</f>
        <v>Indicadores generales</v>
      </c>
      <c r="AM10" s="54">
        <f>IF($AC10="","",INDEX(tblIndiDefs!J$2:J$197,$AC10))</f>
        <v>0</v>
      </c>
      <c r="AN10" s="54" t="str">
        <f>IF($AC10="","",INDEX(tblIndiDefs!K$2:K$197,$AC10))</f>
        <v>Valor monetario de las exportaciones nacionales</v>
      </c>
    </row>
    <row r="11" spans="1:40" x14ac:dyDescent="0.2">
      <c r="A11" s="49">
        <v>10</v>
      </c>
      <c r="B11" s="49" t="s">
        <v>52</v>
      </c>
      <c r="C11" s="49" t="s">
        <v>39</v>
      </c>
      <c r="D11" s="49">
        <v>1</v>
      </c>
      <c r="E11" s="49">
        <v>1</v>
      </c>
      <c r="F11" s="49">
        <v>9</v>
      </c>
      <c r="G11" s="49">
        <v>0</v>
      </c>
      <c r="N11" s="49">
        <v>0</v>
      </c>
      <c r="O11" s="55" t="str">
        <f>CHOOSE(uxbWorks!$B$7,AE11,AJ11)</f>
        <v>Volume of exports</v>
      </c>
      <c r="P11" s="55" t="str">
        <f>CHOOSE(uxbWorks!$B$7,AF11,AK11)</f>
        <v>ton</v>
      </c>
      <c r="Q11" s="55" t="str">
        <f>CHOOSE(uxbWorks!$B$7,AG11,AL11)</f>
        <v>General indicators</v>
      </c>
      <c r="R11" s="55" t="str">
        <f>IF(CHOOSE(uxbWorks!$B$7,AI11,AN11)=0,"",CHOOSE(uxbWorks!$B$7,AI11,AN11))</f>
        <v>Volume of national exports</v>
      </c>
      <c r="S11" s="49">
        <v>0</v>
      </c>
      <c r="W11" s="56" t="str">
        <f t="shared" si="1"/>
        <v xml:space="preserve">  Volume of exports</v>
      </c>
      <c r="X11" s="56" t="str">
        <f t="shared" si="0"/>
        <v>General indicators</v>
      </c>
      <c r="Y11" s="56" t="str">
        <f t="shared" si="2"/>
        <v>GENERAL INDICATORS »</v>
      </c>
      <c r="AA11" s="54"/>
      <c r="AB11" s="54" t="s">
        <v>53</v>
      </c>
      <c r="AC11" s="55">
        <f>IF($D11=0,"",MATCH($F11,tblIndiDefs!$A$2:$A$89,0))</f>
        <v>9</v>
      </c>
      <c r="AE11" s="54" t="str">
        <f>IF($AC11="","",INDEX(tblIndiDefs!B$2:B$197,$AC11))</f>
        <v>Volume of exports</v>
      </c>
      <c r="AF11" s="54" t="str">
        <f>IF($AC11="","",INDEX(tblIndiDefs!C$2:C$197,$AC11))</f>
        <v>ton</v>
      </c>
      <c r="AG11" s="54" t="str">
        <f>IF($AC11="","",INDEX(tblIndiDefs!D$2:D$197,$AC11))</f>
        <v>General indicators</v>
      </c>
      <c r="AH11" s="54">
        <f>IF($AC11="","",INDEX(tblIndiDefs!E$2:E$197,$AC11))</f>
        <v>0</v>
      </c>
      <c r="AI11" s="54" t="str">
        <f>IF($AC11="","",INDEX(tblIndiDefs!F$2:F$197,$AC11))</f>
        <v>Volume of national exports</v>
      </c>
      <c r="AJ11" s="54" t="str">
        <f>IF($AC11="","",INDEX(tblIndiDefs!G$2:G$197,$AC11))</f>
        <v>Volumen de exportaciones</v>
      </c>
      <c r="AK11" s="54" t="str">
        <f>IF($AC11="","",INDEX(tblIndiDefs!H$2:H$197,$AC11))</f>
        <v>ton</v>
      </c>
      <c r="AL11" s="54" t="str">
        <f>IF($AC11="","",INDEX(tblIndiDefs!I$2:I$197,$AC11))</f>
        <v>Indicadores generales</v>
      </c>
      <c r="AM11" s="54">
        <f>IF($AC11="","",INDEX(tblIndiDefs!J$2:J$197,$AC11))</f>
        <v>0</v>
      </c>
      <c r="AN11" s="54" t="str">
        <f>IF($AC11="","",INDEX(tblIndiDefs!K$2:K$197,$AC11))</f>
        <v>Volumen de las exportaciones nacionales</v>
      </c>
    </row>
    <row r="12" spans="1:40" x14ac:dyDescent="0.2">
      <c r="A12" s="49">
        <v>11</v>
      </c>
      <c r="B12" s="49" t="s">
        <v>54</v>
      </c>
      <c r="C12" s="49" t="s">
        <v>39</v>
      </c>
      <c r="D12" s="49">
        <v>1</v>
      </c>
      <c r="E12" s="49">
        <v>1</v>
      </c>
      <c r="F12" s="49">
        <v>10</v>
      </c>
      <c r="G12" s="49">
        <v>1</v>
      </c>
      <c r="N12" s="49">
        <v>0</v>
      </c>
      <c r="O12" s="55" t="str">
        <f>CHOOSE(uxbWorks!$B$7,AE12,AJ12)</f>
        <v>Value of imports</v>
      </c>
      <c r="P12" s="55" t="str">
        <f>CHOOSE(uxbWorks!$B$7,AF12,AK12)</f>
        <v>US$ (billions)</v>
      </c>
      <c r="Q12" s="55" t="str">
        <f>CHOOSE(uxbWorks!$B$7,AG12,AL12)</f>
        <v>General indicators</v>
      </c>
      <c r="R12" s="55" t="str">
        <f>IF(CHOOSE(uxbWorks!$B$7,AI12,AN12)=0,"",CHOOSE(uxbWorks!$B$7,AI12,AN12))</f>
        <v>Value of national imports</v>
      </c>
      <c r="S12" s="49">
        <v>0</v>
      </c>
      <c r="W12" s="56" t="str">
        <f t="shared" si="1"/>
        <v xml:space="preserve">  Value of imports</v>
      </c>
      <c r="X12" s="56" t="str">
        <f t="shared" si="0"/>
        <v>General indicators</v>
      </c>
      <c r="Y12" s="56" t="str">
        <f t="shared" si="2"/>
        <v>GENERAL INDICATORS »</v>
      </c>
      <c r="AA12" s="54"/>
      <c r="AB12" s="54" t="s">
        <v>55</v>
      </c>
      <c r="AC12" s="55">
        <f>IF($D12=0,"",MATCH($F12,tblIndiDefs!$A$2:$A$89,0))</f>
        <v>10</v>
      </c>
      <c r="AE12" s="54" t="str">
        <f>IF($AC12="","",INDEX(tblIndiDefs!B$2:B$197,$AC12))</f>
        <v>Value of imports</v>
      </c>
      <c r="AF12" s="54" t="str">
        <f>IF($AC12="","",INDEX(tblIndiDefs!C$2:C$197,$AC12))</f>
        <v>US$ (billions)</v>
      </c>
      <c r="AG12" s="54" t="str">
        <f>IF($AC12="","",INDEX(tblIndiDefs!D$2:D$197,$AC12))</f>
        <v>General indicators</v>
      </c>
      <c r="AH12" s="54">
        <f>IF($AC12="","",INDEX(tblIndiDefs!E$2:E$197,$AC12))</f>
        <v>0</v>
      </c>
      <c r="AI12" s="54" t="str">
        <f>IF($AC12="","",INDEX(tblIndiDefs!F$2:F$197,$AC12))</f>
        <v>Value of national imports</v>
      </c>
      <c r="AJ12" s="54" t="str">
        <f>IF($AC12="","",INDEX(tblIndiDefs!G$2:G$197,$AC12))</f>
        <v>Valor de importaciones</v>
      </c>
      <c r="AK12" s="54" t="str">
        <f>IF($AC12="","",INDEX(tblIndiDefs!H$2:H$197,$AC12))</f>
        <v>US$ (mil millones)</v>
      </c>
      <c r="AL12" s="54" t="str">
        <f>IF($AC12="","",INDEX(tblIndiDefs!I$2:I$197,$AC12))</f>
        <v>Indicadores generales</v>
      </c>
      <c r="AM12" s="54">
        <f>IF($AC12="","",INDEX(tblIndiDefs!J$2:J$197,$AC12))</f>
        <v>0</v>
      </c>
      <c r="AN12" s="54" t="str">
        <f>IF($AC12="","",INDEX(tblIndiDefs!K$2:K$197,$AC12))</f>
        <v>Valor monetario de las importaciones nacionales</v>
      </c>
    </row>
    <row r="13" spans="1:40" x14ac:dyDescent="0.2">
      <c r="A13" s="49">
        <v>12</v>
      </c>
      <c r="B13" s="49" t="s">
        <v>56</v>
      </c>
      <c r="C13" s="49" t="s">
        <v>39</v>
      </c>
      <c r="D13" s="49">
        <v>1</v>
      </c>
      <c r="E13" s="49">
        <v>1</v>
      </c>
      <c r="F13" s="49">
        <v>11</v>
      </c>
      <c r="G13" s="49">
        <v>0</v>
      </c>
      <c r="N13" s="49">
        <v>0</v>
      </c>
      <c r="O13" s="55" t="str">
        <f>CHOOSE(uxbWorks!$B$7,AE13,AJ13)</f>
        <v>Volume of imports</v>
      </c>
      <c r="P13" s="55" t="str">
        <f>CHOOSE(uxbWorks!$B$7,AF13,AK13)</f>
        <v>tons</v>
      </c>
      <c r="Q13" s="55" t="str">
        <f>CHOOSE(uxbWorks!$B$7,AG13,AL13)</f>
        <v>General indicators</v>
      </c>
      <c r="R13" s="55" t="str">
        <f>IF(CHOOSE(uxbWorks!$B$7,AI13,AN13)=0,"",CHOOSE(uxbWorks!$B$7,AI13,AN13))</f>
        <v>Volume of national imports</v>
      </c>
      <c r="S13" s="49">
        <v>0</v>
      </c>
      <c r="W13" s="56" t="str">
        <f t="shared" si="1"/>
        <v xml:space="preserve">  Volume of imports</v>
      </c>
      <c r="X13" s="56" t="str">
        <f t="shared" si="0"/>
        <v>General indicators</v>
      </c>
      <c r="Y13" s="56" t="str">
        <f t="shared" si="2"/>
        <v>GENERAL INDICATORS »</v>
      </c>
      <c r="AA13" s="54"/>
      <c r="AB13" s="54" t="s">
        <v>491</v>
      </c>
      <c r="AC13" s="55">
        <f>IF($D13=0,"",MATCH($F13,tblIndiDefs!$A$2:$A$89,0))</f>
        <v>11</v>
      </c>
      <c r="AE13" s="54" t="str">
        <f>IF($AC13="","",INDEX(tblIndiDefs!B$2:B$197,$AC13))</f>
        <v>Volume of imports</v>
      </c>
      <c r="AF13" s="54" t="str">
        <f>IF($AC13="","",INDEX(tblIndiDefs!C$2:C$197,$AC13))</f>
        <v>tons</v>
      </c>
      <c r="AG13" s="54" t="str">
        <f>IF($AC13="","",INDEX(tblIndiDefs!D$2:D$197,$AC13))</f>
        <v>General indicators</v>
      </c>
      <c r="AH13" s="54">
        <f>IF($AC13="","",INDEX(tblIndiDefs!E$2:E$197,$AC13))</f>
        <v>0</v>
      </c>
      <c r="AI13" s="54" t="str">
        <f>IF($AC13="","",INDEX(tblIndiDefs!F$2:F$197,$AC13))</f>
        <v>Volume of national imports</v>
      </c>
      <c r="AJ13" s="54" t="str">
        <f>IF($AC13="","",INDEX(tblIndiDefs!G$2:G$197,$AC13))</f>
        <v>Volumen de importaciones</v>
      </c>
      <c r="AK13" s="54" t="str">
        <f>IF($AC13="","",INDEX(tblIndiDefs!H$2:H$197,$AC13))</f>
        <v>ton</v>
      </c>
      <c r="AL13" s="54" t="str">
        <f>IF($AC13="","",INDEX(tblIndiDefs!I$2:I$197,$AC13))</f>
        <v>Indicadores generales</v>
      </c>
      <c r="AM13" s="54">
        <f>IF($AC13="","",INDEX(tblIndiDefs!J$2:J$197,$AC13))</f>
        <v>0</v>
      </c>
      <c r="AN13" s="54" t="str">
        <f>IF($AC13="","",INDEX(tblIndiDefs!K$2:K$197,$AC13))</f>
        <v>Volumen de las importaciones nacionales</v>
      </c>
    </row>
    <row r="14" spans="1:40" s="12" customFormat="1" x14ac:dyDescent="0.2">
      <c r="A14" s="13">
        <v>13</v>
      </c>
      <c r="B14" s="13" t="s">
        <v>57</v>
      </c>
      <c r="C14" s="13"/>
      <c r="D14" s="13">
        <v>0</v>
      </c>
      <c r="E14" s="13">
        <v>0</v>
      </c>
      <c r="F14" s="13" t="s">
        <v>157</v>
      </c>
      <c r="G14" s="13" t="s">
        <v>157</v>
      </c>
      <c r="H14" s="13"/>
      <c r="I14" s="13"/>
      <c r="J14" s="13"/>
      <c r="K14" s="13"/>
      <c r="L14" s="13"/>
      <c r="M14" s="58"/>
      <c r="N14" s="13"/>
      <c r="O14" s="67" t="str">
        <f>CHOOSE(uxbWorks!$B$7,AE14,AJ14)</f>
        <v>Road transportation</v>
      </c>
      <c r="P14" s="67" t="str">
        <f>CHOOSE(uxbWorks!$B$7,AF14,AK14)</f>
        <v/>
      </c>
      <c r="Q14" s="67" t="str">
        <f>CHOOSE(uxbWorks!$B$7,AG14,AL14)</f>
        <v/>
      </c>
      <c r="R14" s="67" t="str">
        <f>IF(CHOOSE(uxbWorks!$B$7,AI14,AN14)=0,"",CHOOSE(uxbWorks!$B$7,AI14,AN14))</f>
        <v/>
      </c>
      <c r="S14" s="13"/>
      <c r="T14" s="67"/>
      <c r="U14" s="67"/>
      <c r="W14" s="68" t="str">
        <f t="shared" ref="W14:W77" si="3">CONCATENATE(REPT("  ",$D14),CHOOSE($E14+1,UPPER(O14),O14))</f>
        <v>ROAD TRANSPORTATION</v>
      </c>
      <c r="X14" s="68" t="str">
        <f t="shared" si="0"/>
        <v/>
      </c>
      <c r="Y14" s="68" t="str">
        <f t="shared" ref="Y14:Y77" si="4">IF(X14="","",TRIM(CONCATENATE(UPPER(X14)," » ",UPPER(U14))))</f>
        <v/>
      </c>
      <c r="AA14" s="69"/>
      <c r="AB14" s="69" t="s">
        <v>58</v>
      </c>
      <c r="AC14" s="67" t="str">
        <f>IF($D14=0,"",MATCH($F14,tblIndiDefs!$A$2:$A$89,0))</f>
        <v/>
      </c>
      <c r="AE14" s="69" t="s">
        <v>58</v>
      </c>
      <c r="AF14" s="69" t="str">
        <f>IF($AC14="","",INDEX(tblIndiDefs!C$2:C$197,$AC14))</f>
        <v/>
      </c>
      <c r="AG14" s="69" t="str">
        <f>IF($AC14="","",INDEX(tblIndiDefs!D$2:D$197,$AC14))</f>
        <v/>
      </c>
      <c r="AH14" s="69" t="str">
        <f>IF($AC14="","",INDEX(tblIndiDefs!E$2:E$197,$AC14))</f>
        <v/>
      </c>
      <c r="AI14" s="69" t="str">
        <f>IF($AC14="","",INDEX(tblIndiDefs!F$2:F$197,$AC14))</f>
        <v/>
      </c>
      <c r="AJ14" s="69" t="s">
        <v>429</v>
      </c>
      <c r="AK14" s="54" t="str">
        <f>IF($AC14="","",INDEX(tblIndiDefs!H$2:H$197,$AC14))</f>
        <v/>
      </c>
      <c r="AL14" s="54" t="str">
        <f>IF($AC14="","",INDEX(tblIndiDefs!I$2:I$197,$AC14))</f>
        <v/>
      </c>
      <c r="AM14" s="54" t="str">
        <f>IF($AC14="","",INDEX(tblIndiDefs!J$2:J$197,$AC14))</f>
        <v/>
      </c>
      <c r="AN14" s="54" t="str">
        <f>IF($AC14="","",INDEX(tblIndiDefs!K$2:K$197,$AC14))</f>
        <v/>
      </c>
    </row>
    <row r="15" spans="1:40" x14ac:dyDescent="0.2">
      <c r="A15" s="49">
        <v>14</v>
      </c>
      <c r="B15" s="49" t="s">
        <v>59</v>
      </c>
      <c r="C15" s="49" t="s">
        <v>57</v>
      </c>
      <c r="D15" s="49">
        <v>1</v>
      </c>
      <c r="E15" s="49">
        <v>1</v>
      </c>
      <c r="F15" s="49">
        <v>12</v>
      </c>
      <c r="G15" s="49">
        <v>0</v>
      </c>
      <c r="N15" s="49">
        <v>0</v>
      </c>
      <c r="O15" s="55" t="str">
        <f>CHOOSE(uxbWorks!$B$7,AE15,AJ15)</f>
        <v>Road network</v>
      </c>
      <c r="P15" s="55" t="str">
        <f>CHOOSE(uxbWorks!$B$7,AF15,AK15)</f>
        <v>km</v>
      </c>
      <c r="Q15" s="55" t="str">
        <f>CHOOSE(uxbWorks!$B$7,AG15,AL15)</f>
        <v>Road transport</v>
      </c>
      <c r="R15" s="55" t="str">
        <f>IF(CHOOSE(uxbWorks!$B$7,AI15,AN15)=0,"",CHOOSE(uxbWorks!$B$7,AI15,AN15))</f>
        <v>Consisting of paved and unpaved network. Rural roads are included.</v>
      </c>
      <c r="S15" s="49">
        <v>0</v>
      </c>
      <c r="W15" s="56" t="str">
        <f t="shared" si="3"/>
        <v xml:space="preserve">  Road network</v>
      </c>
      <c r="X15" s="56" t="str">
        <f t="shared" si="0"/>
        <v>Road transportation</v>
      </c>
      <c r="Y15" s="56" t="str">
        <f t="shared" si="4"/>
        <v>ROAD TRANSPORTATION »</v>
      </c>
      <c r="AA15" s="54"/>
      <c r="AB15" s="54" t="s">
        <v>723</v>
      </c>
      <c r="AC15" s="55">
        <f>IF($D15=0,"",MATCH($F15,tblIndiDefs!$A$2:$A$89,0))</f>
        <v>12</v>
      </c>
      <c r="AE15" s="54" t="str">
        <f>IF($AC15="","",INDEX(tblIndiDefs!B$2:B$197,$AC15))</f>
        <v>Road network</v>
      </c>
      <c r="AF15" s="54" t="str">
        <f>IF($AC15="","",INDEX(tblIndiDefs!C$2:C$197,$AC15))</f>
        <v>km</v>
      </c>
      <c r="AG15" s="54" t="str">
        <f>IF($AC15="","",INDEX(tblIndiDefs!D$2:D$197,$AC15))</f>
        <v>Road transport</v>
      </c>
      <c r="AH15" s="54">
        <f>IF($AC15="","",INDEX(tblIndiDefs!E$2:E$197,$AC15))</f>
        <v>0</v>
      </c>
      <c r="AI15" s="54" t="str">
        <f>IF($AC15="","",INDEX(tblIndiDefs!F$2:F$197,$AC15))</f>
        <v>Consisting of paved and unpaved network. Rural roads are included.</v>
      </c>
      <c r="AJ15" s="54" t="str">
        <f>IF($AC15="","",INDEX(tblIndiDefs!G$2:G$197,$AC15))</f>
        <v>Red de carreteras</v>
      </c>
      <c r="AK15" s="54" t="str">
        <f>IF($AC15="","",INDEX(tblIndiDefs!H$2:H$197,$AC15))</f>
        <v>km</v>
      </c>
      <c r="AL15" s="54" t="str">
        <f>IF($AC15="","",INDEX(tblIndiDefs!I$2:I$197,$AC15))</f>
        <v>Transporte carretero</v>
      </c>
      <c r="AM15" s="54">
        <f>IF($AC15="","",INDEX(tblIndiDefs!J$2:J$197,$AC15))</f>
        <v>0</v>
      </c>
      <c r="AN15" s="54" t="str">
        <f>IF($AC15="","",INDEX(tblIndiDefs!K$2:K$197,$AC15))</f>
        <v>Constituida por red pavimentada y no pavimentada. Se incluyen los caminos rurales.</v>
      </c>
    </row>
    <row r="16" spans="1:40" x14ac:dyDescent="0.2">
      <c r="A16" s="49">
        <v>15</v>
      </c>
      <c r="B16" s="49" t="s">
        <v>61</v>
      </c>
      <c r="C16" s="49" t="s">
        <v>57</v>
      </c>
      <c r="D16" s="49">
        <v>1</v>
      </c>
      <c r="E16" s="49">
        <v>1</v>
      </c>
      <c r="F16" s="49">
        <v>13</v>
      </c>
      <c r="G16" s="49">
        <v>0</v>
      </c>
      <c r="N16" s="97">
        <v>1</v>
      </c>
      <c r="O16" s="55" t="str">
        <f>CHOOSE(uxbWorks!$B$7,AE16,AJ16)</f>
        <v>Freeways</v>
      </c>
      <c r="P16" s="55" t="str">
        <f>CHOOSE(uxbWorks!$B$7,AF16,AK16)</f>
        <v>km</v>
      </c>
      <c r="Q16" s="55" t="str">
        <f>CHOOSE(uxbWorks!$B$7,AG16,AL16)</f>
        <v>Road transport</v>
      </c>
      <c r="R16" s="55" t="str">
        <f>IF(CHOOSE(uxbWorks!$B$7,AI16,AN16)=0,"",CHOOSE(uxbWorks!$B$7,AI16,AN16))</f>
        <v>No standardized definition. Each country has a specific classification.</v>
      </c>
      <c r="S16" s="49">
        <v>0</v>
      </c>
      <c r="W16" s="56" t="str">
        <f t="shared" si="3"/>
        <v xml:space="preserve">  Freeways</v>
      </c>
      <c r="X16" s="56" t="str">
        <f t="shared" si="0"/>
        <v>Road transportation</v>
      </c>
      <c r="Y16" s="56" t="str">
        <f t="shared" si="4"/>
        <v>ROAD TRANSPORTATION »</v>
      </c>
      <c r="AA16" s="54"/>
      <c r="AB16" s="54" t="s">
        <v>62</v>
      </c>
      <c r="AC16" s="55">
        <f>IF($D16=0,"",MATCH($F16,tblIndiDefs!$A$2:$A$89,0))</f>
        <v>13</v>
      </c>
      <c r="AE16" s="54" t="str">
        <f>IF($AC16="","",INDEX(tblIndiDefs!B$2:B$197,$AC16))</f>
        <v>Freeways</v>
      </c>
      <c r="AF16" s="54" t="str">
        <f>IF($AC16="","",INDEX(tblIndiDefs!C$2:C$197,$AC16))</f>
        <v>km</v>
      </c>
      <c r="AG16" s="54" t="str">
        <f>IF($AC16="","",INDEX(tblIndiDefs!D$2:D$197,$AC16))</f>
        <v>Road transport</v>
      </c>
      <c r="AH16" s="54">
        <f>IF($AC16="","",INDEX(tblIndiDefs!E$2:E$197,$AC16))</f>
        <v>0</v>
      </c>
      <c r="AI16" s="54" t="str">
        <f>IF($AC16="","",INDEX(tblIndiDefs!F$2:F$197,$AC16))</f>
        <v>No standardized definition. Each country has a specific classification.</v>
      </c>
      <c r="AJ16" s="54" t="str">
        <f>IF($AC16="","",INDEX(tblIndiDefs!G$2:G$197,$AC16))</f>
        <v>Autopistas</v>
      </c>
      <c r="AK16" s="54" t="str">
        <f>IF($AC16="","",INDEX(tblIndiDefs!H$2:H$197,$AC16))</f>
        <v>km</v>
      </c>
      <c r="AL16" s="54" t="str">
        <f>IF($AC16="","",INDEX(tblIndiDefs!I$2:I$197,$AC16))</f>
        <v>Transporte carretero</v>
      </c>
      <c r="AM16" s="54">
        <f>IF($AC16="","",INDEX(tblIndiDefs!J$2:J$197,$AC16))</f>
        <v>0</v>
      </c>
      <c r="AN16" s="54" t="str">
        <f>IF($AC16="","",INDEX(tblIndiDefs!K$2:K$197,$AC16))</f>
        <v>Definición no estandarizada. Cada país dispone de una clasificación determinada.</v>
      </c>
    </row>
    <row r="17" spans="1:40" x14ac:dyDescent="0.2">
      <c r="A17" s="49">
        <v>16</v>
      </c>
      <c r="B17" s="49" t="s">
        <v>63</v>
      </c>
      <c r="C17" s="49" t="s">
        <v>57</v>
      </c>
      <c r="D17" s="49">
        <v>1</v>
      </c>
      <c r="E17" s="49">
        <v>1</v>
      </c>
      <c r="F17" s="49">
        <v>14</v>
      </c>
      <c r="G17" s="49">
        <v>0</v>
      </c>
      <c r="N17" s="49">
        <v>0</v>
      </c>
      <c r="O17" s="55" t="str">
        <f>CHOOSE(uxbWorks!$B$7,AE17,AJ17)</f>
        <v>Primary network</v>
      </c>
      <c r="P17" s="55" t="str">
        <f>CHOOSE(uxbWorks!$B$7,AF17,AK17)</f>
        <v>km</v>
      </c>
      <c r="Q17" s="55" t="str">
        <f>CHOOSE(uxbWorks!$B$7,AG17,AL17)</f>
        <v>Road transport</v>
      </c>
      <c r="R17" s="55" t="str">
        <f>IF(CHOOSE(uxbWorks!$B$7,AI17,AN17)=0,"",CHOOSE(uxbWorks!$B$7,AI17,AN17))</f>
        <v>No standardized definition. Each country has a specific classification.</v>
      </c>
      <c r="S17" s="49">
        <v>0</v>
      </c>
      <c r="W17" s="56" t="str">
        <f t="shared" si="3"/>
        <v xml:space="preserve">  Primary network</v>
      </c>
      <c r="X17" s="56" t="str">
        <f t="shared" si="0"/>
        <v>Road transportation</v>
      </c>
      <c r="Y17" s="56" t="str">
        <f t="shared" si="4"/>
        <v>ROAD TRANSPORTATION »</v>
      </c>
      <c r="AA17" s="54"/>
      <c r="AB17" s="54" t="s">
        <v>64</v>
      </c>
      <c r="AC17" s="55">
        <f>IF($D17=0,"",MATCH($F17,tblIndiDefs!$A$2:$A$89,0))</f>
        <v>14</v>
      </c>
      <c r="AE17" s="54" t="str">
        <f>IF($AC17="","",INDEX(tblIndiDefs!B$2:B$197,$AC17))</f>
        <v>Primary network</v>
      </c>
      <c r="AF17" s="54" t="str">
        <f>IF($AC17="","",INDEX(tblIndiDefs!C$2:C$197,$AC17))</f>
        <v>km</v>
      </c>
      <c r="AG17" s="54" t="str">
        <f>IF($AC17="","",INDEX(tblIndiDefs!D$2:D$197,$AC17))</f>
        <v>Road transport</v>
      </c>
      <c r="AH17" s="54">
        <f>IF($AC17="","",INDEX(tblIndiDefs!E$2:E$197,$AC17))</f>
        <v>0</v>
      </c>
      <c r="AI17" s="54" t="str">
        <f>IF($AC17="","",INDEX(tblIndiDefs!F$2:F$197,$AC17))</f>
        <v>No standardized definition. Each country has a specific classification.</v>
      </c>
      <c r="AJ17" s="54" t="str">
        <f>IF($AC17="","",INDEX(tblIndiDefs!G$2:G$197,$AC17))</f>
        <v>Red primaria</v>
      </c>
      <c r="AK17" s="54" t="str">
        <f>IF($AC17="","",INDEX(tblIndiDefs!H$2:H$197,$AC17))</f>
        <v>km</v>
      </c>
      <c r="AL17" s="54" t="str">
        <f>IF($AC17="","",INDEX(tblIndiDefs!I$2:I$197,$AC17))</f>
        <v>Transporte carretero</v>
      </c>
      <c r="AM17" s="54">
        <f>IF($AC17="","",INDEX(tblIndiDefs!J$2:J$197,$AC17))</f>
        <v>0</v>
      </c>
      <c r="AN17" s="54" t="str">
        <f>IF($AC17="","",INDEX(tblIndiDefs!K$2:K$197,$AC17))</f>
        <v>Definición no estandarizada. Cada país dispone de una clasificación determinada.</v>
      </c>
    </row>
    <row r="18" spans="1:40" x14ac:dyDescent="0.2">
      <c r="A18" s="49">
        <v>17</v>
      </c>
      <c r="B18" s="49" t="s">
        <v>65</v>
      </c>
      <c r="C18" s="49" t="s">
        <v>57</v>
      </c>
      <c r="D18" s="49">
        <v>1</v>
      </c>
      <c r="E18" s="49">
        <v>1</v>
      </c>
      <c r="F18" s="49">
        <v>15</v>
      </c>
      <c r="G18" s="49">
        <v>0</v>
      </c>
      <c r="N18" s="49">
        <v>0</v>
      </c>
      <c r="O18" s="55" t="str">
        <f>CHOOSE(uxbWorks!$B$7,AE18,AJ18)</f>
        <v>Secondary network</v>
      </c>
      <c r="P18" s="55" t="str">
        <f>CHOOSE(uxbWorks!$B$7,AF18,AK18)</f>
        <v>km</v>
      </c>
      <c r="Q18" s="55" t="str">
        <f>CHOOSE(uxbWorks!$B$7,AG18,AL18)</f>
        <v>Road transport</v>
      </c>
      <c r="R18" s="55" t="str">
        <f>IF(CHOOSE(uxbWorks!$B$7,AI18,AN18)=0,"",CHOOSE(uxbWorks!$B$7,AI18,AN18))</f>
        <v>No standardized definition. Each country has a specific classification.</v>
      </c>
      <c r="S18" s="49">
        <v>0</v>
      </c>
      <c r="W18" s="56" t="str">
        <f t="shared" si="3"/>
        <v xml:space="preserve">  Secondary network</v>
      </c>
      <c r="X18" s="56" t="str">
        <f t="shared" si="0"/>
        <v>Road transportation</v>
      </c>
      <c r="Y18" s="56" t="str">
        <f t="shared" si="4"/>
        <v>ROAD TRANSPORTATION »</v>
      </c>
      <c r="AA18" s="54"/>
      <c r="AB18" s="54" t="s">
        <v>66</v>
      </c>
      <c r="AC18" s="55">
        <f>IF($D18=0,"",MATCH($F18,tblIndiDefs!$A$2:$A$89,0))</f>
        <v>15</v>
      </c>
      <c r="AE18" s="54" t="str">
        <f>IF($AC18="","",INDEX(tblIndiDefs!B$2:B$197,$AC18))</f>
        <v>Secondary network</v>
      </c>
      <c r="AF18" s="54" t="str">
        <f>IF($AC18="","",INDEX(tblIndiDefs!C$2:C$197,$AC18))</f>
        <v>km</v>
      </c>
      <c r="AG18" s="54" t="str">
        <f>IF($AC18="","",INDEX(tblIndiDefs!D$2:D$197,$AC18))</f>
        <v>Road transport</v>
      </c>
      <c r="AH18" s="54">
        <f>IF($AC18="","",INDEX(tblIndiDefs!E$2:E$197,$AC18))</f>
        <v>0</v>
      </c>
      <c r="AI18" s="54" t="str">
        <f>IF($AC18="","",INDEX(tblIndiDefs!F$2:F$197,$AC18))</f>
        <v>No standardized definition. Each country has a specific classification.</v>
      </c>
      <c r="AJ18" s="54" t="str">
        <f>IF($AC18="","",INDEX(tblIndiDefs!G$2:G$197,$AC18))</f>
        <v>Red secundaria</v>
      </c>
      <c r="AK18" s="54" t="str">
        <f>IF($AC18="","",INDEX(tblIndiDefs!H$2:H$197,$AC18))</f>
        <v>km</v>
      </c>
      <c r="AL18" s="54" t="str">
        <f>IF($AC18="","",INDEX(tblIndiDefs!I$2:I$197,$AC18))</f>
        <v>Transporte carretero</v>
      </c>
      <c r="AM18" s="54">
        <f>IF($AC18="","",INDEX(tblIndiDefs!J$2:J$197,$AC18))</f>
        <v>0</v>
      </c>
      <c r="AN18" s="54" t="str">
        <f>IF($AC18="","",INDEX(tblIndiDefs!K$2:K$197,$AC18))</f>
        <v>Definición no estandarizada. Cada país dispone de una clasificación determinada.</v>
      </c>
    </row>
    <row r="19" spans="1:40" x14ac:dyDescent="0.2">
      <c r="A19" s="49">
        <v>18</v>
      </c>
      <c r="B19" s="49" t="s">
        <v>67</v>
      </c>
      <c r="C19" s="49" t="s">
        <v>57</v>
      </c>
      <c r="D19" s="49">
        <v>1</v>
      </c>
      <c r="E19" s="49">
        <v>1</v>
      </c>
      <c r="F19" s="49">
        <v>16</v>
      </c>
      <c r="G19" s="49">
        <v>0</v>
      </c>
      <c r="N19" s="49">
        <v>0</v>
      </c>
      <c r="O19" s="55" t="str">
        <f>CHOOSE(uxbWorks!$B$7,AE19,AJ19)</f>
        <v>Other networks</v>
      </c>
      <c r="P19" s="55" t="str">
        <f>CHOOSE(uxbWorks!$B$7,AF19,AK19)</f>
        <v>km</v>
      </c>
      <c r="Q19" s="55" t="str">
        <f>CHOOSE(uxbWorks!$B$7,AG19,AL19)</f>
        <v>Road transport</v>
      </c>
      <c r="R19" s="55" t="str">
        <f>IF(CHOOSE(uxbWorks!$B$7,AI19,AN19)=0,"",CHOOSE(uxbWorks!$B$7,AI19,AN19))</f>
        <v>No standardized definition. Each country has a specific classification.</v>
      </c>
      <c r="S19" s="49">
        <v>0</v>
      </c>
      <c r="W19" s="56" t="str">
        <f t="shared" si="3"/>
        <v xml:space="preserve">  Other networks</v>
      </c>
      <c r="X19" s="56" t="str">
        <f t="shared" si="0"/>
        <v>Road transportation</v>
      </c>
      <c r="Y19" s="56" t="str">
        <f t="shared" si="4"/>
        <v>ROAD TRANSPORTATION »</v>
      </c>
      <c r="AA19" s="54"/>
      <c r="AB19" s="54" t="s">
        <v>68</v>
      </c>
      <c r="AC19" s="55">
        <f>IF($D19=0,"",MATCH($F19,tblIndiDefs!$A$2:$A$89,0))</f>
        <v>16</v>
      </c>
      <c r="AE19" s="54" t="str">
        <f>IF($AC19="","",INDEX(tblIndiDefs!B$2:B$197,$AC19))</f>
        <v>Other networks</v>
      </c>
      <c r="AF19" s="54" t="str">
        <f>IF($AC19="","",INDEX(tblIndiDefs!C$2:C$197,$AC19))</f>
        <v>km</v>
      </c>
      <c r="AG19" s="54" t="str">
        <f>IF($AC19="","",INDEX(tblIndiDefs!D$2:D$197,$AC19))</f>
        <v>Road transport</v>
      </c>
      <c r="AH19" s="54">
        <f>IF($AC19="","",INDEX(tblIndiDefs!E$2:E$197,$AC19))</f>
        <v>0</v>
      </c>
      <c r="AI19" s="54" t="str">
        <f>IF($AC19="","",INDEX(tblIndiDefs!F$2:F$197,$AC19))</f>
        <v>No standardized definition. Each country has a specific classification.</v>
      </c>
      <c r="AJ19" s="54" t="str">
        <f>IF($AC19="","",INDEX(tblIndiDefs!G$2:G$197,$AC19))</f>
        <v>Otras redes</v>
      </c>
      <c r="AK19" s="54" t="str">
        <f>IF($AC19="","",INDEX(tblIndiDefs!H$2:H$197,$AC19))</f>
        <v>km</v>
      </c>
      <c r="AL19" s="54" t="str">
        <f>IF($AC19="","",INDEX(tblIndiDefs!I$2:I$197,$AC19))</f>
        <v>Transporte carretero</v>
      </c>
      <c r="AM19" s="54">
        <f>IF($AC19="","",INDEX(tblIndiDefs!J$2:J$197,$AC19))</f>
        <v>0</v>
      </c>
      <c r="AN19" s="54" t="str">
        <f>IF($AC19="","",INDEX(tblIndiDefs!K$2:K$197,$AC19))</f>
        <v>Definición no estandarizada. Cada país dispone de una clasificación determinada.</v>
      </c>
    </row>
    <row r="20" spans="1:40" x14ac:dyDescent="0.2">
      <c r="A20" s="49">
        <v>19</v>
      </c>
      <c r="B20" s="49" t="s">
        <v>69</v>
      </c>
      <c r="C20" s="49" t="s">
        <v>57</v>
      </c>
      <c r="D20" s="49">
        <v>1</v>
      </c>
      <c r="E20" s="49">
        <v>1</v>
      </c>
      <c r="F20" s="49">
        <v>17</v>
      </c>
      <c r="G20" s="49">
        <v>1</v>
      </c>
      <c r="N20" s="49">
        <v>0</v>
      </c>
      <c r="O20" s="55" t="str">
        <f>CHOOSE(uxbWorks!$B$7,AE20,AJ20)</f>
        <v>Paved network</v>
      </c>
      <c r="P20" s="55" t="str">
        <f>CHOOSE(uxbWorks!$B$7,AF20,AK20)</f>
        <v>% of total</v>
      </c>
      <c r="Q20" s="55" t="str">
        <f>CHOOSE(uxbWorks!$B$7,AG20,AL20)</f>
        <v>Road transport</v>
      </c>
      <c r="R20" s="55" t="str">
        <f>IF(CHOOSE(uxbWorks!$B$7,AI20,AN20)=0,"",CHOOSE(uxbWorks!$B$7,AI20,AN20))</f>
        <v>Percentage of paved road network relative to the total or primary network.</v>
      </c>
      <c r="S20" s="49">
        <v>0</v>
      </c>
      <c r="W20" s="56" t="str">
        <f t="shared" si="3"/>
        <v xml:space="preserve">  Paved network</v>
      </c>
      <c r="X20" s="56" t="str">
        <f t="shared" si="0"/>
        <v>Road transportation</v>
      </c>
      <c r="Y20" s="56" t="str">
        <f t="shared" si="4"/>
        <v>ROAD TRANSPORTATION »</v>
      </c>
      <c r="AA20" s="54"/>
      <c r="AB20" s="54" t="s">
        <v>724</v>
      </c>
      <c r="AC20" s="55">
        <f>IF($D20=0,"",MATCH($F20,tblIndiDefs!$A$2:$A$89,0))</f>
        <v>17</v>
      </c>
      <c r="AE20" s="54" t="str">
        <f>IF($AC20="","",INDEX(tblIndiDefs!B$2:B$197,$AC20))</f>
        <v>Paved network</v>
      </c>
      <c r="AF20" s="54" t="str">
        <f>IF($AC20="","",INDEX(tblIndiDefs!C$2:C$197,$AC20))</f>
        <v>% of total</v>
      </c>
      <c r="AG20" s="54" t="str">
        <f>IF($AC20="","",INDEX(tblIndiDefs!D$2:D$197,$AC20))</f>
        <v>Road transport</v>
      </c>
      <c r="AH20" s="54">
        <f>IF($AC20="","",INDEX(tblIndiDefs!E$2:E$197,$AC20))</f>
        <v>0</v>
      </c>
      <c r="AI20" s="54" t="str">
        <f>IF($AC20="","",INDEX(tblIndiDefs!F$2:F$197,$AC20))</f>
        <v>Percentage of paved road network relative to the total or primary network.</v>
      </c>
      <c r="AJ20" s="54" t="str">
        <f>IF($AC20="","",INDEX(tblIndiDefs!G$2:G$197,$AC20))</f>
        <v>Red pavimentada</v>
      </c>
      <c r="AK20" s="54" t="str">
        <f>IF($AC20="","",INDEX(tblIndiDefs!H$2:H$197,$AC20))</f>
        <v>% del total</v>
      </c>
      <c r="AL20" s="54" t="str">
        <f>IF($AC20="","",INDEX(tblIndiDefs!I$2:I$197,$AC20))</f>
        <v>Transporte carretero</v>
      </c>
      <c r="AM20" s="54">
        <f>IF($AC20="","",INDEX(tblIndiDefs!J$2:J$197,$AC20))</f>
        <v>0</v>
      </c>
      <c r="AN20" s="54" t="str">
        <f>IF($AC20="","",INDEX(tblIndiDefs!K$2:K$197,$AC20))</f>
        <v>Porcentaje de red pavimentada en relación la red total o a la red primaria.</v>
      </c>
    </row>
    <row r="21" spans="1:40" x14ac:dyDescent="0.2">
      <c r="A21" s="49">
        <v>20</v>
      </c>
      <c r="B21" s="49" t="s">
        <v>70</v>
      </c>
      <c r="C21" s="49" t="s">
        <v>57</v>
      </c>
      <c r="D21" s="49">
        <v>1</v>
      </c>
      <c r="E21" s="49">
        <v>1</v>
      </c>
      <c r="F21" s="49">
        <v>18</v>
      </c>
      <c r="G21" s="49">
        <v>0</v>
      </c>
      <c r="N21" s="49">
        <v>0</v>
      </c>
      <c r="O21" s="55" t="str">
        <f>CHOOSE(uxbWorks!$B$7,AE21,AJ21)</f>
        <v>Heavy vehicles</v>
      </c>
      <c r="P21" s="55" t="str">
        <f>CHOOSE(uxbWorks!$B$7,AF21,AK21)</f>
        <v># vehicles</v>
      </c>
      <c r="Q21" s="55" t="str">
        <f>CHOOSE(uxbWorks!$B$7,AG21,AL21)</f>
        <v>Road transport</v>
      </c>
      <c r="R21" s="55" t="str">
        <f>IF(CHOOSE(uxbWorks!$B$7,AI21,AN21)=0,"",CHOOSE(uxbWorks!$B$7,AI21,AN21))</f>
        <v>Number of vehicles used to carry freight.</v>
      </c>
      <c r="S21" s="49">
        <v>0</v>
      </c>
      <c r="W21" s="56" t="str">
        <f t="shared" si="3"/>
        <v xml:space="preserve">  Heavy vehicles</v>
      </c>
      <c r="X21" s="56" t="str">
        <f t="shared" si="0"/>
        <v>Road transportation</v>
      </c>
      <c r="Y21" s="56" t="str">
        <f t="shared" si="4"/>
        <v>ROAD TRANSPORTATION »</v>
      </c>
      <c r="AA21" s="54"/>
      <c r="AB21" s="54" t="s">
        <v>725</v>
      </c>
      <c r="AC21" s="55">
        <f>IF($D21=0,"",MATCH($F21,tblIndiDefs!$A$2:$A$89,0))</f>
        <v>18</v>
      </c>
      <c r="AE21" s="54" t="str">
        <f>IF($AC21="","",INDEX(tblIndiDefs!B$2:B$197,$AC21))</f>
        <v>Heavy vehicles</v>
      </c>
      <c r="AF21" s="54" t="str">
        <f>IF($AC21="","",INDEX(tblIndiDefs!C$2:C$197,$AC21))</f>
        <v># vehicles</v>
      </c>
      <c r="AG21" s="54" t="str">
        <f>IF($AC21="","",INDEX(tblIndiDefs!D$2:D$197,$AC21))</f>
        <v>Road transport</v>
      </c>
      <c r="AH21" s="54">
        <f>IF($AC21="","",INDEX(tblIndiDefs!E$2:E$197,$AC21))</f>
        <v>0</v>
      </c>
      <c r="AI21" s="54" t="str">
        <f>IF($AC21="","",INDEX(tblIndiDefs!F$2:F$197,$AC21))</f>
        <v>Number of vehicles used to carry freight.</v>
      </c>
      <c r="AJ21" s="54" t="str">
        <f>IF($AC21="","",INDEX(tblIndiDefs!G$2:G$197,$AC21))</f>
        <v>Vehículos pesados</v>
      </c>
      <c r="AK21" s="54" t="str">
        <f>IF($AC21="","",INDEX(tblIndiDefs!H$2:H$197,$AC21))</f>
        <v># vehículos</v>
      </c>
      <c r="AL21" s="54" t="str">
        <f>IF($AC21="","",INDEX(tblIndiDefs!I$2:I$197,$AC21))</f>
        <v>Transporte carretero</v>
      </c>
      <c r="AM21" s="54">
        <f>IF($AC21="","",INDEX(tblIndiDefs!J$2:J$197,$AC21))</f>
        <v>0</v>
      </c>
      <c r="AN21" s="54" t="str">
        <f>IF($AC21="","",INDEX(tblIndiDefs!K$2:K$197,$AC21))</f>
        <v>Número de vehículos utilizados para transporte de carga.</v>
      </c>
    </row>
    <row r="22" spans="1:40" x14ac:dyDescent="0.2">
      <c r="A22" s="49">
        <v>21</v>
      </c>
      <c r="B22" s="49" t="s">
        <v>71</v>
      </c>
      <c r="C22" s="49" t="s">
        <v>57</v>
      </c>
      <c r="D22" s="49">
        <v>1</v>
      </c>
      <c r="E22" s="49">
        <v>1</v>
      </c>
      <c r="F22" s="49">
        <v>19</v>
      </c>
      <c r="G22" s="49">
        <v>0</v>
      </c>
      <c r="N22" s="49">
        <v>0</v>
      </c>
      <c r="O22" s="55" t="str">
        <f>CHOOSE(uxbWorks!$B$7,AE22,AJ22)</f>
        <v>Light trucks under 3.5 ton</v>
      </c>
      <c r="P22" s="55" t="str">
        <f>CHOOSE(uxbWorks!$B$7,AF22,AK22)</f>
        <v># vehicles</v>
      </c>
      <c r="Q22" s="55" t="str">
        <f>CHOOSE(uxbWorks!$B$7,AG22,AL22)</f>
        <v>Road transport</v>
      </c>
      <c r="R22" s="55" t="str">
        <f>IF(CHOOSE(uxbWorks!$B$7,AI22,AN22)=0,"",CHOOSE(uxbWorks!$B$7,AI22,AN22))</f>
        <v>Number of light trucks under 3.5 ton</v>
      </c>
      <c r="S22" s="49">
        <v>0</v>
      </c>
      <c r="W22" s="56" t="str">
        <f t="shared" si="3"/>
        <v xml:space="preserve">  Light trucks under 3.5 ton</v>
      </c>
      <c r="X22" s="56" t="str">
        <f t="shared" si="0"/>
        <v>Road transportation</v>
      </c>
      <c r="Y22" s="56" t="str">
        <f t="shared" si="4"/>
        <v>ROAD TRANSPORTATION »</v>
      </c>
      <c r="AA22" s="54"/>
      <c r="AB22" s="54" t="s">
        <v>726</v>
      </c>
      <c r="AC22" s="55">
        <f>IF($D22=0,"",MATCH($F22,tblIndiDefs!$A$2:$A$89,0))</f>
        <v>19</v>
      </c>
      <c r="AE22" s="54" t="str">
        <f>IF($AC22="","",INDEX(tblIndiDefs!B$2:B$197,$AC22))</f>
        <v>Light trucks under 3.5 ton</v>
      </c>
      <c r="AF22" s="54" t="str">
        <f>IF($AC22="","",INDEX(tblIndiDefs!C$2:C$197,$AC22))</f>
        <v># vehicles</v>
      </c>
      <c r="AG22" s="54" t="str">
        <f>IF($AC22="","",INDEX(tblIndiDefs!D$2:D$197,$AC22))</f>
        <v>Road transport</v>
      </c>
      <c r="AH22" s="54">
        <f>IF($AC22="","",INDEX(tblIndiDefs!E$2:E$197,$AC22))</f>
        <v>0</v>
      </c>
      <c r="AI22" s="54" t="str">
        <f>IF($AC22="","",INDEX(tblIndiDefs!F$2:F$197,$AC22))</f>
        <v>Number of light trucks under 3.5 ton</v>
      </c>
      <c r="AJ22" s="54" t="str">
        <f>IF($AC22="","",INDEX(tblIndiDefs!G$2:G$197,$AC22))</f>
        <v>Camiones de menos de 3.5t</v>
      </c>
      <c r="AK22" s="54" t="str">
        <f>IF($AC22="","",INDEX(tblIndiDefs!H$2:H$197,$AC22))</f>
        <v># vehículos</v>
      </c>
      <c r="AL22" s="54" t="str">
        <f>IF($AC22="","",INDEX(tblIndiDefs!I$2:I$197,$AC22))</f>
        <v>Transporte carretero</v>
      </c>
      <c r="AM22" s="54">
        <f>IF($AC22="","",INDEX(tblIndiDefs!J$2:J$197,$AC22))</f>
        <v>0</v>
      </c>
      <c r="AN22" s="54" t="str">
        <f>IF($AC22="","",INDEX(tblIndiDefs!K$2:K$197,$AC22))</f>
        <v>Número de camiones de menos de 3.5 tonetalas</v>
      </c>
    </row>
    <row r="23" spans="1:40" x14ac:dyDescent="0.2">
      <c r="A23" s="49">
        <v>22</v>
      </c>
      <c r="B23" s="49" t="s">
        <v>72</v>
      </c>
      <c r="C23" s="49" t="s">
        <v>57</v>
      </c>
      <c r="D23" s="49">
        <v>1</v>
      </c>
      <c r="E23" s="49">
        <v>1</v>
      </c>
      <c r="F23" s="49">
        <v>20</v>
      </c>
      <c r="G23" s="49">
        <v>0</v>
      </c>
      <c r="N23" s="49">
        <v>0</v>
      </c>
      <c r="O23" s="55" t="str">
        <f>CHOOSE(uxbWorks!$B$7,AE23,AJ23)</f>
        <v>Heavy trucks over 3.5 ton</v>
      </c>
      <c r="P23" s="55" t="str">
        <f>CHOOSE(uxbWorks!$B$7,AF23,AK23)</f>
        <v># vehicles</v>
      </c>
      <c r="Q23" s="55" t="str">
        <f>CHOOSE(uxbWorks!$B$7,AG23,AL23)</f>
        <v>Road transport</v>
      </c>
      <c r="R23" s="55" t="str">
        <f>IF(CHOOSE(uxbWorks!$B$7,AI23,AN23)=0,"",CHOOSE(uxbWorks!$B$7,AI23,AN23))</f>
        <v>Number of light trucks over 3.5 ton</v>
      </c>
      <c r="S23" s="49">
        <v>0</v>
      </c>
      <c r="W23" s="56" t="str">
        <f t="shared" si="3"/>
        <v xml:space="preserve">  Heavy trucks over 3.5 ton</v>
      </c>
      <c r="X23" s="56" t="str">
        <f t="shared" si="0"/>
        <v>Road transportation</v>
      </c>
      <c r="Y23" s="56" t="str">
        <f t="shared" si="4"/>
        <v>ROAD TRANSPORTATION »</v>
      </c>
      <c r="AA23" s="54"/>
      <c r="AB23" s="54" t="s">
        <v>727</v>
      </c>
      <c r="AC23" s="55">
        <f>IF($D23=0,"",MATCH($F23,tblIndiDefs!$A$2:$A$89,0))</f>
        <v>20</v>
      </c>
      <c r="AE23" s="54" t="str">
        <f>IF($AC23="","",INDEX(tblIndiDefs!B$2:B$197,$AC23))</f>
        <v>Heavy trucks over 3.5 ton</v>
      </c>
      <c r="AF23" s="54" t="str">
        <f>IF($AC23="","",INDEX(tblIndiDefs!C$2:C$197,$AC23))</f>
        <v># vehicles</v>
      </c>
      <c r="AG23" s="54" t="str">
        <f>IF($AC23="","",INDEX(tblIndiDefs!D$2:D$197,$AC23))</f>
        <v>Road transport</v>
      </c>
      <c r="AH23" s="54">
        <f>IF($AC23="","",INDEX(tblIndiDefs!E$2:E$197,$AC23))</f>
        <v>0</v>
      </c>
      <c r="AI23" s="54" t="str">
        <f>IF($AC23="","",INDEX(tblIndiDefs!F$2:F$197,$AC23))</f>
        <v>Number of light trucks over 3.5 ton</v>
      </c>
      <c r="AJ23" s="54" t="str">
        <f>IF($AC23="","",INDEX(tblIndiDefs!G$2:G$197,$AC23))</f>
        <v>Camiones de más de 3.5 ton</v>
      </c>
      <c r="AK23" s="54" t="str">
        <f>IF($AC23="","",INDEX(tblIndiDefs!H$2:H$197,$AC23))</f>
        <v># vehículos</v>
      </c>
      <c r="AL23" s="54" t="str">
        <f>IF($AC23="","",INDEX(tblIndiDefs!I$2:I$197,$AC23))</f>
        <v>Transporte carretero</v>
      </c>
      <c r="AM23" s="54">
        <f>IF($AC23="","",INDEX(tblIndiDefs!J$2:J$197,$AC23))</f>
        <v>0</v>
      </c>
      <c r="AN23" s="54" t="str">
        <f>IF($AC23="","",INDEX(tblIndiDefs!K$2:K$197,$AC23))</f>
        <v>Número de camiones de mas de 3.5 tonetalas</v>
      </c>
    </row>
    <row r="24" spans="1:40" x14ac:dyDescent="0.2">
      <c r="A24" s="49">
        <v>23</v>
      </c>
      <c r="B24" s="49" t="s">
        <v>74</v>
      </c>
      <c r="C24" s="49" t="s">
        <v>57</v>
      </c>
      <c r="D24" s="49">
        <v>1</v>
      </c>
      <c r="E24" s="49">
        <v>1</v>
      </c>
      <c r="F24" s="49">
        <v>22</v>
      </c>
      <c r="G24" s="49">
        <v>1</v>
      </c>
      <c r="N24" s="49">
        <v>0</v>
      </c>
      <c r="O24" s="55" t="str">
        <f>CHOOSE(uxbWorks!$B$7,AE24,AJ24)</f>
        <v>Fleet average age</v>
      </c>
      <c r="P24" s="55" t="str">
        <f>CHOOSE(uxbWorks!$B$7,AF24,AK24)</f>
        <v>years</v>
      </c>
      <c r="Q24" s="55" t="str">
        <f>CHOOSE(uxbWorks!$B$7,AG24,AL24)</f>
        <v>Road transport</v>
      </c>
      <c r="R24" s="55" t="str">
        <f>IF(CHOOSE(uxbWorks!$B$7,AI24,AN24)=0,"",CHOOSE(uxbWorks!$B$7,AI24,AN24))</f>
        <v>Average number of years of the active truck fleet in the country.</v>
      </c>
      <c r="S24" s="49">
        <v>0</v>
      </c>
      <c r="W24" s="56" t="str">
        <f t="shared" si="3"/>
        <v xml:space="preserve">  Fleet average age</v>
      </c>
      <c r="X24" s="56" t="str">
        <f t="shared" si="0"/>
        <v>Road transportation</v>
      </c>
      <c r="Y24" s="56" t="str">
        <f t="shared" si="4"/>
        <v>ROAD TRANSPORTATION »</v>
      </c>
      <c r="AA24" s="54"/>
      <c r="AB24" s="54" t="s">
        <v>75</v>
      </c>
      <c r="AC24" s="55">
        <f>IF($D24=0,"",MATCH($F24,tblIndiDefs!$A$2:$A$89,0))</f>
        <v>21</v>
      </c>
      <c r="AE24" s="54" t="str">
        <f>IF($AC24="","",INDEX(tblIndiDefs!B$2:B$197,$AC24))</f>
        <v>Fleet average age</v>
      </c>
      <c r="AF24" s="54" t="str">
        <f>IF($AC24="","",INDEX(tblIndiDefs!C$2:C$197,$AC24))</f>
        <v>years</v>
      </c>
      <c r="AG24" s="54" t="str">
        <f>IF($AC24="","",INDEX(tblIndiDefs!D$2:D$197,$AC24))</f>
        <v>Road transport</v>
      </c>
      <c r="AH24" s="54">
        <f>IF($AC24="","",INDEX(tblIndiDefs!E$2:E$197,$AC24))</f>
        <v>0</v>
      </c>
      <c r="AI24" s="54" t="str">
        <f>IF($AC24="","",INDEX(tblIndiDefs!F$2:F$197,$AC24))</f>
        <v>Average number of years of the active truck fleet in the country.</v>
      </c>
      <c r="AJ24" s="54" t="str">
        <f>IF($AC24="","",INDEX(tblIndiDefs!G$2:G$197,$AC24))</f>
        <v>Edad promedio de la flota</v>
      </c>
      <c r="AK24" s="54" t="str">
        <f>IF($AC24="","",INDEX(tblIndiDefs!H$2:H$197,$AC24))</f>
        <v>años</v>
      </c>
      <c r="AL24" s="54" t="str">
        <f>IF($AC24="","",INDEX(tblIndiDefs!I$2:I$197,$AC24))</f>
        <v>Transporte carretero</v>
      </c>
      <c r="AM24" s="54">
        <f>IF($AC24="","",INDEX(tblIndiDefs!J$2:J$197,$AC24))</f>
        <v>0</v>
      </c>
      <c r="AN24" s="54" t="str">
        <f>IF($AC24="","",INDEX(tblIndiDefs!K$2:K$197,$AC24))</f>
        <v>Número de años promedio de la flota de vehículos de carga activos en el país.</v>
      </c>
    </row>
    <row r="25" spans="1:40" x14ac:dyDescent="0.2">
      <c r="A25" s="49">
        <v>24</v>
      </c>
      <c r="B25" s="49" t="s">
        <v>76</v>
      </c>
      <c r="C25" s="49" t="s">
        <v>57</v>
      </c>
      <c r="D25" s="49">
        <v>1</v>
      </c>
      <c r="E25" s="49">
        <v>1</v>
      </c>
      <c r="F25" s="49">
        <v>23</v>
      </c>
      <c r="G25" s="49">
        <v>0</v>
      </c>
      <c r="N25" s="49">
        <v>0</v>
      </c>
      <c r="O25" s="55" t="str">
        <f>CHOOSE(uxbWorks!$B$7,AE25,AJ25)</f>
        <v>Number of trailers</v>
      </c>
      <c r="P25" s="55" t="str">
        <f>CHOOSE(uxbWorks!$B$7,AF25,AK25)</f>
        <v>#</v>
      </c>
      <c r="Q25" s="55" t="str">
        <f>CHOOSE(uxbWorks!$B$7,AG25,AL25)</f>
        <v>Road transport</v>
      </c>
      <c r="R25" s="55" t="str">
        <f>IF(CHOOSE(uxbWorks!$B$7,AI25,AN25)=0,"",CHOOSE(uxbWorks!$B$7,AI25,AN25))</f>
        <v>Number of total trailers</v>
      </c>
      <c r="S25" s="49">
        <v>0</v>
      </c>
      <c r="W25" s="56" t="str">
        <f t="shared" si="3"/>
        <v xml:space="preserve">  Number of trailers</v>
      </c>
      <c r="X25" s="56" t="str">
        <f t="shared" si="0"/>
        <v>Road transportation</v>
      </c>
      <c r="Y25" s="56" t="str">
        <f t="shared" si="4"/>
        <v>ROAD TRANSPORTATION »</v>
      </c>
      <c r="AA25" s="54"/>
      <c r="AB25" s="54" t="s">
        <v>77</v>
      </c>
      <c r="AC25" s="55">
        <f>IF($D25=0,"",MATCH($F25,tblIndiDefs!$A$2:$A$89,0))</f>
        <v>22</v>
      </c>
      <c r="AE25" s="54" t="str">
        <f>IF($AC25="","",INDEX(tblIndiDefs!B$2:B$197,$AC25))</f>
        <v>Number of trailers</v>
      </c>
      <c r="AF25" s="54" t="str">
        <f>IF($AC25="","",INDEX(tblIndiDefs!C$2:C$197,$AC25))</f>
        <v>#</v>
      </c>
      <c r="AG25" s="54" t="str">
        <f>IF($AC25="","",INDEX(tblIndiDefs!D$2:D$197,$AC25))</f>
        <v>Road transport</v>
      </c>
      <c r="AH25" s="54">
        <f>IF($AC25="","",INDEX(tblIndiDefs!E$2:E$197,$AC25))</f>
        <v>0</v>
      </c>
      <c r="AI25" s="54" t="str">
        <f>IF($AC25="","",INDEX(tblIndiDefs!F$2:F$197,$AC25))</f>
        <v>Number of total trailers</v>
      </c>
      <c r="AJ25" s="54" t="str">
        <f>IF($AC25="","",INDEX(tblIndiDefs!G$2:G$197,$AC25))</f>
        <v>Número de acoplados</v>
      </c>
      <c r="AK25" s="54" t="str">
        <f>IF($AC25="","",INDEX(tblIndiDefs!H$2:H$197,$AC25))</f>
        <v>#</v>
      </c>
      <c r="AL25" s="54" t="str">
        <f>IF($AC25="","",INDEX(tblIndiDefs!I$2:I$197,$AC25))</f>
        <v>Transporte carretero</v>
      </c>
      <c r="AM25" s="54">
        <f>IF($AC25="","",INDEX(tblIndiDefs!J$2:J$197,$AC25))</f>
        <v>0</v>
      </c>
      <c r="AN25" s="54" t="str">
        <f>IF($AC25="","",INDEX(tblIndiDefs!K$2:K$197,$AC25))</f>
        <v>Número total de acoplados</v>
      </c>
    </row>
    <row r="26" spans="1:40" x14ac:dyDescent="0.2">
      <c r="A26" s="49">
        <v>25</v>
      </c>
      <c r="B26" s="49" t="s">
        <v>78</v>
      </c>
      <c r="C26" s="49" t="s">
        <v>57</v>
      </c>
      <c r="D26" s="49">
        <v>1</v>
      </c>
      <c r="E26" s="49">
        <v>1</v>
      </c>
      <c r="F26" s="49">
        <v>24</v>
      </c>
      <c r="G26" s="49">
        <v>0</v>
      </c>
      <c r="N26" s="49">
        <v>0</v>
      </c>
      <c r="O26" s="55" t="str">
        <f>CHOOSE(uxbWorks!$B$7,AE26,AJ26)</f>
        <v>Total vehicles</v>
      </c>
      <c r="P26" s="55" t="str">
        <f>CHOOSE(uxbWorks!$B$7,AF26,AK26)</f>
        <v># vehicles</v>
      </c>
      <c r="Q26" s="55" t="str">
        <f>CHOOSE(uxbWorks!$B$7,AG26,AL26)</f>
        <v>Road transport</v>
      </c>
      <c r="R26" s="55" t="str">
        <f>IF(CHOOSE(uxbWorks!$B$7,AI26,AN26)=0,"",CHOOSE(uxbWorks!$B$7,AI26,AN26))</f>
        <v>Number of total vehicles</v>
      </c>
      <c r="S26" s="49">
        <v>0</v>
      </c>
      <c r="W26" s="56" t="str">
        <f t="shared" si="3"/>
        <v xml:space="preserve">  Total vehicles</v>
      </c>
      <c r="X26" s="56" t="str">
        <f t="shared" si="0"/>
        <v>Road transportation</v>
      </c>
      <c r="Y26" s="56" t="str">
        <f t="shared" si="4"/>
        <v>ROAD TRANSPORTATION »</v>
      </c>
      <c r="AA26" s="54"/>
      <c r="AB26" s="54" t="s">
        <v>79</v>
      </c>
      <c r="AC26" s="55">
        <f>IF($D26=0,"",MATCH($F26,tblIndiDefs!$A$2:$A$89,0))</f>
        <v>23</v>
      </c>
      <c r="AE26" s="54" t="str">
        <f>IF($AC26="","",INDEX(tblIndiDefs!B$2:B$197,$AC26))</f>
        <v>Total vehicles</v>
      </c>
      <c r="AF26" s="54" t="str">
        <f>IF($AC26="","",INDEX(tblIndiDefs!C$2:C$197,$AC26))</f>
        <v># vehicles</v>
      </c>
      <c r="AG26" s="54" t="str">
        <f>IF($AC26="","",INDEX(tblIndiDefs!D$2:D$197,$AC26))</f>
        <v>Road transport</v>
      </c>
      <c r="AH26" s="54">
        <f>IF($AC26="","",INDEX(tblIndiDefs!E$2:E$197,$AC26))</f>
        <v>0</v>
      </c>
      <c r="AI26" s="54" t="str">
        <f>IF($AC26="","",INDEX(tblIndiDefs!F$2:F$197,$AC26))</f>
        <v>Number of total vehicles</v>
      </c>
      <c r="AJ26" s="54" t="str">
        <f>IF($AC26="","",INDEX(tblIndiDefs!G$2:G$197,$AC26))</f>
        <v>Vehículos totales</v>
      </c>
      <c r="AK26" s="54" t="str">
        <f>IF($AC26="","",INDEX(tblIndiDefs!H$2:H$197,$AC26))</f>
        <v>#  vehículos</v>
      </c>
      <c r="AL26" s="54" t="str">
        <f>IF($AC26="","",INDEX(tblIndiDefs!I$2:I$197,$AC26))</f>
        <v>Transporte carretero</v>
      </c>
      <c r="AM26" s="54">
        <f>IF($AC26="","",INDEX(tblIndiDefs!J$2:J$197,$AC26))</f>
        <v>0</v>
      </c>
      <c r="AN26" s="54" t="str">
        <f>IF($AC26="","",INDEX(tblIndiDefs!K$2:K$197,$AC26))</f>
        <v>Número de vehículos totales</v>
      </c>
    </row>
    <row r="27" spans="1:40" x14ac:dyDescent="0.2">
      <c r="A27" s="49">
        <v>26</v>
      </c>
      <c r="B27" s="49" t="s">
        <v>80</v>
      </c>
      <c r="C27" s="49" t="s">
        <v>57</v>
      </c>
      <c r="D27" s="49">
        <v>1</v>
      </c>
      <c r="E27" s="49">
        <v>1</v>
      </c>
      <c r="F27" s="49">
        <v>25</v>
      </c>
      <c r="G27" s="49">
        <v>0</v>
      </c>
      <c r="N27" s="49">
        <v>0</v>
      </c>
      <c r="O27" s="55" t="str">
        <f>CHOOSE(uxbWorks!$B$7,AE27,AJ27)</f>
        <v>Number of motor carrier operators</v>
      </c>
      <c r="P27" s="55" t="str">
        <f>CHOOSE(uxbWorks!$B$7,AF27,AK27)</f>
        <v># operators</v>
      </c>
      <c r="Q27" s="55" t="str">
        <f>CHOOSE(uxbWorks!$B$7,AG27,AL27)</f>
        <v>Road transport</v>
      </c>
      <c r="R27" s="55" t="str">
        <f>IF(CHOOSE(uxbWorks!$B$7,AI27,AN27)=0,"",CHOOSE(uxbWorks!$B$7,AI27,AN27))</f>
        <v>Number of motor carrier operators</v>
      </c>
      <c r="S27" s="49">
        <v>0</v>
      </c>
      <c r="W27" s="56" t="str">
        <f t="shared" si="3"/>
        <v xml:space="preserve">  Number of motor carrier operators</v>
      </c>
      <c r="X27" s="56" t="str">
        <f t="shared" si="0"/>
        <v>Road transportation</v>
      </c>
      <c r="Y27" s="56" t="str">
        <f t="shared" si="4"/>
        <v>ROAD TRANSPORTATION »</v>
      </c>
      <c r="AA27" s="61"/>
      <c r="AB27" s="61" t="s">
        <v>81</v>
      </c>
      <c r="AC27" s="55">
        <f>IF($D27=0,"",MATCH($F27,tblIndiDefs!$A$2:$A$89,0))</f>
        <v>24</v>
      </c>
      <c r="AE27" s="61" t="str">
        <f>IF($AC27="","",INDEX(tblIndiDefs!B$2:B$197,$AC27))</f>
        <v>Number of motor carrier operators</v>
      </c>
      <c r="AF27" s="61" t="str">
        <f>IF($AC27="","",INDEX(tblIndiDefs!C$2:C$197,$AC27))</f>
        <v># operators</v>
      </c>
      <c r="AG27" s="61" t="str">
        <f>IF($AC27="","",INDEX(tblIndiDefs!D$2:D$197,$AC27))</f>
        <v>Road transport</v>
      </c>
      <c r="AH27" s="61">
        <f>IF($AC27="","",INDEX(tblIndiDefs!E$2:E$197,$AC27))</f>
        <v>0</v>
      </c>
      <c r="AI27" s="61" t="str">
        <f>IF($AC27="","",INDEX(tblIndiDefs!F$2:F$197,$AC27))</f>
        <v>Number of motor carrier operators</v>
      </c>
      <c r="AJ27" s="54" t="str">
        <f>IF($AC27="","",INDEX(tblIndiDefs!G$2:G$197,$AC27))</f>
        <v>Nº de empresas transporte carretero</v>
      </c>
      <c r="AK27" s="54" t="str">
        <f>IF($AC27="","",INDEX(tblIndiDefs!H$2:H$197,$AC27))</f>
        <v># empresas</v>
      </c>
      <c r="AL27" s="54" t="str">
        <f>IF($AC27="","",INDEX(tblIndiDefs!I$2:I$197,$AC27))</f>
        <v>Transporte carretero</v>
      </c>
      <c r="AM27" s="54">
        <f>IF($AC27="","",INDEX(tblIndiDefs!J$2:J$197,$AC27))</f>
        <v>0</v>
      </c>
      <c r="AN27" s="54" t="str">
        <f>IF($AC27="","",INDEX(tblIndiDefs!K$2:K$197,$AC27))</f>
        <v>Número de empresas de transporte automotor de carga</v>
      </c>
    </row>
    <row r="28" spans="1:40" x14ac:dyDescent="0.2">
      <c r="A28" s="49">
        <v>27</v>
      </c>
      <c r="B28" s="49" t="s">
        <v>82</v>
      </c>
      <c r="C28" s="49" t="s">
        <v>57</v>
      </c>
      <c r="D28" s="49">
        <v>1</v>
      </c>
      <c r="E28" s="49">
        <v>1</v>
      </c>
      <c r="F28" s="49">
        <v>26</v>
      </c>
      <c r="G28" s="49">
        <v>0</v>
      </c>
      <c r="N28" s="49">
        <v>0</v>
      </c>
      <c r="O28" s="55" t="str">
        <f>CHOOSE(uxbWorks!$B$7,AE28,AJ28)</f>
        <v>Motor carrier operators with 1-2 units</v>
      </c>
      <c r="P28" s="55" t="str">
        <f>CHOOSE(uxbWorks!$B$7,AF28,AK28)</f>
        <v># operators</v>
      </c>
      <c r="Q28" s="55" t="str">
        <f>CHOOSE(uxbWorks!$B$7,AG28,AL28)</f>
        <v>Road transport</v>
      </c>
      <c r="R28" s="55" t="str">
        <f>IF(CHOOSE(uxbWorks!$B$7,AI28,AN28)=0,"",CHOOSE(uxbWorks!$B$7,AI28,AN28))</f>
        <v>Number of motor carrier operators with 1 or 2 units</v>
      </c>
      <c r="S28" s="49">
        <v>0</v>
      </c>
      <c r="W28" s="56" t="str">
        <f t="shared" si="3"/>
        <v xml:space="preserve">  Motor carrier operators with 1-2 units</v>
      </c>
      <c r="X28" s="56" t="str">
        <f t="shared" si="0"/>
        <v>Road transportation</v>
      </c>
      <c r="Y28" s="56" t="str">
        <f t="shared" si="4"/>
        <v>ROAD TRANSPORTATION »</v>
      </c>
      <c r="AA28" s="54"/>
      <c r="AB28" s="54" t="s">
        <v>83</v>
      </c>
      <c r="AC28" s="55">
        <f>IF($D28=0,"",MATCH($F28,tblIndiDefs!$A$2:$A$89,0))</f>
        <v>25</v>
      </c>
      <c r="AE28" s="54" t="str">
        <f>IF($AC28="","",INDEX(tblIndiDefs!B$2:B$197,$AC28))</f>
        <v>Motor carrier operators with 1-2 units</v>
      </c>
      <c r="AF28" s="54" t="str">
        <f>IF($AC28="","",INDEX(tblIndiDefs!C$2:C$197,$AC28))</f>
        <v># operators</v>
      </c>
      <c r="AG28" s="54" t="str">
        <f>IF($AC28="","",INDEX(tblIndiDefs!D$2:D$197,$AC28))</f>
        <v>Road transport</v>
      </c>
      <c r="AH28" s="54">
        <f>IF($AC28="","",INDEX(tblIndiDefs!E$2:E$197,$AC28))</f>
        <v>0</v>
      </c>
      <c r="AI28" s="54" t="str">
        <f>IF($AC28="","",INDEX(tblIndiDefs!F$2:F$197,$AC28))</f>
        <v>Number of motor carrier operators with 1 or 2 units</v>
      </c>
      <c r="AJ28" s="54" t="str">
        <f>IF($AC28="","",INDEX(tblIndiDefs!G$2:G$197,$AC28))</f>
        <v>Empresas con 1 o 2 vehículos</v>
      </c>
      <c r="AK28" s="54" t="str">
        <f>IF($AC28="","",INDEX(tblIndiDefs!H$2:H$197,$AC28))</f>
        <v># empresas</v>
      </c>
      <c r="AL28" s="54" t="str">
        <f>IF($AC28="","",INDEX(tblIndiDefs!I$2:I$197,$AC28))</f>
        <v>Transporte carretero</v>
      </c>
      <c r="AM28" s="54">
        <f>IF($AC28="","",INDEX(tblIndiDefs!J$2:J$197,$AC28))</f>
        <v>0</v>
      </c>
      <c r="AN28" s="54" t="str">
        <f>IF($AC28="","",INDEX(tblIndiDefs!K$2:K$197,$AC28))</f>
        <v>Número de empresas con 1 o 2 vehículos</v>
      </c>
    </row>
    <row r="29" spans="1:40" x14ac:dyDescent="0.2">
      <c r="A29" s="49">
        <v>28</v>
      </c>
      <c r="B29" s="49" t="s">
        <v>324</v>
      </c>
      <c r="C29" s="49" t="s">
        <v>57</v>
      </c>
      <c r="D29" s="49">
        <v>1</v>
      </c>
      <c r="E29" s="49">
        <v>1</v>
      </c>
      <c r="F29" s="49">
        <v>27</v>
      </c>
      <c r="G29" s="49">
        <v>1</v>
      </c>
      <c r="N29" s="49">
        <v>0</v>
      </c>
      <c r="O29" s="55" t="str">
        <f>CHOOSE(uxbWorks!$B$7,AE29,AJ29)</f>
        <v>Average number of vehicles per operator</v>
      </c>
      <c r="P29" s="55" t="str">
        <f>CHOOSE(uxbWorks!$B$7,AF29,AK29)</f>
        <v># vehicles</v>
      </c>
      <c r="Q29" s="55" t="str">
        <f>CHOOSE(uxbWorks!$B$7,AG29,AL29)</f>
        <v>Road transport</v>
      </c>
      <c r="R29" s="55" t="str">
        <f>IF(CHOOSE(uxbWorks!$B$7,AI29,AN29)=0,"",CHOOSE(uxbWorks!$B$7,AI29,AN29))</f>
        <v>Average number of vehicles per operator</v>
      </c>
      <c r="S29" s="49">
        <v>0</v>
      </c>
      <c r="W29" s="56" t="str">
        <f t="shared" si="3"/>
        <v xml:space="preserve">  Average number of vehicles per operator</v>
      </c>
      <c r="X29" s="56" t="str">
        <f t="shared" si="0"/>
        <v>Road transportation</v>
      </c>
      <c r="Y29" s="56" t="str">
        <f t="shared" si="4"/>
        <v>ROAD TRANSPORTATION »</v>
      </c>
      <c r="AA29" s="54"/>
      <c r="AB29" s="54" t="s">
        <v>728</v>
      </c>
      <c r="AC29" s="55">
        <f>IF($D29=0,"",MATCH($F29,tblIndiDefs!$A$2:$A$89,0))</f>
        <v>26</v>
      </c>
      <c r="AE29" s="54" t="str">
        <f>IF($AC29="","",INDEX(tblIndiDefs!B$2:B$197,$AC29))</f>
        <v>Average number of vehicles per operator</v>
      </c>
      <c r="AF29" s="54" t="str">
        <f>IF($AC29="","",INDEX(tblIndiDefs!C$2:C$197,$AC29))</f>
        <v># vehicles</v>
      </c>
      <c r="AG29" s="54" t="str">
        <f>IF($AC29="","",INDEX(tblIndiDefs!D$2:D$197,$AC29))</f>
        <v>Road transport</v>
      </c>
      <c r="AH29" s="54">
        <f>IF($AC29="","",INDEX(tblIndiDefs!E$2:E$197,$AC29))</f>
        <v>0</v>
      </c>
      <c r="AI29" s="54" t="str">
        <f>IF($AC29="","",INDEX(tblIndiDefs!F$2:F$197,$AC29))</f>
        <v>Average number of vehicles per operator</v>
      </c>
      <c r="AJ29" s="54" t="str">
        <f>IF($AC29="","",INDEX(tblIndiDefs!G$2:G$197,$AC29))</f>
        <v>Vehículos por operador</v>
      </c>
      <c r="AK29" s="54" t="str">
        <f>IF($AC29="","",INDEX(tblIndiDefs!H$2:H$197,$AC29))</f>
        <v># vehículos</v>
      </c>
      <c r="AL29" s="54" t="str">
        <f>IF($AC29="","",INDEX(tblIndiDefs!I$2:I$197,$AC29))</f>
        <v>Transporte carretero</v>
      </c>
      <c r="AM29" s="54">
        <f>IF($AC29="","",INDEX(tblIndiDefs!J$2:J$197,$AC29))</f>
        <v>0</v>
      </c>
      <c r="AN29" s="54" t="str">
        <f>IF($AC29="","",INDEX(tblIndiDefs!K$2:K$197,$AC29))</f>
        <v>Promedio de vehículos por operador</v>
      </c>
    </row>
    <row r="30" spans="1:40" x14ac:dyDescent="0.2">
      <c r="A30" s="49">
        <v>29</v>
      </c>
      <c r="B30" s="49" t="s">
        <v>325</v>
      </c>
      <c r="C30" s="49" t="s">
        <v>57</v>
      </c>
      <c r="D30" s="49">
        <v>1</v>
      </c>
      <c r="E30" s="49">
        <v>1</v>
      </c>
      <c r="F30" s="49">
        <v>28</v>
      </c>
      <c r="G30" s="49">
        <v>0</v>
      </c>
      <c r="N30" s="49">
        <v>0</v>
      </c>
      <c r="O30" s="55" t="str">
        <f>CHOOSE(uxbWorks!$B$7,AE30,AJ30)</f>
        <v>Direct employment surface transportation</v>
      </c>
      <c r="P30" s="55" t="str">
        <f>CHOOSE(uxbWorks!$B$7,AF30,AK30)</f>
        <v># of employees</v>
      </c>
      <c r="Q30" s="55" t="str">
        <f>CHOOSE(uxbWorks!$B$7,AG30,AL30)</f>
        <v>Road transport</v>
      </c>
      <c r="R30" s="55" t="str">
        <f>IF(CHOOSE(uxbWorks!$B$7,AI30,AN30)=0,"",CHOOSE(uxbWorks!$B$7,AI30,AN30))</f>
        <v>Direct employment in surface transportation</v>
      </c>
      <c r="S30" s="49">
        <v>0</v>
      </c>
      <c r="W30" s="56" t="str">
        <f t="shared" si="3"/>
        <v xml:space="preserve">  Direct employment surface transportation</v>
      </c>
      <c r="X30" s="56" t="str">
        <f t="shared" si="0"/>
        <v>Road transportation</v>
      </c>
      <c r="Y30" s="56" t="str">
        <f t="shared" si="4"/>
        <v>ROAD TRANSPORTATION »</v>
      </c>
      <c r="AA30" s="54"/>
      <c r="AB30" s="54" t="s">
        <v>729</v>
      </c>
      <c r="AC30" s="55">
        <f>IF($D30=0,"",MATCH($F30,tblIndiDefs!$A$2:$A$89,0))</f>
        <v>27</v>
      </c>
      <c r="AE30" s="54" t="str">
        <f>IF($AC30="","",INDEX(tblIndiDefs!B$2:B$197,$AC30))</f>
        <v>Direct employment surface transportation</v>
      </c>
      <c r="AF30" s="54" t="str">
        <f>IF($AC30="","",INDEX(tblIndiDefs!C$2:C$197,$AC30))</f>
        <v># of employees</v>
      </c>
      <c r="AG30" s="54" t="str">
        <f>IF($AC30="","",INDEX(tblIndiDefs!D$2:D$197,$AC30))</f>
        <v>Road transport</v>
      </c>
      <c r="AH30" s="54">
        <f>IF($AC30="","",INDEX(tblIndiDefs!E$2:E$197,$AC30))</f>
        <v>0</v>
      </c>
      <c r="AI30" s="54" t="str">
        <f>IF($AC30="","",INDEX(tblIndiDefs!F$2:F$197,$AC30))</f>
        <v>Direct employment in surface transportation</v>
      </c>
      <c r="AJ30" s="54" t="str">
        <f>IF($AC30="","",INDEX(tblIndiDefs!G$2:G$197,$AC30))</f>
        <v>Empleo directo transporte carretero</v>
      </c>
      <c r="AK30" s="54" t="str">
        <f>IF($AC30="","",INDEX(tblIndiDefs!H$2:H$197,$AC30))</f>
        <v># empleados</v>
      </c>
      <c r="AL30" s="54" t="str">
        <f>IF($AC30="","",INDEX(tblIndiDefs!I$2:I$197,$AC30))</f>
        <v>Transporte carretero</v>
      </c>
      <c r="AM30" s="54">
        <f>IF($AC30="","",INDEX(tblIndiDefs!J$2:J$197,$AC30))</f>
        <v>0</v>
      </c>
      <c r="AN30" s="54" t="str">
        <f>IF($AC30="","",INDEX(tblIndiDefs!K$2:K$197,$AC30))</f>
        <v>Empleo directo en el área de transporte</v>
      </c>
    </row>
    <row r="31" spans="1:40" x14ac:dyDescent="0.2">
      <c r="A31" s="49">
        <v>30</v>
      </c>
      <c r="B31" s="49" t="s">
        <v>326</v>
      </c>
      <c r="C31" s="49" t="s">
        <v>57</v>
      </c>
      <c r="D31" s="49">
        <v>1</v>
      </c>
      <c r="E31" s="49">
        <v>1</v>
      </c>
      <c r="F31" s="49">
        <v>29</v>
      </c>
      <c r="G31" s="49">
        <v>0</v>
      </c>
      <c r="N31" s="49">
        <v>0</v>
      </c>
      <c r="O31" s="55" t="str">
        <f>CHOOSE(uxbWorks!$B$7,AE31,AJ31)</f>
        <v>Annual diesel oil consumption</v>
      </c>
      <c r="P31" s="55" t="str">
        <f>CHOOSE(uxbWorks!$B$7,AF31,AK31)</f>
        <v>thousands of barrels</v>
      </c>
      <c r="Q31" s="55" t="str">
        <f>CHOOSE(uxbWorks!$B$7,AG31,AL31)</f>
        <v>Road transport</v>
      </c>
      <c r="R31" s="55" t="str">
        <f>IF(CHOOSE(uxbWorks!$B$7,AI31,AN31)=0,"",CHOOSE(uxbWorks!$B$7,AI31,AN31))</f>
        <v>Annual diesel oil consumption</v>
      </c>
      <c r="S31" s="49">
        <v>0</v>
      </c>
      <c r="W31" s="56" t="str">
        <f t="shared" si="3"/>
        <v xml:space="preserve">  Annual diesel oil consumption</v>
      </c>
      <c r="X31" s="56" t="str">
        <f t="shared" si="0"/>
        <v>Road transportation</v>
      </c>
      <c r="Y31" s="56" t="str">
        <f t="shared" si="4"/>
        <v>ROAD TRANSPORTATION »</v>
      </c>
      <c r="AA31" s="54"/>
      <c r="AB31" s="54" t="s">
        <v>730</v>
      </c>
      <c r="AC31" s="55">
        <f>IF($D31=0,"",MATCH($F31,tblIndiDefs!$A$2:$A$89,0))</f>
        <v>28</v>
      </c>
      <c r="AE31" s="54" t="str">
        <f>IF($AC31="","",INDEX(tblIndiDefs!B$2:B$197,$AC31))</f>
        <v>Annual diesel oil consumption</v>
      </c>
      <c r="AF31" s="54" t="str">
        <f>IF($AC31="","",INDEX(tblIndiDefs!C$2:C$197,$AC31))</f>
        <v>thousands of barrels</v>
      </c>
      <c r="AG31" s="54" t="str">
        <f>IF($AC31="","",INDEX(tblIndiDefs!D$2:D$197,$AC31))</f>
        <v>Road transport</v>
      </c>
      <c r="AH31" s="54">
        <f>IF($AC31="","",INDEX(tblIndiDefs!E$2:E$197,$AC31))</f>
        <v>0</v>
      </c>
      <c r="AI31" s="54" t="str">
        <f>IF($AC31="","",INDEX(tblIndiDefs!F$2:F$197,$AC31))</f>
        <v>Annual diesel oil consumption</v>
      </c>
      <c r="AJ31" s="54" t="str">
        <f>IF($AC31="","",INDEX(tblIndiDefs!G$2:G$197,$AC31))</f>
        <v>Consumo anual diesel oil</v>
      </c>
      <c r="AK31" s="54" t="str">
        <f>IF($AC31="","",INDEX(tblIndiDefs!H$2:H$197,$AC31))</f>
        <v>miles de barriles</v>
      </c>
      <c r="AL31" s="54" t="str">
        <f>IF($AC31="","",INDEX(tblIndiDefs!I$2:I$197,$AC31))</f>
        <v>Transporte carretero</v>
      </c>
      <c r="AM31" s="54">
        <f>IF($AC31="","",INDEX(tblIndiDefs!J$2:J$197,$AC31))</f>
        <v>0</v>
      </c>
      <c r="AN31" s="54" t="str">
        <f>IF($AC31="","",INDEX(tblIndiDefs!K$2:K$197,$AC31))</f>
        <v>Consumo anual aceite diesel</v>
      </c>
    </row>
    <row r="32" spans="1:40" x14ac:dyDescent="0.2">
      <c r="A32" s="49">
        <v>31</v>
      </c>
      <c r="B32" s="49" t="s">
        <v>327</v>
      </c>
      <c r="C32" s="49" t="s">
        <v>57</v>
      </c>
      <c r="D32" s="49">
        <v>1</v>
      </c>
      <c r="E32" s="49">
        <v>1</v>
      </c>
      <c r="F32" s="49">
        <v>30</v>
      </c>
      <c r="G32" s="49">
        <v>0</v>
      </c>
      <c r="N32" s="49">
        <v>0</v>
      </c>
      <c r="O32" s="55" t="str">
        <f>CHOOSE(uxbWorks!$B$7,AE32,AJ32)</f>
        <v>Annual gasoline comsumption</v>
      </c>
      <c r="P32" s="55" t="str">
        <f>CHOOSE(uxbWorks!$B$7,AF32,AK32)</f>
        <v>thousands of barrels</v>
      </c>
      <c r="Q32" s="55" t="str">
        <f>CHOOSE(uxbWorks!$B$7,AG32,AL32)</f>
        <v>Road transport</v>
      </c>
      <c r="R32" s="55" t="str">
        <f>IF(CHOOSE(uxbWorks!$B$7,AI32,AN32)=0,"",CHOOSE(uxbWorks!$B$7,AI32,AN32))</f>
        <v>Annual gasoline comsumption</v>
      </c>
      <c r="S32" s="49">
        <v>0</v>
      </c>
      <c r="W32" s="56" t="str">
        <f t="shared" si="3"/>
        <v xml:space="preserve">  Annual gasoline comsumption</v>
      </c>
      <c r="X32" s="56" t="str">
        <f t="shared" si="0"/>
        <v>Road transportation</v>
      </c>
      <c r="Y32" s="56" t="str">
        <f t="shared" si="4"/>
        <v>ROAD TRANSPORTATION »</v>
      </c>
      <c r="AA32" s="98"/>
      <c r="AB32" s="98" t="s">
        <v>1263</v>
      </c>
      <c r="AC32" s="55">
        <f>IF($D32=0,"",MATCH($F32,tblIndiDefs!$A$2:$A$89,0))</f>
        <v>29</v>
      </c>
      <c r="AE32" s="98" t="str">
        <f>IF($AC32="","",INDEX(tblIndiDefs!B$2:B$197,$AC32))</f>
        <v>Annual gasoline comsumption</v>
      </c>
      <c r="AF32" s="98" t="str">
        <f>IF($AC32="","",INDEX(tblIndiDefs!C$2:C$197,$AC32))</f>
        <v>thousands of barrels</v>
      </c>
      <c r="AG32" s="98" t="str">
        <f>IF($AC32="","",INDEX(tblIndiDefs!D$2:D$197,$AC32))</f>
        <v>Road transport</v>
      </c>
      <c r="AH32" s="98">
        <f>IF($AC32="","",INDEX(tblIndiDefs!E$2:E$197,$AC32))</f>
        <v>0</v>
      </c>
      <c r="AI32" s="98" t="str">
        <f>IF($AC32="","",INDEX(tblIndiDefs!F$2:F$197,$AC32))</f>
        <v>Annual gasoline comsumption</v>
      </c>
      <c r="AJ32" s="54" t="str">
        <f>IF($AC32="","",INDEX(tblIndiDefs!G$2:G$197,$AC32))</f>
        <v>Consumo anual gasolina</v>
      </c>
      <c r="AK32" s="54" t="str">
        <f>IF($AC32="","",INDEX(tblIndiDefs!H$2:H$197,$AC32))</f>
        <v>miles de barriles</v>
      </c>
      <c r="AL32" s="54" t="str">
        <f>IF($AC32="","",INDEX(tblIndiDefs!I$2:I$197,$AC32))</f>
        <v>Transporte carretero</v>
      </c>
      <c r="AM32" s="54">
        <f>IF($AC32="","",INDEX(tblIndiDefs!J$2:J$197,$AC32))</f>
        <v>0</v>
      </c>
      <c r="AN32" s="54" t="str">
        <f>IF($AC32="","",INDEX(tblIndiDefs!K$2:K$197,$AC32))</f>
        <v>Consumo anual de gasolina</v>
      </c>
    </row>
    <row r="33" spans="1:40" x14ac:dyDescent="0.2">
      <c r="A33" s="49">
        <v>32</v>
      </c>
      <c r="B33" s="49" t="s">
        <v>328</v>
      </c>
      <c r="C33" s="49" t="s">
        <v>57</v>
      </c>
      <c r="D33" s="49">
        <v>1</v>
      </c>
      <c r="E33" s="49">
        <v>1</v>
      </c>
      <c r="F33" s="49">
        <v>31</v>
      </c>
      <c r="G33" s="49">
        <v>2</v>
      </c>
      <c r="N33" s="49">
        <v>0</v>
      </c>
      <c r="O33" s="55" t="str">
        <f>CHOOSE(uxbWorks!$B$7,AE33,AJ33)</f>
        <v>Retail price diesel oil</v>
      </c>
      <c r="P33" s="55" t="str">
        <f>CHOOSE(uxbWorks!$B$7,AF33,AK33)</f>
        <v>US$/liter</v>
      </c>
      <c r="Q33" s="55" t="str">
        <f>CHOOSE(uxbWorks!$B$7,AG33,AL33)</f>
        <v>Road transport</v>
      </c>
      <c r="R33" s="55" t="str">
        <f>IF(CHOOSE(uxbWorks!$B$7,AI33,AN33)=0,"",CHOOSE(uxbWorks!$B$7,AI33,AN33))</f>
        <v>Annual average price per liter of diesel fuel type</v>
      </c>
      <c r="S33" s="49">
        <v>0</v>
      </c>
      <c r="W33" s="56" t="str">
        <f t="shared" si="3"/>
        <v xml:space="preserve">  Retail price diesel oil</v>
      </c>
      <c r="X33" s="56" t="str">
        <f t="shared" si="0"/>
        <v>Road transportation</v>
      </c>
      <c r="Y33" s="56" t="str">
        <f t="shared" si="4"/>
        <v>ROAD TRANSPORTATION »</v>
      </c>
      <c r="AA33" s="54"/>
      <c r="AB33" s="54" t="s">
        <v>731</v>
      </c>
      <c r="AC33" s="55">
        <f>IF($D33=0,"",MATCH($F33,tblIndiDefs!$A$2:$A$89,0))</f>
        <v>30</v>
      </c>
      <c r="AE33" s="54" t="str">
        <f>IF($AC33="","",INDEX(tblIndiDefs!B$2:B$197,$AC33))</f>
        <v>Retail price diesel oil</v>
      </c>
      <c r="AF33" s="54" t="str">
        <f>IF($AC33="","",INDEX(tblIndiDefs!C$2:C$197,$AC33))</f>
        <v>US$/liter</v>
      </c>
      <c r="AG33" s="54" t="str">
        <f>IF($AC33="","",INDEX(tblIndiDefs!D$2:D$197,$AC33))</f>
        <v>Road transport</v>
      </c>
      <c r="AH33" s="54">
        <f>IF($AC33="","",INDEX(tblIndiDefs!E$2:E$197,$AC33))</f>
        <v>0</v>
      </c>
      <c r="AI33" s="54" t="str">
        <f>IF($AC33="","",INDEX(tblIndiDefs!F$2:F$197,$AC33))</f>
        <v>Annual average price per liter of diesel fuel type</v>
      </c>
      <c r="AJ33" s="54" t="str">
        <f>IF($AC33="","",INDEX(tblIndiDefs!G$2:G$197,$AC33))</f>
        <v>Precio de expendio diesel</v>
      </c>
      <c r="AK33" s="54" t="str">
        <f>IF($AC33="","",INDEX(tblIndiDefs!H$2:H$197,$AC33))</f>
        <v>US$/lt</v>
      </c>
      <c r="AL33" s="54" t="str">
        <f>IF($AC33="","",INDEX(tblIndiDefs!I$2:I$197,$AC33))</f>
        <v>Transporte carretero</v>
      </c>
      <c r="AM33" s="54">
        <f>IF($AC33="","",INDEX(tblIndiDefs!J$2:J$197,$AC33))</f>
        <v>0</v>
      </c>
      <c r="AN33" s="54" t="str">
        <f>IF($AC33="","",INDEX(tblIndiDefs!K$2:K$197,$AC33))</f>
        <v>Precio medio anual del litro de combustible tipo diésel</v>
      </c>
    </row>
    <row r="34" spans="1:40" x14ac:dyDescent="0.2">
      <c r="A34" s="49">
        <v>33</v>
      </c>
      <c r="B34" s="49" t="s">
        <v>329</v>
      </c>
      <c r="C34" s="49" t="s">
        <v>57</v>
      </c>
      <c r="D34" s="49">
        <v>1</v>
      </c>
      <c r="E34" s="49">
        <v>1</v>
      </c>
      <c r="F34" s="49">
        <v>32</v>
      </c>
      <c r="G34" s="49">
        <v>2</v>
      </c>
      <c r="N34" s="49">
        <v>0</v>
      </c>
      <c r="O34" s="55" t="str">
        <f>CHOOSE(uxbWorks!$B$7,AE34,AJ34)</f>
        <v>Retail price gasoline</v>
      </c>
      <c r="P34" s="55" t="str">
        <f>CHOOSE(uxbWorks!$B$7,AF34,AK34)</f>
        <v>US$/liter</v>
      </c>
      <c r="Q34" s="55" t="str">
        <f>CHOOSE(uxbWorks!$B$7,AG34,AL34)</f>
        <v>Road transport</v>
      </c>
      <c r="R34" s="55" t="str">
        <f>IF(CHOOSE(uxbWorks!$B$7,AI34,AN34)=0,"",CHOOSE(uxbWorks!$B$7,AI34,AN34))</f>
        <v>Annual average price per liter of gasoline fuel type</v>
      </c>
      <c r="S34" s="49">
        <v>0</v>
      </c>
      <c r="W34" s="56" t="str">
        <f t="shared" si="3"/>
        <v xml:space="preserve">  Retail price gasoline</v>
      </c>
      <c r="X34" s="56" t="str">
        <f t="shared" ref="X34:X65" si="5">IF($D34=0,"",INDEX($O$2:$O$149,MATCH($C34,$B$2:$B$149,0)))</f>
        <v>Road transportation</v>
      </c>
      <c r="Y34" s="56" t="str">
        <f t="shared" si="4"/>
        <v>ROAD TRANSPORTATION »</v>
      </c>
      <c r="AA34" s="54"/>
      <c r="AB34" s="54" t="s">
        <v>330</v>
      </c>
      <c r="AC34" s="55">
        <f>IF($D34=0,"",MATCH($F34,tblIndiDefs!$A$2:$A$89,0))</f>
        <v>31</v>
      </c>
      <c r="AE34" s="54" t="str">
        <f>IF($AC34="","",INDEX(tblIndiDefs!B$2:B$197,$AC34))</f>
        <v>Retail price gasoline</v>
      </c>
      <c r="AF34" s="54" t="str">
        <f>IF($AC34="","",INDEX(tblIndiDefs!C$2:C$197,$AC34))</f>
        <v>US$/liter</v>
      </c>
      <c r="AG34" s="54" t="str">
        <f>IF($AC34="","",INDEX(tblIndiDefs!D$2:D$197,$AC34))</f>
        <v>Road transport</v>
      </c>
      <c r="AH34" s="54">
        <f>IF($AC34="","",INDEX(tblIndiDefs!E$2:E$197,$AC34))</f>
        <v>0</v>
      </c>
      <c r="AI34" s="54" t="str">
        <f>IF($AC34="","",INDEX(tblIndiDefs!F$2:F$197,$AC34))</f>
        <v>Annual average price per liter of gasoline fuel type</v>
      </c>
      <c r="AJ34" s="54" t="str">
        <f>IF($AC34="","",INDEX(tblIndiDefs!G$2:G$197,$AC34))</f>
        <v>Precio de expendio gasolina</v>
      </c>
      <c r="AK34" s="54" t="str">
        <f>IF($AC34="","",INDEX(tblIndiDefs!H$2:H$197,$AC34))</f>
        <v>US$/lt</v>
      </c>
      <c r="AL34" s="54" t="str">
        <f>IF($AC34="","",INDEX(tblIndiDefs!I$2:I$197,$AC34))</f>
        <v>Transporte carretero</v>
      </c>
      <c r="AM34" s="54">
        <f>IF($AC34="","",INDEX(tblIndiDefs!J$2:J$197,$AC34))</f>
        <v>0</v>
      </c>
      <c r="AN34" s="54" t="str">
        <f>IF($AC34="","",INDEX(tblIndiDefs!K$2:K$197,$AC34))</f>
        <v>Precio medio anual del litro de combustible tipo gasolina</v>
      </c>
    </row>
    <row r="35" spans="1:40" x14ac:dyDescent="0.2">
      <c r="A35" s="49">
        <v>34</v>
      </c>
      <c r="B35" s="49" t="s">
        <v>331</v>
      </c>
      <c r="C35" s="49" t="s">
        <v>57</v>
      </c>
      <c r="D35" s="49">
        <v>1</v>
      </c>
      <c r="E35" s="49">
        <v>1</v>
      </c>
      <c r="F35" s="49">
        <v>33</v>
      </c>
      <c r="G35" s="49">
        <v>1</v>
      </c>
      <c r="N35" s="49">
        <v>0</v>
      </c>
      <c r="O35" s="55" t="str">
        <f>CHOOSE(uxbWorks!$B$7,AE35,AJ35)</f>
        <v>Estimated CO2 emissions road transport</v>
      </c>
      <c r="P35" s="55" t="str">
        <f>CHOOSE(uxbWorks!$B$7,AF35,AK35)</f>
        <v>tons</v>
      </c>
      <c r="Q35" s="55" t="str">
        <f>CHOOSE(uxbWorks!$B$7,AG35,AL35)</f>
        <v>Road transport</v>
      </c>
      <c r="R35" s="55" t="str">
        <f>IF(CHOOSE(uxbWorks!$B$7,AI35,AN35)=0,"",CHOOSE(uxbWorks!$B$7,AI35,AN35))</f>
        <v>Carbon dioxide emissions due to road transport activity</v>
      </c>
      <c r="S35" s="49">
        <v>0</v>
      </c>
      <c r="W35" s="56" t="str">
        <f t="shared" si="3"/>
        <v xml:space="preserve">  Estimated CO2 emissions road transport</v>
      </c>
      <c r="X35" s="56" t="str">
        <f t="shared" si="5"/>
        <v>Road transportation</v>
      </c>
      <c r="Y35" s="56" t="str">
        <f t="shared" si="4"/>
        <v>ROAD TRANSPORTATION »</v>
      </c>
      <c r="AA35" s="54"/>
      <c r="AB35" s="54" t="s">
        <v>332</v>
      </c>
      <c r="AC35" s="55">
        <f>IF($D35=0,"",MATCH($F35,tblIndiDefs!$A$2:$A$89,0))</f>
        <v>32</v>
      </c>
      <c r="AE35" s="54" t="str">
        <f>IF($AC35="","",INDEX(tblIndiDefs!B$2:B$197,$AC35))</f>
        <v>Estimated CO2 emissions road transport</v>
      </c>
      <c r="AF35" s="54" t="str">
        <f>IF($AC35="","",INDEX(tblIndiDefs!C$2:C$197,$AC35))</f>
        <v>tons</v>
      </c>
      <c r="AG35" s="54" t="str">
        <f>IF($AC35="","",INDEX(tblIndiDefs!D$2:D$197,$AC35))</f>
        <v>Road transport</v>
      </c>
      <c r="AH35" s="54">
        <f>IF($AC35="","",INDEX(tblIndiDefs!E$2:E$197,$AC35))</f>
        <v>0</v>
      </c>
      <c r="AI35" s="54" t="str">
        <f>IF($AC35="","",INDEX(tblIndiDefs!F$2:F$197,$AC35))</f>
        <v>Carbon dioxide emissions due to road transport activity</v>
      </c>
      <c r="AJ35" s="54" t="str">
        <f>IF($AC35="","",INDEX(tblIndiDefs!G$2:G$197,$AC35))</f>
        <v>Emisiones estimadas CO2 transporte carretero</v>
      </c>
      <c r="AK35" s="54" t="str">
        <f>IF($AC35="","",INDEX(tblIndiDefs!H$2:H$197,$AC35))</f>
        <v>ton</v>
      </c>
      <c r="AL35" s="54" t="str">
        <f>IF($AC35="","",INDEX(tblIndiDefs!I$2:I$197,$AC35))</f>
        <v>Transporte carretero</v>
      </c>
      <c r="AM35" s="54">
        <f>IF($AC35="","",INDEX(tblIndiDefs!J$2:J$197,$AC35))</f>
        <v>0</v>
      </c>
      <c r="AN35" s="54" t="str">
        <f>IF($AC35="","",INDEX(tblIndiDefs!K$2:K$197,$AC35))</f>
        <v>Emisiones de dióxido de carbono debidas a la actividad del transporte carretero</v>
      </c>
    </row>
    <row r="36" spans="1:40" x14ac:dyDescent="0.2">
      <c r="A36" s="49">
        <v>35</v>
      </c>
      <c r="B36" s="49" t="s">
        <v>333</v>
      </c>
      <c r="C36" s="49" t="s">
        <v>57</v>
      </c>
      <c r="D36" s="49">
        <v>1</v>
      </c>
      <c r="E36" s="49">
        <v>1</v>
      </c>
      <c r="F36" s="49">
        <v>34</v>
      </c>
      <c r="G36" s="49">
        <v>0</v>
      </c>
      <c r="N36" s="49">
        <v>0</v>
      </c>
      <c r="O36" s="55" t="str">
        <f>CHOOSE(uxbWorks!$B$7,AE36,AJ36)</f>
        <v>Domestic road freight productivity</v>
      </c>
      <c r="P36" s="55" t="str">
        <f>CHOOSE(uxbWorks!$B$7,AF36,AK36)</f>
        <v>million t-km</v>
      </c>
      <c r="Q36" s="55" t="str">
        <f>CHOOSE(uxbWorks!$B$7,AG36,AL36)</f>
        <v>Road transport</v>
      </c>
      <c r="R36" s="55" t="str">
        <f>IF(CHOOSE(uxbWorks!$B$7,AI36,AN36)=0,"",CHOOSE(uxbWorks!$B$7,AI36,AN36))</f>
        <v>Unit of measure of goods transport which represents the transport of one tonne by road over one kilometer. The distance to consider is the distance actually run.</v>
      </c>
      <c r="S36" s="49">
        <v>0</v>
      </c>
      <c r="W36" s="56" t="str">
        <f t="shared" si="3"/>
        <v xml:space="preserve">  Domestic road freight productivity</v>
      </c>
      <c r="X36" s="56" t="str">
        <f t="shared" si="5"/>
        <v>Road transportation</v>
      </c>
      <c r="Y36" s="56" t="str">
        <f t="shared" si="4"/>
        <v>ROAD TRANSPORTATION »</v>
      </c>
      <c r="AA36" s="54"/>
      <c r="AB36" s="54" t="s">
        <v>732</v>
      </c>
      <c r="AC36" s="55">
        <f>IF($D36=0,"",MATCH($F36,tblIndiDefs!$A$2:$A$89,0))</f>
        <v>33</v>
      </c>
      <c r="AE36" s="54" t="str">
        <f>IF($AC36="","",INDEX(tblIndiDefs!B$2:B$197,$AC36))</f>
        <v>Domestic road freight productivity</v>
      </c>
      <c r="AF36" s="54" t="str">
        <f>IF($AC36="","",INDEX(tblIndiDefs!C$2:C$197,$AC36))</f>
        <v>million t-km</v>
      </c>
      <c r="AG36" s="54" t="str">
        <f>IF($AC36="","",INDEX(tblIndiDefs!D$2:D$197,$AC36))</f>
        <v>Road transport</v>
      </c>
      <c r="AH36" s="54">
        <f>IF($AC36="","",INDEX(tblIndiDefs!E$2:E$197,$AC36))</f>
        <v>0</v>
      </c>
      <c r="AI36" s="54" t="str">
        <f>IF($AC36="","",INDEX(tblIndiDefs!F$2:F$197,$AC36))</f>
        <v>Unit of measure of goods transport which represents the transport of one tonne by road over one kilometer. The distance to consider is the distance actually run.</v>
      </c>
      <c r="AJ36" s="54" t="str">
        <f>IF($AC36="","",INDEX(tblIndiDefs!G$2:G$197,$AC36))</f>
        <v>Carga doméstica por carretera -productividad</v>
      </c>
      <c r="AK36" s="54" t="str">
        <f>IF($AC36="","",INDEX(tblIndiDefs!H$2:H$197,$AC36))</f>
        <v>millones t-km</v>
      </c>
      <c r="AL36" s="54" t="str">
        <f>IF($AC36="","",INDEX(tblIndiDefs!I$2:I$197,$AC36))</f>
        <v>Transporte carretero</v>
      </c>
      <c r="AM36" s="54">
        <f>IF($AC36="","",INDEX(tblIndiDefs!J$2:J$197,$AC36))</f>
        <v>0</v>
      </c>
      <c r="AN36" s="54" t="str">
        <f>IF($AC36="","",INDEX(tblIndiDefs!K$2:K$197,$AC36))</f>
        <v>Unidad de medida que representa el transporte de una tonelada por carretera por un kilometro. La distancia a considerar es la efectivamente recorrida.</v>
      </c>
    </row>
    <row r="37" spans="1:40" x14ac:dyDescent="0.2">
      <c r="A37" s="49">
        <v>36</v>
      </c>
      <c r="B37" s="49" t="s">
        <v>334</v>
      </c>
      <c r="C37" s="49" t="s">
        <v>57</v>
      </c>
      <c r="D37" s="49">
        <v>1</v>
      </c>
      <c r="E37" s="49">
        <v>1</v>
      </c>
      <c r="F37" s="49">
        <v>35</v>
      </c>
      <c r="G37" s="49">
        <v>0</v>
      </c>
      <c r="N37" s="49">
        <v>0</v>
      </c>
      <c r="O37" s="55" t="str">
        <f>CHOOSE(uxbWorks!$B$7,AE37,AJ37)</f>
        <v>Domestic road freight carried</v>
      </c>
      <c r="P37" s="55" t="str">
        <f>CHOOSE(uxbWorks!$B$7,AF37,AK37)</f>
        <v>tons</v>
      </c>
      <c r="Q37" s="55" t="str">
        <f>CHOOSE(uxbWorks!$B$7,AG37,AL37)</f>
        <v>Road transport</v>
      </c>
      <c r="R37" s="55" t="str">
        <f>IF(CHOOSE(uxbWorks!$B$7,AI37,AN37)=0,"",CHOOSE(uxbWorks!$B$7,AI37,AN37))</f>
        <v>Weight of cargo transported by road within the national territory.</v>
      </c>
      <c r="S37" s="49">
        <v>0</v>
      </c>
      <c r="W37" s="56" t="str">
        <f t="shared" si="3"/>
        <v xml:space="preserve">  Domestic road freight carried</v>
      </c>
      <c r="X37" s="56" t="str">
        <f t="shared" si="5"/>
        <v>Road transportation</v>
      </c>
      <c r="Y37" s="56" t="str">
        <f t="shared" si="4"/>
        <v>ROAD TRANSPORTATION »</v>
      </c>
      <c r="AA37" s="54"/>
      <c r="AB37" s="54" t="s">
        <v>733</v>
      </c>
      <c r="AC37" s="55">
        <f>IF($D37=0,"",MATCH($F37,tblIndiDefs!$A$2:$A$89,0))</f>
        <v>34</v>
      </c>
      <c r="AE37" s="54" t="str">
        <f>IF($AC37="","",INDEX(tblIndiDefs!B$2:B$197,$AC37))</f>
        <v>Domestic road freight carried</v>
      </c>
      <c r="AF37" s="54" t="str">
        <f>IF($AC37="","",INDEX(tblIndiDefs!C$2:C$197,$AC37))</f>
        <v>tons</v>
      </c>
      <c r="AG37" s="54" t="str">
        <f>IF($AC37="","",INDEX(tblIndiDefs!D$2:D$197,$AC37))</f>
        <v>Road transport</v>
      </c>
      <c r="AH37" s="54">
        <f>IF($AC37="","",INDEX(tblIndiDefs!E$2:E$197,$AC37))</f>
        <v>0</v>
      </c>
      <c r="AI37" s="54" t="str">
        <f>IF($AC37="","",INDEX(tblIndiDefs!F$2:F$197,$AC37))</f>
        <v>Weight of cargo transported by road within the national territory.</v>
      </c>
      <c r="AJ37" s="54" t="str">
        <f>IF($AC37="","",INDEX(tblIndiDefs!G$2:G$197,$AC37))</f>
        <v>Carga doméstica por carretera</v>
      </c>
      <c r="AK37" s="54" t="str">
        <f>IF($AC37="","",INDEX(tblIndiDefs!H$2:H$197,$AC37))</f>
        <v>ton</v>
      </c>
      <c r="AL37" s="54" t="str">
        <f>IF($AC37="","",INDEX(tblIndiDefs!I$2:I$197,$AC37))</f>
        <v>Transporte carretero</v>
      </c>
      <c r="AM37" s="54">
        <f>IF($AC37="","",INDEX(tblIndiDefs!J$2:J$197,$AC37))</f>
        <v>0</v>
      </c>
      <c r="AN37" s="54" t="str">
        <f>IF($AC37="","",INDEX(tblIndiDefs!K$2:K$197,$AC37))</f>
        <v>Peso de la carga transportada por carretera dentro del territorio nacional.</v>
      </c>
    </row>
    <row r="38" spans="1:40" x14ac:dyDescent="0.2">
      <c r="A38" s="49">
        <v>37</v>
      </c>
      <c r="B38" s="49" t="s">
        <v>335</v>
      </c>
      <c r="C38" s="49" t="s">
        <v>57</v>
      </c>
      <c r="D38" s="49">
        <v>1</v>
      </c>
      <c r="E38" s="49">
        <v>1</v>
      </c>
      <c r="F38" s="49">
        <v>36</v>
      </c>
      <c r="G38" s="49">
        <v>1</v>
      </c>
      <c r="N38" s="49">
        <v>0</v>
      </c>
      <c r="O38" s="55" t="str">
        <f>CHOOSE(uxbWorks!$B$7,AE38,AJ38)</f>
        <v>Median distance</v>
      </c>
      <c r="P38" s="55" t="str">
        <f>CHOOSE(uxbWorks!$B$7,AF38,AK38)</f>
        <v>km</v>
      </c>
      <c r="Q38" s="55" t="str">
        <f>CHOOSE(uxbWorks!$B$7,AG38,AL38)</f>
        <v>Road transport</v>
      </c>
      <c r="R38" s="55" t="str">
        <f>IF(CHOOSE(uxbWorks!$B$7,AI38,AN38)=0,"",CHOOSE(uxbWorks!$B$7,AI38,AN38))</f>
        <v>One-way average distance by truck</v>
      </c>
      <c r="S38" s="49">
        <v>0</v>
      </c>
      <c r="W38" s="56" t="str">
        <f t="shared" si="3"/>
        <v xml:space="preserve">  Median distance</v>
      </c>
      <c r="X38" s="56" t="str">
        <f t="shared" si="5"/>
        <v>Road transportation</v>
      </c>
      <c r="Y38" s="56" t="str">
        <f t="shared" si="4"/>
        <v>ROAD TRANSPORTATION »</v>
      </c>
      <c r="AA38" s="54"/>
      <c r="AB38" s="54" t="s">
        <v>336</v>
      </c>
      <c r="AC38" s="55">
        <f>IF($D38=0,"",MATCH($F38,tblIndiDefs!$A$2:$A$89,0))</f>
        <v>35</v>
      </c>
      <c r="AE38" s="54" t="str">
        <f>IF($AC38="","",INDEX(tblIndiDefs!B$2:B$197,$AC38))</f>
        <v>Median distance</v>
      </c>
      <c r="AF38" s="54" t="str">
        <f>IF($AC38="","",INDEX(tblIndiDefs!C$2:C$197,$AC38))</f>
        <v>km</v>
      </c>
      <c r="AG38" s="54" t="str">
        <f>IF($AC38="","",INDEX(tblIndiDefs!D$2:D$197,$AC38))</f>
        <v>Road transport</v>
      </c>
      <c r="AH38" s="54">
        <f>IF($AC38="","",INDEX(tblIndiDefs!E$2:E$197,$AC38))</f>
        <v>0</v>
      </c>
      <c r="AI38" s="54" t="str">
        <f>IF($AC38="","",INDEX(tblIndiDefs!F$2:F$197,$AC38))</f>
        <v>One-way average distance by truck</v>
      </c>
      <c r="AJ38" s="54" t="str">
        <f>IF($AC38="","",INDEX(tblIndiDefs!G$2:G$197,$AC38))</f>
        <v>Distancia media</v>
      </c>
      <c r="AK38" s="54" t="str">
        <f>IF($AC38="","",INDEX(tblIndiDefs!H$2:H$197,$AC38))</f>
        <v>km</v>
      </c>
      <c r="AL38" s="54" t="str">
        <f>IF($AC38="","",INDEX(tblIndiDefs!I$2:I$197,$AC38))</f>
        <v>Transporte carretero</v>
      </c>
      <c r="AM38" s="54">
        <f>IF($AC38="","",INDEX(tblIndiDefs!J$2:J$197,$AC38))</f>
        <v>0</v>
      </c>
      <c r="AN38" s="54" t="str">
        <f>IF($AC38="","",INDEX(tblIndiDefs!K$2:K$197,$AC38))</f>
        <v>Distancia promedio por camión por viaje</v>
      </c>
    </row>
    <row r="39" spans="1:40" x14ac:dyDescent="0.2">
      <c r="A39" s="49">
        <v>38</v>
      </c>
      <c r="B39" s="49" t="s">
        <v>337</v>
      </c>
      <c r="C39" s="49" t="s">
        <v>57</v>
      </c>
      <c r="D39" s="49">
        <v>1</v>
      </c>
      <c r="E39" s="49">
        <v>1</v>
      </c>
      <c r="F39" s="49">
        <v>37</v>
      </c>
      <c r="G39" s="49">
        <v>0</v>
      </c>
      <c r="N39" s="49">
        <v>0</v>
      </c>
      <c r="O39" s="55" t="str">
        <f>CHOOSE(uxbWorks!$B$7,AE39,AJ39)</f>
        <v>Freight vehicle traffic -productivity</v>
      </c>
      <c r="P39" s="55" t="str">
        <f>CHOOSE(uxbWorks!$B$7,AF39,AK39)</f>
        <v>vehic·km</v>
      </c>
      <c r="Q39" s="55" t="str">
        <f>CHOOSE(uxbWorks!$B$7,AG39,AL39)</f>
        <v>Road transport</v>
      </c>
      <c r="R39" s="55" t="str">
        <f>IF(CHOOSE(uxbWorks!$B$7,AI39,AN39)=0,"",CHOOSE(uxbWorks!$B$7,AI39,AN39))</f>
        <v>Unit of measurement representing the movement of a road motor vehicle over one kilometre. The distance considered is the distance actually run.</v>
      </c>
      <c r="S39" s="49">
        <v>0</v>
      </c>
      <c r="W39" s="56" t="str">
        <f t="shared" si="3"/>
        <v xml:space="preserve">  Freight vehicle traffic -productivity</v>
      </c>
      <c r="X39" s="56" t="str">
        <f t="shared" si="5"/>
        <v>Road transportation</v>
      </c>
      <c r="Y39" s="56" t="str">
        <f t="shared" si="4"/>
        <v>ROAD TRANSPORTATION »</v>
      </c>
      <c r="AA39" s="54"/>
      <c r="AB39" s="54" t="s">
        <v>734</v>
      </c>
      <c r="AC39" s="55">
        <f>IF($D39=0,"",MATCH($F39,tblIndiDefs!$A$2:$A$89,0))</f>
        <v>36</v>
      </c>
      <c r="AE39" s="54" t="str">
        <f>IF($AC39="","",INDEX(tblIndiDefs!B$2:B$197,$AC39))</f>
        <v>Freight vehicle traffic -productivity</v>
      </c>
      <c r="AF39" s="54" t="str">
        <f>IF($AC39="","",INDEX(tblIndiDefs!C$2:C$197,$AC39))</f>
        <v>vehic·km</v>
      </c>
      <c r="AG39" s="54" t="str">
        <f>IF($AC39="","",INDEX(tblIndiDefs!D$2:D$197,$AC39))</f>
        <v>Road transport</v>
      </c>
      <c r="AH39" s="54">
        <f>IF($AC39="","",INDEX(tblIndiDefs!E$2:E$197,$AC39))</f>
        <v>0</v>
      </c>
      <c r="AI39" s="54" t="str">
        <f>IF($AC39="","",INDEX(tblIndiDefs!F$2:F$197,$AC39))</f>
        <v>Unit of measurement representing the movement of a road motor vehicle over one kilometre. The distance considered is the distance actually run.</v>
      </c>
      <c r="AJ39" s="54" t="str">
        <f>IF($AC39="","",INDEX(tblIndiDefs!G$2:G$197,$AC39))</f>
        <v>Tráfico vehículos de carga -productividad</v>
      </c>
      <c r="AK39" s="54" t="str">
        <f>IF($AC39="","",INDEX(tblIndiDefs!H$2:H$197,$AC39))</f>
        <v>veh·km</v>
      </c>
      <c r="AL39" s="54" t="str">
        <f>IF($AC39="","",INDEX(tblIndiDefs!I$2:I$197,$AC39))</f>
        <v>Transporte carretero</v>
      </c>
      <c r="AM39" s="54">
        <f>IF($AC39="","",INDEX(tblIndiDefs!J$2:J$197,$AC39))</f>
        <v>0</v>
      </c>
      <c r="AN39" s="54" t="str">
        <f>IF($AC39="","",INDEX(tblIndiDefs!K$2:K$197,$AC39))</f>
        <v>Unidad de medida que representa el movimiento de un vehiculo de carga por un kilometro. La distancia a considerar es la efectivamente recorrida.</v>
      </c>
    </row>
    <row r="40" spans="1:40" x14ac:dyDescent="0.2">
      <c r="A40" s="49">
        <v>39</v>
      </c>
      <c r="B40" s="49" t="s">
        <v>338</v>
      </c>
      <c r="C40" s="49" t="s">
        <v>57</v>
      </c>
      <c r="D40" s="49">
        <v>1</v>
      </c>
      <c r="E40" s="49">
        <v>1</v>
      </c>
      <c r="F40" s="49">
        <v>39</v>
      </c>
      <c r="G40" s="49">
        <v>0</v>
      </c>
      <c r="N40" s="49">
        <v>0</v>
      </c>
      <c r="O40" s="55" t="str">
        <f>CHOOSE(uxbWorks!$B$7,AE40,AJ40)</f>
        <v>Annual average distance per vehicle</v>
      </c>
      <c r="P40" s="55" t="str">
        <f>CHOOSE(uxbWorks!$B$7,AF40,AK40)</f>
        <v>km/year</v>
      </c>
      <c r="Q40" s="55" t="str">
        <f>CHOOSE(uxbWorks!$B$7,AG40,AL40)</f>
        <v>Road transport</v>
      </c>
      <c r="R40" s="55" t="str">
        <f>IF(CHOOSE(uxbWorks!$B$7,AI40,AN40)=0,"",CHOOSE(uxbWorks!$B$7,AI40,AN40))</f>
        <v>Average annual distance traveled  by a freight carrier.</v>
      </c>
      <c r="S40" s="49">
        <v>0</v>
      </c>
      <c r="W40" s="56" t="str">
        <f t="shared" si="3"/>
        <v xml:space="preserve">  Annual average distance per vehicle</v>
      </c>
      <c r="X40" s="56" t="str">
        <f t="shared" si="5"/>
        <v>Road transportation</v>
      </c>
      <c r="Y40" s="56" t="str">
        <f t="shared" si="4"/>
        <v>ROAD TRANSPORTATION »</v>
      </c>
      <c r="AA40" s="54"/>
      <c r="AB40" s="54" t="s">
        <v>735</v>
      </c>
      <c r="AC40" s="55">
        <f>IF($D40=0,"",MATCH($F40,tblIndiDefs!$A$2:$A$89,0))</f>
        <v>37</v>
      </c>
      <c r="AE40" s="54" t="str">
        <f>IF($AC40="","",INDEX(tblIndiDefs!B$2:B$197,$AC40))</f>
        <v>Annual average distance per vehicle</v>
      </c>
      <c r="AF40" s="54" t="str">
        <f>IF($AC40="","",INDEX(tblIndiDefs!C$2:C$197,$AC40))</f>
        <v>km/year</v>
      </c>
      <c r="AG40" s="54" t="str">
        <f>IF($AC40="","",INDEX(tblIndiDefs!D$2:D$197,$AC40))</f>
        <v>Road transport</v>
      </c>
      <c r="AH40" s="54">
        <f>IF($AC40="","",INDEX(tblIndiDefs!E$2:E$197,$AC40))</f>
        <v>0</v>
      </c>
      <c r="AI40" s="54" t="str">
        <f>IF($AC40="","",INDEX(tblIndiDefs!F$2:F$197,$AC40))</f>
        <v>Average annual distance traveled  by a freight carrier.</v>
      </c>
      <c r="AJ40" s="54" t="str">
        <f>IF($AC40="","",INDEX(tblIndiDefs!G$2:G$197,$AC40))</f>
        <v>Distancia promedio por camión</v>
      </c>
      <c r="AK40" s="54" t="str">
        <f>IF($AC40="","",INDEX(tblIndiDefs!H$2:H$197,$AC40))</f>
        <v>km/año</v>
      </c>
      <c r="AL40" s="54" t="str">
        <f>IF($AC40="","",INDEX(tblIndiDefs!I$2:I$197,$AC40))</f>
        <v>Transporte carretero</v>
      </c>
      <c r="AM40" s="54">
        <f>IF($AC40="","",INDEX(tblIndiDefs!J$2:J$197,$AC40))</f>
        <v>0</v>
      </c>
      <c r="AN40" s="54" t="str">
        <f>IF($AC40="","",INDEX(tblIndiDefs!K$2:K$197,$AC40))</f>
        <v>Distancia promedio recorrida en un año por un vehículo de transporte de carga.</v>
      </c>
    </row>
    <row r="41" spans="1:40" x14ac:dyDescent="0.2">
      <c r="A41" s="49">
        <v>40</v>
      </c>
      <c r="B41" s="49" t="s">
        <v>339</v>
      </c>
      <c r="C41" s="49" t="s">
        <v>57</v>
      </c>
      <c r="D41" s="49">
        <v>1</v>
      </c>
      <c r="E41" s="49">
        <v>1</v>
      </c>
      <c r="F41" s="49">
        <v>40</v>
      </c>
      <c r="G41" s="49">
        <v>1</v>
      </c>
      <c r="N41" s="49">
        <v>0</v>
      </c>
      <c r="O41" s="55" t="str">
        <f>CHOOSE(uxbWorks!$B$7,AE41,AJ41)</f>
        <v>Empty hauls</v>
      </c>
      <c r="P41" s="55" t="str">
        <f>CHOOSE(uxbWorks!$B$7,AF41,AK41)</f>
        <v>%</v>
      </c>
      <c r="Q41" s="55" t="str">
        <f>CHOOSE(uxbWorks!$B$7,AG41,AL41)</f>
        <v>Road transport</v>
      </c>
      <c r="R41" s="55" t="str">
        <f>IF(CHOOSE(uxbWorks!$B$7,AI41,AN41)=0,"",CHOOSE(uxbWorks!$B$7,AI41,AN41))</f>
        <v>Average number of empty hauls</v>
      </c>
      <c r="S41" s="49">
        <v>0</v>
      </c>
      <c r="W41" s="56" t="str">
        <f t="shared" si="3"/>
        <v xml:space="preserve">  Empty hauls</v>
      </c>
      <c r="X41" s="56" t="str">
        <f t="shared" si="5"/>
        <v>Road transportation</v>
      </c>
      <c r="Y41" s="56" t="str">
        <f t="shared" si="4"/>
        <v>ROAD TRANSPORTATION »</v>
      </c>
      <c r="AA41" s="54"/>
      <c r="AB41" s="54" t="s">
        <v>340</v>
      </c>
      <c r="AC41" s="55">
        <f>IF($D41=0,"",MATCH($F41,tblIndiDefs!$A$2:$A$89,0))</f>
        <v>38</v>
      </c>
      <c r="AE41" s="54" t="str">
        <f>IF($AC41="","",INDEX(tblIndiDefs!B$2:B$197,$AC41))</f>
        <v>Empty hauls</v>
      </c>
      <c r="AF41" s="54" t="str">
        <f>IF($AC41="","",INDEX(tblIndiDefs!C$2:C$197,$AC41))</f>
        <v>%</v>
      </c>
      <c r="AG41" s="54" t="str">
        <f>IF($AC41="","",INDEX(tblIndiDefs!D$2:D$197,$AC41))</f>
        <v>Road transport</v>
      </c>
      <c r="AH41" s="54">
        <f>IF($AC41="","",INDEX(tblIndiDefs!E$2:E$197,$AC41))</f>
        <v>0</v>
      </c>
      <c r="AI41" s="54" t="str">
        <f>IF($AC41="","",INDEX(tblIndiDefs!F$2:F$197,$AC41))</f>
        <v>Average number of empty hauls</v>
      </c>
      <c r="AJ41" s="54" t="str">
        <f>IF($AC41="","",INDEX(tblIndiDefs!G$2:G$197,$AC41))</f>
        <v>Viajes vacíos</v>
      </c>
      <c r="AK41" s="54" t="str">
        <f>IF($AC41="","",INDEX(tblIndiDefs!H$2:H$197,$AC41))</f>
        <v>%</v>
      </c>
      <c r="AL41" s="54" t="str">
        <f>IF($AC41="","",INDEX(tblIndiDefs!I$2:I$197,$AC41))</f>
        <v>Transporte carretero</v>
      </c>
      <c r="AM41" s="54">
        <f>IF($AC41="","",INDEX(tblIndiDefs!J$2:J$197,$AC41))</f>
        <v>0</v>
      </c>
      <c r="AN41" s="54" t="str">
        <f>IF($AC41="","",INDEX(tblIndiDefs!K$2:K$197,$AC41))</f>
        <v>Número de viajes vacíos promedio por camión</v>
      </c>
    </row>
    <row r="42" spans="1:40" x14ac:dyDescent="0.2">
      <c r="A42" s="49">
        <v>41</v>
      </c>
      <c r="B42" s="49" t="s">
        <v>341</v>
      </c>
      <c r="C42" s="49" t="s">
        <v>57</v>
      </c>
      <c r="D42" s="49">
        <v>1</v>
      </c>
      <c r="E42" s="49">
        <v>1</v>
      </c>
      <c r="F42" s="49">
        <v>42</v>
      </c>
      <c r="G42" s="49">
        <v>2</v>
      </c>
      <c r="N42" s="97">
        <v>1</v>
      </c>
      <c r="O42" s="55" t="str">
        <f>CHOOSE(uxbWorks!$B$7,AE42,AJ42)</f>
        <v>Average road freight tariff</v>
      </c>
      <c r="P42" s="55" t="str">
        <f>CHOOSE(uxbWorks!$B$7,AF42,AK42)</f>
        <v>US$/t-km (40 ft cont)</v>
      </c>
      <c r="Q42" s="55" t="str">
        <f>CHOOSE(uxbWorks!$B$7,AG42,AL42)</f>
        <v>Road transport</v>
      </c>
      <c r="R42" s="55" t="str">
        <f>IF(CHOOSE(uxbWorks!$B$7,AI42,AN42)=0,"",CHOOSE(uxbWorks!$B$7,AI42,AN42))</f>
        <v>Freight tariff between a specific origin and destination. Unit transported is a 40ft container and a weight of 34 tons is assumed.</v>
      </c>
      <c r="S42" s="49">
        <v>0</v>
      </c>
      <c r="W42" s="56" t="str">
        <f t="shared" si="3"/>
        <v xml:space="preserve">  Average road freight tariff</v>
      </c>
      <c r="X42" s="56" t="str">
        <f t="shared" si="5"/>
        <v>Road transportation</v>
      </c>
      <c r="Y42" s="56" t="str">
        <f t="shared" si="4"/>
        <v>ROAD TRANSPORTATION »</v>
      </c>
      <c r="AA42" s="54"/>
      <c r="AB42" s="54" t="s">
        <v>736</v>
      </c>
      <c r="AC42" s="55">
        <f>IF($D42=0,"",MATCH($F42,tblIndiDefs!$A$2:$A$89,0))</f>
        <v>39</v>
      </c>
      <c r="AE42" s="54" t="str">
        <f>IF($AC42="","",INDEX(tblIndiDefs!B$2:B$197,$AC42))</f>
        <v>Average road freight tariff</v>
      </c>
      <c r="AF42" s="54" t="str">
        <f>IF($AC42="","",INDEX(tblIndiDefs!C$2:C$197,$AC42))</f>
        <v>US$/t-km (40 ft cont)</v>
      </c>
      <c r="AG42" s="54" t="str">
        <f>IF($AC42="","",INDEX(tblIndiDefs!D$2:D$197,$AC42))</f>
        <v>Road transport</v>
      </c>
      <c r="AH42" s="54">
        <f>IF($AC42="","",INDEX(tblIndiDefs!E$2:E$197,$AC42))</f>
        <v>0</v>
      </c>
      <c r="AI42" s="54" t="str">
        <f>IF($AC42="","",INDEX(tblIndiDefs!F$2:F$197,$AC42))</f>
        <v>Freight tariff between a specific origin and destination. Unit transported is a 40ft container and a weight of 34 tons is assumed.</v>
      </c>
      <c r="AJ42" s="54" t="str">
        <f>IF($AC42="","",INDEX(tblIndiDefs!G$2:G$197,$AC42))</f>
        <v>Tarifa media de carga por carretera</v>
      </c>
      <c r="AK42" s="54" t="str">
        <f>IF($AC42="","",INDEX(tblIndiDefs!H$2:H$197,$AC42))</f>
        <v>US$/t-km (cont 40")</v>
      </c>
      <c r="AL42" s="54" t="str">
        <f>IF($AC42="","",INDEX(tblIndiDefs!I$2:I$197,$AC42))</f>
        <v>Transporte carretero</v>
      </c>
      <c r="AM42" s="54">
        <f>IF($AC42="","",INDEX(tblIndiDefs!J$2:J$197,$AC42))</f>
        <v>0</v>
      </c>
      <c r="AN42" s="54" t="str">
        <f>IF($AC42="","",INDEX(tblIndiDefs!K$2:K$197,$AC42))</f>
        <v>Precio del flete entre un origen y destino especifos. La unidad transportada es un container de 40" y se asume un peso 34 tons.</v>
      </c>
    </row>
    <row r="43" spans="1:40" s="12" customFormat="1" x14ac:dyDescent="0.2">
      <c r="A43" s="13">
        <v>42</v>
      </c>
      <c r="B43" s="13" t="s">
        <v>342</v>
      </c>
      <c r="C43" s="13"/>
      <c r="D43" s="13">
        <v>0</v>
      </c>
      <c r="E43" s="13">
        <v>0</v>
      </c>
      <c r="F43" s="13" t="s">
        <v>157</v>
      </c>
      <c r="G43" s="13" t="s">
        <v>157</v>
      </c>
      <c r="H43" s="13"/>
      <c r="I43" s="13"/>
      <c r="J43" s="13"/>
      <c r="K43" s="13"/>
      <c r="L43" s="13"/>
      <c r="M43" s="58"/>
      <c r="N43" s="13"/>
      <c r="O43" s="67" t="str">
        <f>CHOOSE(uxbWorks!$B$7,AE43,AJ43)</f>
        <v>Railway transportation</v>
      </c>
      <c r="P43" s="67" t="str">
        <f>CHOOSE(uxbWorks!$B$7,AF43,AK43)</f>
        <v/>
      </c>
      <c r="Q43" s="67" t="str">
        <f>CHOOSE(uxbWorks!$B$7,AG43,AL43)</f>
        <v/>
      </c>
      <c r="R43" s="67" t="str">
        <f>IF(CHOOSE(uxbWorks!$B$7,AI43,AN43)=0,"",CHOOSE(uxbWorks!$B$7,AI43,AN43))</f>
        <v/>
      </c>
      <c r="S43" s="13"/>
      <c r="T43" s="67"/>
      <c r="U43" s="67"/>
      <c r="W43" s="68" t="str">
        <f t="shared" si="3"/>
        <v>RAILWAY TRANSPORTATION</v>
      </c>
      <c r="X43" s="68" t="str">
        <f t="shared" si="5"/>
        <v/>
      </c>
      <c r="Y43" s="68" t="str">
        <f t="shared" si="4"/>
        <v/>
      </c>
      <c r="AA43" s="69"/>
      <c r="AB43" s="69" t="s">
        <v>343</v>
      </c>
      <c r="AC43" s="67" t="str">
        <f>IF($D43=0,"",MATCH($F43,tblIndiDefs!$A$2:$A$89,0))</f>
        <v/>
      </c>
      <c r="AE43" s="69" t="s">
        <v>343</v>
      </c>
      <c r="AF43" s="69" t="str">
        <f>IF($AC43="","",INDEX(tblIndiDefs!C$2:C$197,$AC43))</f>
        <v/>
      </c>
      <c r="AG43" s="69" t="str">
        <f>IF($AC43="","",INDEX(tblIndiDefs!D$2:D$197,$AC43))</f>
        <v/>
      </c>
      <c r="AH43" s="69" t="str">
        <f>IF($AC43="","",INDEX(tblIndiDefs!E$2:E$197,$AC43))</f>
        <v/>
      </c>
      <c r="AI43" s="69" t="str">
        <f>IF($AC43="","",INDEX(tblIndiDefs!F$2:F$197,$AC43))</f>
        <v/>
      </c>
      <c r="AJ43" s="69" t="s">
        <v>430</v>
      </c>
      <c r="AK43" s="54" t="str">
        <f>IF($AC43="","",INDEX(tblIndiDefs!H$2:H$197,$AC43))</f>
        <v/>
      </c>
      <c r="AL43" s="54" t="str">
        <f>IF($AC43="","",INDEX(tblIndiDefs!I$2:I$197,$AC43))</f>
        <v/>
      </c>
      <c r="AM43" s="54" t="str">
        <f>IF($AC43="","",INDEX(tblIndiDefs!J$2:J$197,$AC43))</f>
        <v/>
      </c>
      <c r="AN43" s="54" t="str">
        <f>IF($AC43="","",INDEX(tblIndiDefs!K$2:K$197,$AC43))</f>
        <v/>
      </c>
    </row>
    <row r="44" spans="1:40" x14ac:dyDescent="0.2">
      <c r="A44" s="49">
        <v>43</v>
      </c>
      <c r="B44" s="49" t="s">
        <v>344</v>
      </c>
      <c r="C44" s="49" t="s">
        <v>342</v>
      </c>
      <c r="D44" s="49">
        <v>1</v>
      </c>
      <c r="E44" s="49">
        <v>1</v>
      </c>
      <c r="F44" s="49">
        <v>43</v>
      </c>
      <c r="G44" s="49">
        <v>0</v>
      </c>
      <c r="N44" s="97">
        <v>1</v>
      </c>
      <c r="O44" s="55" t="str">
        <f>CHOOSE(uxbWorks!$B$7,AE44,AJ44)</f>
        <v>Railway network</v>
      </c>
      <c r="P44" s="55" t="str">
        <f>CHOOSE(uxbWorks!$B$7,AF44,AK44)</f>
        <v>km</v>
      </c>
      <c r="Q44" s="55" t="str">
        <f>CHOOSE(uxbWorks!$B$7,AG44,AL44)</f>
        <v>Railway transport</v>
      </c>
      <c r="R44" s="55" t="str">
        <f>IF(CHOOSE(uxbWorks!$B$7,AI44,AN44)=0,"",CHOOSE(uxbWorks!$B$7,AI44,AN44))</f>
        <v>Total length of the national railway network in operation.</v>
      </c>
      <c r="S44" s="49">
        <v>0</v>
      </c>
      <c r="W44" s="56" t="str">
        <f t="shared" si="3"/>
        <v xml:space="preserve">  Railway network</v>
      </c>
      <c r="X44" s="56" t="str">
        <f t="shared" si="5"/>
        <v>Railway transportation</v>
      </c>
      <c r="Y44" s="56" t="str">
        <f t="shared" si="4"/>
        <v>RAILWAY TRANSPORTATION »</v>
      </c>
      <c r="AA44" s="54"/>
      <c r="AB44" s="54" t="s">
        <v>737</v>
      </c>
      <c r="AC44" s="55">
        <f>IF($D44=0,"",MATCH($F44,tblIndiDefs!$A$2:$A$89,0))</f>
        <v>40</v>
      </c>
      <c r="AE44" s="54" t="str">
        <f>IF($AC44="","",INDEX(tblIndiDefs!B$2:B$197,$AC44))</f>
        <v>Railway network</v>
      </c>
      <c r="AF44" s="54" t="str">
        <f>IF($AC44="","",INDEX(tblIndiDefs!C$2:C$197,$AC44))</f>
        <v>km</v>
      </c>
      <c r="AG44" s="54" t="str">
        <f>IF($AC44="","",INDEX(tblIndiDefs!D$2:D$197,$AC44))</f>
        <v>Railway transport</v>
      </c>
      <c r="AH44" s="54">
        <f>IF($AC44="","",INDEX(tblIndiDefs!E$2:E$197,$AC44))</f>
        <v>0</v>
      </c>
      <c r="AI44" s="54" t="str">
        <f>IF($AC44="","",INDEX(tblIndiDefs!F$2:F$197,$AC44))</f>
        <v>Total length of the national railway network in operation.</v>
      </c>
      <c r="AJ44" s="54" t="str">
        <f>IF($AC44="","",INDEX(tblIndiDefs!G$2:G$197,$AC44))</f>
        <v>Red ferroviaria</v>
      </c>
      <c r="AK44" s="54" t="str">
        <f>IF($AC44="","",INDEX(tblIndiDefs!H$2:H$197,$AC44))</f>
        <v>km</v>
      </c>
      <c r="AL44" s="54" t="str">
        <f>IF($AC44="","",INDEX(tblIndiDefs!I$2:I$197,$AC44))</f>
        <v>Transporte ferroviario</v>
      </c>
      <c r="AM44" s="54">
        <f>IF($AC44="","",INDEX(tblIndiDefs!J$2:J$197,$AC44))</f>
        <v>0</v>
      </c>
      <c r="AN44" s="54" t="str">
        <f>IF($AC44="","",INDEX(tblIndiDefs!K$2:K$197,$AC44))</f>
        <v>Longitud total de la red ferroviaria nacional en operación.</v>
      </c>
    </row>
    <row r="45" spans="1:40" x14ac:dyDescent="0.2">
      <c r="A45" s="49">
        <v>44</v>
      </c>
      <c r="B45" s="49" t="s">
        <v>345</v>
      </c>
      <c r="C45" s="49" t="s">
        <v>342</v>
      </c>
      <c r="D45" s="49">
        <v>1</v>
      </c>
      <c r="E45" s="49">
        <v>1</v>
      </c>
      <c r="F45" s="49">
        <v>44</v>
      </c>
      <c r="G45" s="49">
        <v>0</v>
      </c>
      <c r="N45" s="97">
        <v>1</v>
      </c>
      <c r="O45" s="55" t="str">
        <f>CHOOSE(uxbWorks!$B$7,AE45,AJ45)</f>
        <v>Railway network with two or more tracks</v>
      </c>
      <c r="P45" s="55" t="str">
        <f>CHOOSE(uxbWorks!$B$7,AF45,AK45)</f>
        <v>km</v>
      </c>
      <c r="Q45" s="55" t="str">
        <f>CHOOSE(uxbWorks!$B$7,AG45,AL45)</f>
        <v>Railway transport</v>
      </c>
      <c r="R45" s="55" t="str">
        <f>IF(CHOOSE(uxbWorks!$B$7,AI45,AN45)=0,"",CHOOSE(uxbWorks!$B$7,AI45,AN45))</f>
        <v>Length of railway network in operation that provides two-way or more</v>
      </c>
      <c r="S45" s="49">
        <v>0</v>
      </c>
      <c r="W45" s="56" t="str">
        <f t="shared" si="3"/>
        <v xml:space="preserve">  Railway network with two or more tracks</v>
      </c>
      <c r="X45" s="56" t="str">
        <f t="shared" si="5"/>
        <v>Railway transportation</v>
      </c>
      <c r="Y45" s="56" t="str">
        <f t="shared" si="4"/>
        <v>RAILWAY TRANSPORTATION »</v>
      </c>
      <c r="AA45" s="54"/>
      <c r="AB45" s="54" t="s">
        <v>346</v>
      </c>
      <c r="AC45" s="55">
        <f>IF($D45=0,"",MATCH($F45,tblIndiDefs!$A$2:$A$89,0))</f>
        <v>41</v>
      </c>
      <c r="AE45" s="54" t="str">
        <f>IF($AC45="","",INDEX(tblIndiDefs!B$2:B$197,$AC45))</f>
        <v>Railway network with two or more tracks</v>
      </c>
      <c r="AF45" s="54" t="str">
        <f>IF($AC45="","",INDEX(tblIndiDefs!C$2:C$197,$AC45))</f>
        <v>km</v>
      </c>
      <c r="AG45" s="54" t="str">
        <f>IF($AC45="","",INDEX(tblIndiDefs!D$2:D$197,$AC45))</f>
        <v>Railway transport</v>
      </c>
      <c r="AH45" s="54">
        <f>IF($AC45="","",INDEX(tblIndiDefs!E$2:E$197,$AC45))</f>
        <v>0</v>
      </c>
      <c r="AI45" s="54" t="str">
        <f>IF($AC45="","",INDEX(tblIndiDefs!F$2:F$197,$AC45))</f>
        <v>Length of railway network in operation that provides two-way or more</v>
      </c>
      <c r="AJ45" s="54" t="str">
        <f>IF($AC45="","",INDEX(tblIndiDefs!G$2:G$197,$AC45))</f>
        <v>Red con dos o más vías</v>
      </c>
      <c r="AK45" s="54" t="str">
        <f>IF($AC45="","",INDEX(tblIndiDefs!H$2:H$197,$AC45))</f>
        <v>km</v>
      </c>
      <c r="AL45" s="54" t="str">
        <f>IF($AC45="","",INDEX(tblIndiDefs!I$2:I$197,$AC45))</f>
        <v>Transporte ferroviario</v>
      </c>
      <c r="AM45" s="54">
        <f>IF($AC45="","",INDEX(tblIndiDefs!J$2:J$197,$AC45))</f>
        <v>0</v>
      </c>
      <c r="AN45" s="54" t="str">
        <f>IF($AC45="","",INDEX(tblIndiDefs!K$2:K$197,$AC45))</f>
        <v>Longitud de la red ferroviaria en operación que dispone de doble vía o más</v>
      </c>
    </row>
    <row r="46" spans="1:40" x14ac:dyDescent="0.2">
      <c r="A46" s="49">
        <v>45</v>
      </c>
      <c r="B46" s="49" t="s">
        <v>347</v>
      </c>
      <c r="C46" s="49" t="s">
        <v>342</v>
      </c>
      <c r="D46" s="49">
        <v>1</v>
      </c>
      <c r="E46" s="49">
        <v>1</v>
      </c>
      <c r="F46" s="49">
        <v>45</v>
      </c>
      <c r="G46" s="49">
        <v>0</v>
      </c>
      <c r="N46" s="97">
        <v>1</v>
      </c>
      <c r="O46" s="55" t="str">
        <f>CHOOSE(uxbWorks!$B$7,AE46,AJ46)</f>
        <v>Electrified railway network</v>
      </c>
      <c r="P46" s="55" t="str">
        <f>CHOOSE(uxbWorks!$B$7,AF46,AK46)</f>
        <v>km</v>
      </c>
      <c r="Q46" s="55" t="str">
        <f>CHOOSE(uxbWorks!$B$7,AG46,AL46)</f>
        <v>Railway transport</v>
      </c>
      <c r="R46" s="55" t="str">
        <f>IF(CHOOSE(uxbWorks!$B$7,AI46,AN46)=0,"",CHOOSE(uxbWorks!$B$7,AI46,AN46))</f>
        <v>Length of railway network in operation that is electrified</v>
      </c>
      <c r="S46" s="49">
        <v>0</v>
      </c>
      <c r="W46" s="56" t="str">
        <f t="shared" si="3"/>
        <v xml:space="preserve">  Electrified railway network</v>
      </c>
      <c r="X46" s="56" t="str">
        <f t="shared" si="5"/>
        <v>Railway transportation</v>
      </c>
      <c r="Y46" s="56" t="str">
        <f t="shared" si="4"/>
        <v>RAILWAY TRANSPORTATION »</v>
      </c>
      <c r="AA46" s="54"/>
      <c r="AB46" s="54" t="s">
        <v>348</v>
      </c>
      <c r="AC46" s="55">
        <f>IF($D46=0,"",MATCH($F46,tblIndiDefs!$A$2:$A$89,0))</f>
        <v>42</v>
      </c>
      <c r="AE46" s="54" t="str">
        <f>IF($AC46="","",INDEX(tblIndiDefs!B$2:B$197,$AC46))</f>
        <v>Electrified railway network</v>
      </c>
      <c r="AF46" s="54" t="str">
        <f>IF($AC46="","",INDEX(tblIndiDefs!C$2:C$197,$AC46))</f>
        <v>km</v>
      </c>
      <c r="AG46" s="54" t="str">
        <f>IF($AC46="","",INDEX(tblIndiDefs!D$2:D$197,$AC46))</f>
        <v>Railway transport</v>
      </c>
      <c r="AH46" s="54">
        <f>IF($AC46="","",INDEX(tblIndiDefs!E$2:E$197,$AC46))</f>
        <v>0</v>
      </c>
      <c r="AI46" s="54" t="str">
        <f>IF($AC46="","",INDEX(tblIndiDefs!F$2:F$197,$AC46))</f>
        <v>Length of railway network in operation that is electrified</v>
      </c>
      <c r="AJ46" s="54" t="str">
        <f>IF($AC46="","",INDEX(tblIndiDefs!G$2:G$197,$AC46))</f>
        <v>Red electrificada</v>
      </c>
      <c r="AK46" s="54" t="str">
        <f>IF($AC46="","",INDEX(tblIndiDefs!H$2:H$197,$AC46))</f>
        <v>km</v>
      </c>
      <c r="AL46" s="54" t="str">
        <f>IF($AC46="","",INDEX(tblIndiDefs!I$2:I$197,$AC46))</f>
        <v>Transporte ferroviario</v>
      </c>
      <c r="AM46" s="54">
        <f>IF($AC46="","",INDEX(tblIndiDefs!J$2:J$197,$AC46))</f>
        <v>0</v>
      </c>
      <c r="AN46" s="54" t="str">
        <f>IF($AC46="","",INDEX(tblIndiDefs!K$2:K$197,$AC46))</f>
        <v>Longitud de red ferroviaria en operación que se encuentra electrificada</v>
      </c>
    </row>
    <row r="47" spans="1:40" x14ac:dyDescent="0.2">
      <c r="A47" s="49">
        <v>46</v>
      </c>
      <c r="B47" s="49" t="s">
        <v>349</v>
      </c>
      <c r="C47" s="49" t="s">
        <v>342</v>
      </c>
      <c r="D47" s="49">
        <v>1</v>
      </c>
      <c r="E47" s="49">
        <v>1</v>
      </c>
      <c r="F47" s="49">
        <v>46</v>
      </c>
      <c r="G47" s="49">
        <v>0</v>
      </c>
      <c r="N47" s="97">
        <v>1</v>
      </c>
      <c r="O47" s="55" t="str">
        <f>CHOOSE(uxbWorks!$B$7,AE47,AJ47)</f>
        <v>Total locomotives</v>
      </c>
      <c r="P47" s="55" t="str">
        <f>CHOOSE(uxbWorks!$B$7,AF47,AK47)</f>
        <v># locomotives</v>
      </c>
      <c r="Q47" s="55" t="str">
        <f>CHOOSE(uxbWorks!$B$7,AG47,AL47)</f>
        <v>Railway transport</v>
      </c>
      <c r="R47" s="55" t="str">
        <f>IF(CHOOSE(uxbWorks!$B$7,AI47,AN47)=0,"",CHOOSE(uxbWorks!$B$7,AI47,AN47))</f>
        <v>Total number ofl locomotives</v>
      </c>
      <c r="S47" s="49">
        <v>0</v>
      </c>
      <c r="W47" s="56" t="str">
        <f t="shared" si="3"/>
        <v xml:space="preserve">  Total locomotives</v>
      </c>
      <c r="X47" s="56" t="str">
        <f t="shared" si="5"/>
        <v>Railway transportation</v>
      </c>
      <c r="Y47" s="56" t="str">
        <f t="shared" si="4"/>
        <v>RAILWAY TRANSPORTATION »</v>
      </c>
      <c r="AA47" s="54"/>
      <c r="AB47" s="54" t="s">
        <v>350</v>
      </c>
      <c r="AC47" s="55">
        <f>IF($D47=0,"",MATCH($F47,tblIndiDefs!$A$2:$A$89,0))</f>
        <v>43</v>
      </c>
      <c r="AE47" s="54" t="str">
        <f>IF($AC47="","",INDEX(tblIndiDefs!B$2:B$197,$AC47))</f>
        <v>Total locomotives</v>
      </c>
      <c r="AF47" s="54" t="str">
        <f>IF($AC47="","",INDEX(tblIndiDefs!C$2:C$197,$AC47))</f>
        <v># locomotives</v>
      </c>
      <c r="AG47" s="54" t="str">
        <f>IF($AC47="","",INDEX(tblIndiDefs!D$2:D$197,$AC47))</f>
        <v>Railway transport</v>
      </c>
      <c r="AH47" s="54">
        <f>IF($AC47="","",INDEX(tblIndiDefs!E$2:E$197,$AC47))</f>
        <v>0</v>
      </c>
      <c r="AI47" s="54" t="str">
        <f>IF($AC47="","",INDEX(tblIndiDefs!F$2:F$197,$AC47))</f>
        <v>Total number ofl locomotives</v>
      </c>
      <c r="AJ47" s="54" t="str">
        <f>IF($AC47="","",INDEX(tblIndiDefs!G$2:G$197,$AC47))</f>
        <v>Locomotoras totales</v>
      </c>
      <c r="AK47" s="54" t="str">
        <f>IF($AC47="","",INDEX(tblIndiDefs!H$2:H$197,$AC47))</f>
        <v># locomotoras</v>
      </c>
      <c r="AL47" s="54" t="str">
        <f>IF($AC47="","",INDEX(tblIndiDefs!I$2:I$197,$AC47))</f>
        <v>Transporte ferroviario</v>
      </c>
      <c r="AM47" s="54">
        <f>IF($AC47="","",INDEX(tblIndiDefs!J$2:J$197,$AC47))</f>
        <v>0</v>
      </c>
      <c r="AN47" s="54" t="str">
        <f>IF($AC47="","",INDEX(tblIndiDefs!K$2:K$197,$AC47))</f>
        <v>Número de locomotoras totales</v>
      </c>
    </row>
    <row r="48" spans="1:40" x14ac:dyDescent="0.2">
      <c r="A48" s="49">
        <v>47</v>
      </c>
      <c r="B48" s="49" t="s">
        <v>351</v>
      </c>
      <c r="C48" s="49" t="s">
        <v>342</v>
      </c>
      <c r="D48" s="49">
        <v>1</v>
      </c>
      <c r="E48" s="49">
        <v>1</v>
      </c>
      <c r="F48" s="49">
        <v>47</v>
      </c>
      <c r="G48" s="49">
        <v>0</v>
      </c>
      <c r="N48" s="97">
        <v>1</v>
      </c>
      <c r="O48" s="55" t="str">
        <f>CHOOSE(uxbWorks!$B$7,AE48,AJ48)</f>
        <v>Locomotives -freight train engine</v>
      </c>
      <c r="P48" s="55" t="str">
        <f>CHOOSE(uxbWorks!$B$7,AF48,AK48)</f>
        <v># locomotives</v>
      </c>
      <c r="Q48" s="55" t="str">
        <f>CHOOSE(uxbWorks!$B$7,AG48,AL48)</f>
        <v>Railway transport</v>
      </c>
      <c r="R48" s="55" t="str">
        <f>IF(CHOOSE(uxbWorks!$B$7,AI48,AN48)=0,"",CHOOSE(uxbWorks!$B$7,AI48,AN48))</f>
        <v>Number of registered locomotives, intended for the freight transport</v>
      </c>
      <c r="S48" s="49">
        <v>0</v>
      </c>
      <c r="W48" s="56" t="str">
        <f t="shared" si="3"/>
        <v xml:space="preserve">  Locomotives -freight train engine</v>
      </c>
      <c r="X48" s="56" t="str">
        <f t="shared" si="5"/>
        <v>Railway transportation</v>
      </c>
      <c r="Y48" s="56" t="str">
        <f t="shared" si="4"/>
        <v>RAILWAY TRANSPORTATION »</v>
      </c>
      <c r="AA48" s="54"/>
      <c r="AB48" s="54" t="s">
        <v>738</v>
      </c>
      <c r="AC48" s="55">
        <f>IF($D48=0,"",MATCH($F48,tblIndiDefs!$A$2:$A$89,0))</f>
        <v>44</v>
      </c>
      <c r="AE48" s="54" t="str">
        <f>IF($AC48="","",INDEX(tblIndiDefs!B$2:B$197,$AC48))</f>
        <v>Locomotives -freight train engine</v>
      </c>
      <c r="AF48" s="54" t="str">
        <f>IF($AC48="","",INDEX(tblIndiDefs!C$2:C$197,$AC48))</f>
        <v># locomotives</v>
      </c>
      <c r="AG48" s="54" t="str">
        <f>IF($AC48="","",INDEX(tblIndiDefs!D$2:D$197,$AC48))</f>
        <v>Railway transport</v>
      </c>
      <c r="AH48" s="54">
        <f>IF($AC48="","",INDEX(tblIndiDefs!E$2:E$197,$AC48))</f>
        <v>0</v>
      </c>
      <c r="AI48" s="54" t="str">
        <f>IF($AC48="","",INDEX(tblIndiDefs!F$2:F$197,$AC48))</f>
        <v>Number of registered locomotives, intended for the freight transport</v>
      </c>
      <c r="AJ48" s="54" t="str">
        <f>IF($AC48="","",INDEX(tblIndiDefs!G$2:G$197,$AC48))</f>
        <v>Locomotoras cabeza de tren de carga</v>
      </c>
      <c r="AK48" s="54" t="str">
        <f>IF($AC48="","",INDEX(tblIndiDefs!H$2:H$197,$AC48))</f>
        <v># locomotoras</v>
      </c>
      <c r="AL48" s="54" t="str">
        <f>IF($AC48="","",INDEX(tblIndiDefs!I$2:I$197,$AC48))</f>
        <v>Transporte ferroviario</v>
      </c>
      <c r="AM48" s="54">
        <f>IF($AC48="","",INDEX(tblIndiDefs!J$2:J$197,$AC48))</f>
        <v>0</v>
      </c>
      <c r="AN48" s="54" t="str">
        <f>IF($AC48="","",INDEX(tblIndiDefs!K$2:K$197,$AC48))</f>
        <v>Número de locomotoras registradas destinadas al transporte de carga</v>
      </c>
    </row>
    <row r="49" spans="1:40" x14ac:dyDescent="0.2">
      <c r="A49" s="49">
        <v>48</v>
      </c>
      <c r="B49" s="49" t="s">
        <v>352</v>
      </c>
      <c r="C49" s="49" t="s">
        <v>342</v>
      </c>
      <c r="D49" s="49">
        <v>1</v>
      </c>
      <c r="E49" s="49">
        <v>1</v>
      </c>
      <c r="F49" s="49">
        <v>48</v>
      </c>
      <c r="G49" s="49">
        <v>0</v>
      </c>
      <c r="N49" s="97">
        <v>1</v>
      </c>
      <c r="O49" s="55" t="str">
        <f>CHOOSE(uxbWorks!$B$7,AE49,AJ49)</f>
        <v>Average power of freight locomotives</v>
      </c>
      <c r="P49" s="55" t="str">
        <f>CHOOSE(uxbWorks!$B$7,AF49,AK49)</f>
        <v>HP</v>
      </c>
      <c r="Q49" s="55" t="str">
        <f>CHOOSE(uxbWorks!$B$7,AG49,AL49)</f>
        <v>Railway transport</v>
      </c>
      <c r="R49" s="55" t="str">
        <f>IF(CHOOSE(uxbWorks!$B$7,AI49,AN49)=0,"",CHOOSE(uxbWorks!$B$7,AI49,AN49))</f>
        <v>Average power of available locomotives used to transport goods.</v>
      </c>
      <c r="S49" s="49">
        <v>0</v>
      </c>
      <c r="W49" s="56" t="str">
        <f t="shared" si="3"/>
        <v xml:space="preserve">  Average power of freight locomotives</v>
      </c>
      <c r="X49" s="56" t="str">
        <f t="shared" si="5"/>
        <v>Railway transportation</v>
      </c>
      <c r="Y49" s="56" t="str">
        <f t="shared" si="4"/>
        <v>RAILWAY TRANSPORTATION »</v>
      </c>
      <c r="AA49" s="54"/>
      <c r="AB49" s="54" t="s">
        <v>353</v>
      </c>
      <c r="AC49" s="55">
        <f>IF($D49=0,"",MATCH($F49,tblIndiDefs!$A$2:$A$89,0))</f>
        <v>45</v>
      </c>
      <c r="AE49" s="54" t="str">
        <f>IF($AC49="","",INDEX(tblIndiDefs!B$2:B$197,$AC49))</f>
        <v>Average power of freight locomotives</v>
      </c>
      <c r="AF49" s="54" t="str">
        <f>IF($AC49="","",INDEX(tblIndiDefs!C$2:C$197,$AC49))</f>
        <v>HP</v>
      </c>
      <c r="AG49" s="54" t="str">
        <f>IF($AC49="","",INDEX(tblIndiDefs!D$2:D$197,$AC49))</f>
        <v>Railway transport</v>
      </c>
      <c r="AH49" s="54">
        <f>IF($AC49="","",INDEX(tblIndiDefs!E$2:E$197,$AC49))</f>
        <v>0</v>
      </c>
      <c r="AI49" s="54" t="str">
        <f>IF($AC49="","",INDEX(tblIndiDefs!F$2:F$197,$AC49))</f>
        <v>Average power of available locomotives used to transport goods.</v>
      </c>
      <c r="AJ49" s="54" t="str">
        <f>IF($AC49="","",INDEX(tblIndiDefs!G$2:G$197,$AC49))</f>
        <v>Potencia media de locomotoras de carga</v>
      </c>
      <c r="AK49" s="54" t="str">
        <f>IF($AC49="","",INDEX(tblIndiDefs!H$2:H$197,$AC49))</f>
        <v>Caballos de fuerza</v>
      </c>
      <c r="AL49" s="54" t="str">
        <f>IF($AC49="","",INDEX(tblIndiDefs!I$2:I$197,$AC49))</f>
        <v>Transporte ferroviario</v>
      </c>
      <c r="AM49" s="54">
        <f>IF($AC49="","",INDEX(tblIndiDefs!J$2:J$197,$AC49))</f>
        <v>0</v>
      </c>
      <c r="AN49" s="54" t="str">
        <f>IF($AC49="","",INDEX(tblIndiDefs!K$2:K$197,$AC49))</f>
        <v>Potencia media de la que disponen las locomotoras utilizadas para transporte de mercancías.</v>
      </c>
    </row>
    <row r="50" spans="1:40" x14ac:dyDescent="0.2">
      <c r="A50" s="49">
        <v>49</v>
      </c>
      <c r="B50" s="49" t="s">
        <v>354</v>
      </c>
      <c r="C50" s="49" t="s">
        <v>342</v>
      </c>
      <c r="D50" s="49">
        <v>1</v>
      </c>
      <c r="E50" s="49">
        <v>1</v>
      </c>
      <c r="F50" s="49">
        <v>49</v>
      </c>
      <c r="G50" s="49">
        <v>0</v>
      </c>
      <c r="N50" s="97">
        <v>1</v>
      </c>
      <c r="O50" s="55" t="str">
        <f>CHOOSE(uxbWorks!$B$7,AE50,AJ50)</f>
        <v>Freight cars</v>
      </c>
      <c r="P50" s="55" t="str">
        <f>CHOOSE(uxbWorks!$B$7,AF50,AK50)</f>
        <v># cars</v>
      </c>
      <c r="Q50" s="55" t="str">
        <f>CHOOSE(uxbWorks!$B$7,AG50,AL50)</f>
        <v>Railway transport</v>
      </c>
      <c r="R50" s="55" t="str">
        <f>IF(CHOOSE(uxbWorks!$B$7,AI50,AN50)=0,"",CHOOSE(uxbWorks!$B$7,AI50,AN50))</f>
        <v>Total number of registered freight wagons</v>
      </c>
      <c r="S50" s="49">
        <v>0</v>
      </c>
      <c r="W50" s="56" t="str">
        <f t="shared" si="3"/>
        <v xml:space="preserve">  Freight cars</v>
      </c>
      <c r="X50" s="56" t="str">
        <f t="shared" si="5"/>
        <v>Railway transportation</v>
      </c>
      <c r="Y50" s="56" t="str">
        <f t="shared" si="4"/>
        <v>RAILWAY TRANSPORTATION »</v>
      </c>
      <c r="AA50" s="54"/>
      <c r="AB50" s="54" t="s">
        <v>355</v>
      </c>
      <c r="AC50" s="55">
        <f>IF($D50=0,"",MATCH($F50,tblIndiDefs!$A$2:$A$89,0))</f>
        <v>46</v>
      </c>
      <c r="AE50" s="54" t="str">
        <f>IF($AC50="","",INDEX(tblIndiDefs!B$2:B$197,$AC50))</f>
        <v>Freight cars</v>
      </c>
      <c r="AF50" s="54" t="str">
        <f>IF($AC50="","",INDEX(tblIndiDefs!C$2:C$197,$AC50))</f>
        <v># cars</v>
      </c>
      <c r="AG50" s="54" t="str">
        <f>IF($AC50="","",INDEX(tblIndiDefs!D$2:D$197,$AC50))</f>
        <v>Railway transport</v>
      </c>
      <c r="AH50" s="54">
        <f>IF($AC50="","",INDEX(tblIndiDefs!E$2:E$197,$AC50))</f>
        <v>0</v>
      </c>
      <c r="AI50" s="54" t="str">
        <f>IF($AC50="","",INDEX(tblIndiDefs!F$2:F$197,$AC50))</f>
        <v>Total number of registered freight wagons</v>
      </c>
      <c r="AJ50" s="54" t="str">
        <f>IF($AC50="","",INDEX(tblIndiDefs!G$2:G$197,$AC50))</f>
        <v>Vagones de carga</v>
      </c>
      <c r="AK50" s="54" t="str">
        <f>IF($AC50="","",INDEX(tblIndiDefs!H$2:H$197,$AC50))</f>
        <v># vagones</v>
      </c>
      <c r="AL50" s="54" t="str">
        <f>IF($AC50="","",INDEX(tblIndiDefs!I$2:I$197,$AC50))</f>
        <v>Transporte ferroviario</v>
      </c>
      <c r="AM50" s="54">
        <f>IF($AC50="","",INDEX(tblIndiDefs!J$2:J$197,$AC50))</f>
        <v>0</v>
      </c>
      <c r="AN50" s="54" t="str">
        <f>IF($AC50="","",INDEX(tblIndiDefs!K$2:K$197,$AC50))</f>
        <v>Número total de vagones de carga registrados de forma oficial</v>
      </c>
    </row>
    <row r="51" spans="1:40" x14ac:dyDescent="0.2">
      <c r="A51" s="49">
        <v>50</v>
      </c>
      <c r="B51" s="49" t="s">
        <v>356</v>
      </c>
      <c r="C51" s="49" t="s">
        <v>342</v>
      </c>
      <c r="D51" s="49">
        <v>1</v>
      </c>
      <c r="E51" s="49">
        <v>1</v>
      </c>
      <c r="F51" s="49">
        <v>50</v>
      </c>
      <c r="G51" s="49">
        <v>0</v>
      </c>
      <c r="N51" s="97">
        <v>1</v>
      </c>
      <c r="O51" s="55" t="str">
        <f>CHOOSE(uxbWorks!$B$7,AE51,AJ51)</f>
        <v>Freight car fleet static capacity</v>
      </c>
      <c r="P51" s="55" t="str">
        <f>CHOOSE(uxbWorks!$B$7,AF51,AK51)</f>
        <v>ton</v>
      </c>
      <c r="Q51" s="55" t="str">
        <f>CHOOSE(uxbWorks!$B$7,AG51,AL51)</f>
        <v>Railway transport</v>
      </c>
      <c r="R51" s="55" t="str">
        <f>IF(CHOOSE(uxbWorks!$B$7,AI51,AN51)=0,"",CHOOSE(uxbWorks!$B$7,AI51,AN51))</f>
        <v>Refers to the total carrying capacity of rolling stock</v>
      </c>
      <c r="S51" s="49">
        <v>0</v>
      </c>
      <c r="W51" s="56" t="str">
        <f t="shared" si="3"/>
        <v xml:space="preserve">  Freight car fleet static capacity</v>
      </c>
      <c r="X51" s="56" t="str">
        <f t="shared" si="5"/>
        <v>Railway transportation</v>
      </c>
      <c r="Y51" s="56" t="str">
        <f t="shared" si="4"/>
        <v>RAILWAY TRANSPORTATION »</v>
      </c>
      <c r="AA51" s="54"/>
      <c r="AB51" s="54" t="s">
        <v>357</v>
      </c>
      <c r="AC51" s="55">
        <f>IF($D51=0,"",MATCH($F51,tblIndiDefs!$A$2:$A$89,0))</f>
        <v>47</v>
      </c>
      <c r="AE51" s="54" t="str">
        <f>IF($AC51="","",INDEX(tblIndiDefs!B$2:B$197,$AC51))</f>
        <v>Freight car fleet static capacity</v>
      </c>
      <c r="AF51" s="54" t="str">
        <f>IF($AC51="","",INDEX(tblIndiDefs!C$2:C$197,$AC51))</f>
        <v>ton</v>
      </c>
      <c r="AG51" s="54" t="str">
        <f>IF($AC51="","",INDEX(tblIndiDefs!D$2:D$197,$AC51))</f>
        <v>Railway transport</v>
      </c>
      <c r="AH51" s="54">
        <f>IF($AC51="","",INDEX(tblIndiDefs!E$2:E$197,$AC51))</f>
        <v>0</v>
      </c>
      <c r="AI51" s="54" t="str">
        <f>IF($AC51="","",INDEX(tblIndiDefs!F$2:F$197,$AC51))</f>
        <v>Refers to the total carrying capacity of rolling stock</v>
      </c>
      <c r="AJ51" s="54" t="str">
        <f>IF($AC51="","",INDEX(tblIndiDefs!G$2:G$197,$AC51))</f>
        <v>Capacidad estática de carga</v>
      </c>
      <c r="AK51" s="54" t="str">
        <f>IF($AC51="","",INDEX(tblIndiDefs!H$2:H$197,$AC51))</f>
        <v>ton</v>
      </c>
      <c r="AL51" s="54" t="str">
        <f>IF($AC51="","",INDEX(tblIndiDefs!I$2:I$197,$AC51))</f>
        <v>Transporte ferroviario</v>
      </c>
      <c r="AM51" s="54">
        <f>IF($AC51="","",INDEX(tblIndiDefs!J$2:J$197,$AC51))</f>
        <v>0</v>
      </c>
      <c r="AN51" s="54" t="str">
        <f>IF($AC51="","",INDEX(tblIndiDefs!K$2:K$197,$AC51))</f>
        <v>Se refiere a la capacidad transportadora total del material rodante ferroviario de carga del país</v>
      </c>
    </row>
    <row r="52" spans="1:40" x14ac:dyDescent="0.2">
      <c r="A52" s="49">
        <v>51</v>
      </c>
      <c r="B52" s="49" t="s">
        <v>358</v>
      </c>
      <c r="C52" s="49" t="s">
        <v>342</v>
      </c>
      <c r="D52" s="49">
        <v>1</v>
      </c>
      <c r="E52" s="49">
        <v>1</v>
      </c>
      <c r="F52" s="49">
        <v>52</v>
      </c>
      <c r="G52" s="49">
        <v>0</v>
      </c>
      <c r="N52" s="97">
        <v>1</v>
      </c>
      <c r="O52" s="55" t="str">
        <f>CHOOSE(uxbWorks!$B$7,AE52,AJ52)</f>
        <v>Railway freight companies</v>
      </c>
      <c r="P52" s="55" t="str">
        <f>CHOOSE(uxbWorks!$B$7,AF52,AK52)</f>
        <v># companies</v>
      </c>
      <c r="Q52" s="55" t="str">
        <f>CHOOSE(uxbWorks!$B$7,AG52,AL52)</f>
        <v>Railway transport</v>
      </c>
      <c r="R52" s="55" t="str">
        <f>IF(CHOOSE(uxbWorks!$B$7,AI52,AN52)=0,"",CHOOSE(uxbWorks!$B$7,AI52,AN52))</f>
        <v>Number of companies engaged in related railway freight activities.</v>
      </c>
      <c r="S52" s="49">
        <v>0</v>
      </c>
      <c r="W52" s="56" t="str">
        <f t="shared" si="3"/>
        <v xml:space="preserve">  Railway freight companies</v>
      </c>
      <c r="X52" s="56" t="str">
        <f t="shared" si="5"/>
        <v>Railway transportation</v>
      </c>
      <c r="Y52" s="56" t="str">
        <f t="shared" si="4"/>
        <v>RAILWAY TRANSPORTATION »</v>
      </c>
      <c r="AA52" s="54"/>
      <c r="AB52" s="54" t="s">
        <v>739</v>
      </c>
      <c r="AC52" s="55">
        <f>IF($D52=0,"",MATCH($F52,tblIndiDefs!$A$2:$A$89,0))</f>
        <v>48</v>
      </c>
      <c r="AE52" s="54" t="str">
        <f>IF($AC52="","",INDEX(tblIndiDefs!B$2:B$197,$AC52))</f>
        <v>Railway freight companies</v>
      </c>
      <c r="AF52" s="54" t="str">
        <f>IF($AC52="","",INDEX(tblIndiDefs!C$2:C$197,$AC52))</f>
        <v># companies</v>
      </c>
      <c r="AG52" s="54" t="str">
        <f>IF($AC52="","",INDEX(tblIndiDefs!D$2:D$197,$AC52))</f>
        <v>Railway transport</v>
      </c>
      <c r="AH52" s="54">
        <f>IF($AC52="","",INDEX(tblIndiDefs!E$2:E$197,$AC52))</f>
        <v>0</v>
      </c>
      <c r="AI52" s="54" t="str">
        <f>IF($AC52="","",INDEX(tblIndiDefs!F$2:F$197,$AC52))</f>
        <v>Number of companies engaged in related railway freight activities.</v>
      </c>
      <c r="AJ52" s="54" t="str">
        <f>IF($AC52="","",INDEX(tblIndiDefs!G$2:G$197,$AC52))</f>
        <v>Empresas ferroviarias de carga</v>
      </c>
      <c r="AK52" s="54" t="str">
        <f>IF($AC52="","",INDEX(tblIndiDefs!H$2:H$197,$AC52))</f>
        <v># empresas</v>
      </c>
      <c r="AL52" s="54" t="str">
        <f>IF($AC52="","",INDEX(tblIndiDefs!I$2:I$197,$AC52))</f>
        <v>Transporte ferroviario</v>
      </c>
      <c r="AM52" s="54">
        <f>IF($AC52="","",INDEX(tblIndiDefs!J$2:J$197,$AC52))</f>
        <v>0</v>
      </c>
      <c r="AN52" s="54" t="str">
        <f>IF($AC52="","",INDEX(tblIndiDefs!K$2:K$197,$AC52))</f>
        <v>Número de empresas dedicadas a actividades relacionadas con el transporte ferroviario de mercancías.</v>
      </c>
    </row>
    <row r="53" spans="1:40" x14ac:dyDescent="0.2">
      <c r="A53" s="49">
        <v>52</v>
      </c>
      <c r="B53" s="49" t="s">
        <v>359</v>
      </c>
      <c r="C53" s="49" t="s">
        <v>342</v>
      </c>
      <c r="D53" s="49">
        <v>1</v>
      </c>
      <c r="E53" s="49">
        <v>1</v>
      </c>
      <c r="F53" s="49">
        <v>53</v>
      </c>
      <c r="G53" s="49">
        <v>0</v>
      </c>
      <c r="N53" s="97">
        <v>1</v>
      </c>
      <c r="O53" s="55" t="str">
        <f>CHOOSE(uxbWorks!$B$7,AE53,AJ53)</f>
        <v>Direct employment in railway transportation rail freight</v>
      </c>
      <c r="P53" s="55" t="str">
        <f>CHOOSE(uxbWorks!$B$7,AF53,AK53)</f>
        <v># employees</v>
      </c>
      <c r="Q53" s="55" t="str">
        <f>CHOOSE(uxbWorks!$B$7,AG53,AL53)</f>
        <v>Railway transport</v>
      </c>
      <c r="R53" s="55" t="str">
        <f>IF(CHOOSE(uxbWorks!$B$7,AI53,AN53)=0,"",CHOOSE(uxbWorks!$B$7,AI53,AN53))</f>
        <v>Employment generated directly by the companies involved in rail freight</v>
      </c>
      <c r="S53" s="49">
        <v>0</v>
      </c>
      <c r="W53" s="56" t="str">
        <f t="shared" si="3"/>
        <v xml:space="preserve">  Direct employment in railway transportation rail freight</v>
      </c>
      <c r="X53" s="56" t="str">
        <f t="shared" si="5"/>
        <v>Railway transportation</v>
      </c>
      <c r="Y53" s="56" t="str">
        <f t="shared" si="4"/>
        <v>RAILWAY TRANSPORTATION »</v>
      </c>
      <c r="AA53" s="54"/>
      <c r="AB53" s="54" t="s">
        <v>740</v>
      </c>
      <c r="AC53" s="55">
        <f>IF($D53=0,"",MATCH($F53,tblIndiDefs!$A$2:$A$89,0))</f>
        <v>49</v>
      </c>
      <c r="AE53" s="54" t="str">
        <f>IF($AC53="","",INDEX(tblIndiDefs!B$2:B$197,$AC53))</f>
        <v>Direct employment in railway transportation rail freight</v>
      </c>
      <c r="AF53" s="54" t="str">
        <f>IF($AC53="","",INDEX(tblIndiDefs!C$2:C$197,$AC53))</f>
        <v># employees</v>
      </c>
      <c r="AG53" s="54" t="str">
        <f>IF($AC53="","",INDEX(tblIndiDefs!D$2:D$197,$AC53))</f>
        <v>Railway transport</v>
      </c>
      <c r="AH53" s="54">
        <f>IF($AC53="","",INDEX(tblIndiDefs!E$2:E$197,$AC53))</f>
        <v>0</v>
      </c>
      <c r="AI53" s="54" t="str">
        <f>IF($AC53="","",INDEX(tblIndiDefs!F$2:F$197,$AC53))</f>
        <v>Employment generated directly by the companies involved in rail freight</v>
      </c>
      <c r="AJ53" s="54" t="str">
        <f>IF($AC53="","",INDEX(tblIndiDefs!G$2:G$197,$AC53))</f>
        <v>Empleo directo transporte ferroviario</v>
      </c>
      <c r="AK53" s="54" t="str">
        <f>IF($AC53="","",INDEX(tblIndiDefs!H$2:H$197,$AC53))</f>
        <v># empleados</v>
      </c>
      <c r="AL53" s="54" t="str">
        <f>IF($AC53="","",INDEX(tblIndiDefs!I$2:I$197,$AC53))</f>
        <v>Transporte ferroviario</v>
      </c>
      <c r="AM53" s="54">
        <f>IF($AC53="","",INDEX(tblIndiDefs!J$2:J$197,$AC53))</f>
        <v>0</v>
      </c>
      <c r="AN53" s="54" t="str">
        <f>IF($AC53="","",INDEX(tblIndiDefs!K$2:K$197,$AC53))</f>
        <v>Empleo generado de forma directa por las empresas dedicadas al transporte ferroviario de carga</v>
      </c>
    </row>
    <row r="54" spans="1:40" x14ac:dyDescent="0.2">
      <c r="A54" s="49">
        <v>53</v>
      </c>
      <c r="B54" s="49" t="s">
        <v>360</v>
      </c>
      <c r="C54" s="49" t="s">
        <v>342</v>
      </c>
      <c r="D54" s="49">
        <v>1</v>
      </c>
      <c r="E54" s="49">
        <v>1</v>
      </c>
      <c r="F54" s="49">
        <v>54</v>
      </c>
      <c r="G54" s="49">
        <v>0</v>
      </c>
      <c r="N54" s="97">
        <v>1</v>
      </c>
      <c r="O54" s="55" t="str">
        <f>CHOOSE(uxbWorks!$B$7,AE54,AJ54)</f>
        <v>Fuel consumption rail freight</v>
      </c>
      <c r="P54" s="55" t="str">
        <f>CHOOSE(uxbWorks!$B$7,AF54,AK54)</f>
        <v>lt</v>
      </c>
      <c r="Q54" s="55" t="str">
        <f>CHOOSE(uxbWorks!$B$7,AG54,AL54)</f>
        <v>Railway transport</v>
      </c>
      <c r="R54" s="55" t="str">
        <f>IF(CHOOSE(uxbWorks!$B$7,AI54,AN54)=0,"",CHOOSE(uxbWorks!$B$7,AI54,AN54))</f>
        <v>Annual consumption of fuel in the rail sector</v>
      </c>
      <c r="S54" s="49">
        <v>0</v>
      </c>
      <c r="W54" s="56" t="str">
        <f t="shared" si="3"/>
        <v xml:space="preserve">  Fuel consumption rail freight</v>
      </c>
      <c r="X54" s="56" t="str">
        <f t="shared" si="5"/>
        <v>Railway transportation</v>
      </c>
      <c r="Y54" s="56" t="str">
        <f t="shared" si="4"/>
        <v>RAILWAY TRANSPORTATION »</v>
      </c>
      <c r="AA54" s="54"/>
      <c r="AB54" s="54" t="s">
        <v>741</v>
      </c>
      <c r="AC54" s="55">
        <f>IF($D54=0,"",MATCH($F54,tblIndiDefs!$A$2:$A$89,0))</f>
        <v>50</v>
      </c>
      <c r="AE54" s="54" t="str">
        <f>IF($AC54="","",INDEX(tblIndiDefs!B$2:B$197,$AC54))</f>
        <v>Fuel consumption rail freight</v>
      </c>
      <c r="AF54" s="54" t="str">
        <f>IF($AC54="","",INDEX(tblIndiDefs!C$2:C$197,$AC54))</f>
        <v>lt</v>
      </c>
      <c r="AG54" s="54" t="str">
        <f>IF($AC54="","",INDEX(tblIndiDefs!D$2:D$197,$AC54))</f>
        <v>Railway transport</v>
      </c>
      <c r="AH54" s="54">
        <f>IF($AC54="","",INDEX(tblIndiDefs!E$2:E$197,$AC54))</f>
        <v>0</v>
      </c>
      <c r="AI54" s="54" t="str">
        <f>IF($AC54="","",INDEX(tblIndiDefs!F$2:F$197,$AC54))</f>
        <v>Annual consumption of fuel in the rail sector</v>
      </c>
      <c r="AJ54" s="54" t="str">
        <f>IF($AC54="","",INDEX(tblIndiDefs!G$2:G$197,$AC54))</f>
        <v>Consumo combustible carga ferroviaria</v>
      </c>
      <c r="AK54" s="54" t="str">
        <f>IF($AC54="","",INDEX(tblIndiDefs!H$2:H$197,$AC54))</f>
        <v>lt</v>
      </c>
      <c r="AL54" s="54" t="str">
        <f>IF($AC54="","",INDEX(tblIndiDefs!I$2:I$197,$AC54))</f>
        <v>Transporte ferroviario</v>
      </c>
      <c r="AM54" s="54">
        <f>IF($AC54="","",INDEX(tblIndiDefs!J$2:J$197,$AC54))</f>
        <v>0</v>
      </c>
      <c r="AN54" s="54" t="str">
        <f>IF($AC54="","",INDEX(tblIndiDefs!K$2:K$197,$AC54))</f>
        <v>Consumo anual de combustible en el sector ferroviario</v>
      </c>
    </row>
    <row r="55" spans="1:40" x14ac:dyDescent="0.2">
      <c r="A55" s="49">
        <v>54</v>
      </c>
      <c r="B55" s="49" t="s">
        <v>361</v>
      </c>
      <c r="C55" s="49" t="s">
        <v>342</v>
      </c>
      <c r="D55" s="49">
        <v>1</v>
      </c>
      <c r="E55" s="49">
        <v>1</v>
      </c>
      <c r="F55" s="49">
        <v>55</v>
      </c>
      <c r="G55" s="49">
        <v>0</v>
      </c>
      <c r="N55" s="97">
        <v>1</v>
      </c>
      <c r="O55" s="55" t="str">
        <f>CHOOSE(uxbWorks!$B$7,AE55,AJ55)</f>
        <v>Electric power consumption rail freight</v>
      </c>
      <c r="P55" s="55" t="str">
        <f>CHOOSE(uxbWorks!$B$7,AF55,AK55)</f>
        <v>kWh</v>
      </c>
      <c r="Q55" s="55" t="str">
        <f>CHOOSE(uxbWorks!$B$7,AG55,AL55)</f>
        <v>Railway transport</v>
      </c>
      <c r="R55" s="55" t="str">
        <f>IF(CHOOSE(uxbWorks!$B$7,AI55,AN55)=0,"",CHOOSE(uxbWorks!$B$7,AI55,AN55))</f>
        <v>Annual consumption of electricity for electrified rail transport network</v>
      </c>
      <c r="S55" s="49">
        <v>0</v>
      </c>
      <c r="W55" s="56" t="str">
        <f t="shared" si="3"/>
        <v xml:space="preserve">  Electric power consumption rail freight</v>
      </c>
      <c r="X55" s="56" t="str">
        <f t="shared" si="5"/>
        <v>Railway transportation</v>
      </c>
      <c r="Y55" s="56" t="str">
        <f t="shared" si="4"/>
        <v>RAILWAY TRANSPORTATION »</v>
      </c>
      <c r="AA55" s="54"/>
      <c r="AB55" s="54" t="s">
        <v>742</v>
      </c>
      <c r="AC55" s="55">
        <f>IF($D55=0,"",MATCH($F55,tblIndiDefs!$A$2:$A$89,0))</f>
        <v>51</v>
      </c>
      <c r="AE55" s="54" t="str">
        <f>IF($AC55="","",INDEX(tblIndiDefs!B$2:B$197,$AC55))</f>
        <v>Electric power consumption rail freight</v>
      </c>
      <c r="AF55" s="54" t="str">
        <f>IF($AC55="","",INDEX(tblIndiDefs!C$2:C$197,$AC55))</f>
        <v>kWh</v>
      </c>
      <c r="AG55" s="54" t="str">
        <f>IF($AC55="","",INDEX(tblIndiDefs!D$2:D$197,$AC55))</f>
        <v>Railway transport</v>
      </c>
      <c r="AH55" s="54">
        <f>IF($AC55="","",INDEX(tblIndiDefs!E$2:E$197,$AC55))</f>
        <v>0</v>
      </c>
      <c r="AI55" s="54" t="str">
        <f>IF($AC55="","",INDEX(tblIndiDefs!F$2:F$197,$AC55))</f>
        <v>Annual consumption of electricity for electrified rail transport network</v>
      </c>
      <c r="AJ55" s="54" t="str">
        <f>IF($AC55="","",INDEX(tblIndiDefs!G$2:G$197,$AC55))</f>
        <v>Consumo energía eléctrica carga ferroviaria</v>
      </c>
      <c r="AK55" s="54" t="str">
        <f>IF($AC55="","",INDEX(tblIndiDefs!H$2:H$197,$AC55))</f>
        <v>kWh</v>
      </c>
      <c r="AL55" s="54" t="str">
        <f>IF($AC55="","",INDEX(tblIndiDefs!I$2:I$197,$AC55))</f>
        <v>Transporte ferroviario</v>
      </c>
      <c r="AM55" s="54">
        <f>IF($AC55="","",INDEX(tblIndiDefs!J$2:J$197,$AC55))</f>
        <v>0</v>
      </c>
      <c r="AN55" s="54" t="str">
        <f>IF($AC55="","",INDEX(tblIndiDefs!K$2:K$197,$AC55))</f>
        <v>Consumo anual de electricidad para el transporte ferroviario por red electrificada</v>
      </c>
    </row>
    <row r="56" spans="1:40" x14ac:dyDescent="0.2">
      <c r="A56" s="49">
        <v>55</v>
      </c>
      <c r="B56" s="49" t="s">
        <v>362</v>
      </c>
      <c r="C56" s="49" t="s">
        <v>342</v>
      </c>
      <c r="D56" s="49">
        <v>1</v>
      </c>
      <c r="E56" s="49">
        <v>1</v>
      </c>
      <c r="F56" s="49">
        <v>56</v>
      </c>
      <c r="G56" s="49">
        <v>1</v>
      </c>
      <c r="N56" s="97">
        <v>1</v>
      </c>
      <c r="O56" s="55" t="str">
        <f>CHOOSE(uxbWorks!$B$7,AE56,AJ56)</f>
        <v>Estimated CO2 emissions rail freight</v>
      </c>
      <c r="P56" s="55" t="str">
        <f>CHOOSE(uxbWorks!$B$7,AF56,AK56)</f>
        <v>tons</v>
      </c>
      <c r="Q56" s="55" t="str">
        <f>CHOOSE(uxbWorks!$B$7,AG56,AL56)</f>
        <v>Railway transport</v>
      </c>
      <c r="R56" s="55" t="str">
        <f>IF(CHOOSE(uxbWorks!$B$7,AI56,AN56)=0,"",CHOOSE(uxbWorks!$B$7,AI56,AN56))</f>
        <v>Carbon dioxide emissions due to railway transport activity.</v>
      </c>
      <c r="S56" s="49">
        <v>0</v>
      </c>
      <c r="W56" s="56" t="str">
        <f t="shared" si="3"/>
        <v xml:space="preserve">  Estimated CO2 emissions rail freight</v>
      </c>
      <c r="X56" s="56" t="str">
        <f t="shared" si="5"/>
        <v>Railway transportation</v>
      </c>
      <c r="Y56" s="56" t="str">
        <f t="shared" si="4"/>
        <v>RAILWAY TRANSPORTATION »</v>
      </c>
      <c r="AA56" s="54"/>
      <c r="AB56" s="54" t="s">
        <v>332</v>
      </c>
      <c r="AC56" s="55">
        <f>IF($D56=0,"",MATCH($F56,tblIndiDefs!$A$2:$A$89,0))</f>
        <v>52</v>
      </c>
      <c r="AE56" s="54" t="str">
        <f>IF($AC56="","",INDEX(tblIndiDefs!B$2:B$197,$AC56))</f>
        <v>Estimated CO2 emissions rail freight</v>
      </c>
      <c r="AF56" s="54" t="str">
        <f>IF($AC56="","",INDEX(tblIndiDefs!C$2:C$197,$AC56))</f>
        <v>tons</v>
      </c>
      <c r="AG56" s="54" t="str">
        <f>IF($AC56="","",INDEX(tblIndiDefs!D$2:D$197,$AC56))</f>
        <v>Railway transport</v>
      </c>
      <c r="AH56" s="54">
        <f>IF($AC56="","",INDEX(tblIndiDefs!E$2:E$197,$AC56))</f>
        <v>0</v>
      </c>
      <c r="AI56" s="54" t="str">
        <f>IF($AC56="","",INDEX(tblIndiDefs!F$2:F$197,$AC56))</f>
        <v>Carbon dioxide emissions due to railway transport activity.</v>
      </c>
      <c r="AJ56" s="54" t="str">
        <f>IF($AC56="","",INDEX(tblIndiDefs!G$2:G$197,$AC56))</f>
        <v>Emisiones estimadas de CO2 carga ferroviaria</v>
      </c>
      <c r="AK56" s="54" t="str">
        <f>IF($AC56="","",INDEX(tblIndiDefs!H$2:H$197,$AC56))</f>
        <v>ton</v>
      </c>
      <c r="AL56" s="54" t="str">
        <f>IF($AC56="","",INDEX(tblIndiDefs!I$2:I$197,$AC56))</f>
        <v>Transporte ferroviario</v>
      </c>
      <c r="AM56" s="54">
        <f>IF($AC56="","",INDEX(tblIndiDefs!J$2:J$197,$AC56))</f>
        <v>0</v>
      </c>
      <c r="AN56" s="54" t="str">
        <f>IF($AC56="","",INDEX(tblIndiDefs!K$2:K$197,$AC56))</f>
        <v>Emisiones de dióxido de carbono debidas a la actividad del transporte ferroviario.</v>
      </c>
    </row>
    <row r="57" spans="1:40" x14ac:dyDescent="0.2">
      <c r="A57" s="49">
        <v>56</v>
      </c>
      <c r="B57" s="49" t="s">
        <v>363</v>
      </c>
      <c r="C57" s="49" t="s">
        <v>342</v>
      </c>
      <c r="D57" s="49">
        <v>1</v>
      </c>
      <c r="E57" s="49">
        <v>1</v>
      </c>
      <c r="F57" s="49">
        <v>57</v>
      </c>
      <c r="G57" s="49">
        <v>0</v>
      </c>
      <c r="N57" s="97">
        <v>1</v>
      </c>
      <c r="O57" s="55" t="str">
        <f>CHOOSE(uxbWorks!$B$7,AE57,AJ57)</f>
        <v>Rail freight -productivity</v>
      </c>
      <c r="P57" s="55" t="str">
        <f>CHOOSE(uxbWorks!$B$7,AF57,AK57)</f>
        <v>million t-km</v>
      </c>
      <c r="Q57" s="55" t="str">
        <f>CHOOSE(uxbWorks!$B$7,AG57,AL57)</f>
        <v>Railway transport</v>
      </c>
      <c r="R57" s="55" t="str">
        <f>IF(CHOOSE(uxbWorks!$B$7,AI57,AN57)=0,"",CHOOSE(uxbWorks!$B$7,AI57,AN57))</f>
        <v>Unit of measure of goods transport which represents the transport of one tonne by rail over one kilometre. The distance to be considered is the distance actually run.</v>
      </c>
      <c r="S57" s="49">
        <v>0</v>
      </c>
      <c r="W57" s="56" t="str">
        <f t="shared" si="3"/>
        <v xml:space="preserve">  Rail freight -productivity</v>
      </c>
      <c r="X57" s="56" t="str">
        <f t="shared" si="5"/>
        <v>Railway transportation</v>
      </c>
      <c r="Y57" s="56" t="str">
        <f t="shared" si="4"/>
        <v>RAILWAY TRANSPORTATION »</v>
      </c>
      <c r="AA57" s="54"/>
      <c r="AB57" s="54" t="s">
        <v>743</v>
      </c>
      <c r="AC57" s="55">
        <f>IF($D57=0,"",MATCH($F57,tblIndiDefs!$A$2:$A$89,0))</f>
        <v>53</v>
      </c>
      <c r="AE57" s="54" t="str">
        <f>IF($AC57="","",INDEX(tblIndiDefs!B$2:B$197,$AC57))</f>
        <v>Rail freight -productivity</v>
      </c>
      <c r="AF57" s="54" t="str">
        <f>IF($AC57="","",INDEX(tblIndiDefs!C$2:C$197,$AC57))</f>
        <v>million t-km</v>
      </c>
      <c r="AG57" s="54" t="str">
        <f>IF($AC57="","",INDEX(tblIndiDefs!D$2:D$197,$AC57))</f>
        <v>Railway transport</v>
      </c>
      <c r="AH57" s="54">
        <f>IF($AC57="","",INDEX(tblIndiDefs!E$2:E$197,$AC57))</f>
        <v>0</v>
      </c>
      <c r="AI57" s="54" t="str">
        <f>IF($AC57="","",INDEX(tblIndiDefs!F$2:F$197,$AC57))</f>
        <v>Unit of measure of goods transport which represents the transport of one tonne by rail over one kilometre. The distance to be considered is the distance actually run.</v>
      </c>
      <c r="AJ57" s="54" t="str">
        <f>IF($AC57="","",INDEX(tblIndiDefs!G$2:G$197,$AC57))</f>
        <v>Carga ferroviaria -productividad</v>
      </c>
      <c r="AK57" s="54" t="str">
        <f>IF($AC57="","",INDEX(tblIndiDefs!H$2:H$197,$AC57))</f>
        <v>millones t-km</v>
      </c>
      <c r="AL57" s="54" t="str">
        <f>IF($AC57="","",INDEX(tblIndiDefs!I$2:I$197,$AC57))</f>
        <v>Transporte ferroviario</v>
      </c>
      <c r="AM57" s="54">
        <f>IF($AC57="","",INDEX(tblIndiDefs!J$2:J$197,$AC57))</f>
        <v>0</v>
      </c>
      <c r="AN57" s="54" t="str">
        <f>IF($AC57="","",INDEX(tblIndiDefs!K$2:K$197,$AC57))</f>
        <v>Unidad de medida que representa el transporte de una tonelada por ferrocarril por un kilometro de via. La distancia a considerar es la efectivamente recorrida.</v>
      </c>
    </row>
    <row r="58" spans="1:40" x14ac:dyDescent="0.2">
      <c r="A58" s="49">
        <v>57</v>
      </c>
      <c r="B58" s="49" t="s">
        <v>364</v>
      </c>
      <c r="C58" s="49" t="s">
        <v>342</v>
      </c>
      <c r="D58" s="49">
        <v>1</v>
      </c>
      <c r="E58" s="49">
        <v>1</v>
      </c>
      <c r="F58" s="49">
        <v>58</v>
      </c>
      <c r="G58" s="49">
        <v>0</v>
      </c>
      <c r="N58" s="97">
        <v>1</v>
      </c>
      <c r="O58" s="55" t="str">
        <f>CHOOSE(uxbWorks!$B$7,AE58,AJ58)</f>
        <v>Total rail freight</v>
      </c>
      <c r="P58" s="55" t="str">
        <f>CHOOSE(uxbWorks!$B$7,AF58,AK58)</f>
        <v>tons</v>
      </c>
      <c r="Q58" s="55" t="str">
        <f>CHOOSE(uxbWorks!$B$7,AG58,AL58)</f>
        <v>Railway transport</v>
      </c>
      <c r="R58" s="55" t="str">
        <f>IF(CHOOSE(uxbWorks!$B$7,AI58,AN58)=0,"",CHOOSE(uxbWorks!$B$7,AI58,AN58))</f>
        <v>Weight of cargo transported by rail within the national territory.</v>
      </c>
      <c r="S58" s="49">
        <v>0</v>
      </c>
      <c r="W58" s="56" t="str">
        <f t="shared" si="3"/>
        <v xml:space="preserve">  Total rail freight</v>
      </c>
      <c r="X58" s="56" t="str">
        <f t="shared" si="5"/>
        <v>Railway transportation</v>
      </c>
      <c r="Y58" s="56" t="str">
        <f t="shared" si="4"/>
        <v>RAILWAY TRANSPORTATION »</v>
      </c>
      <c r="AA58" s="54"/>
      <c r="AB58" s="54" t="s">
        <v>744</v>
      </c>
      <c r="AC58" s="55">
        <f>IF($D58=0,"",MATCH($F58,tblIndiDefs!$A$2:$A$89,0))</f>
        <v>54</v>
      </c>
      <c r="AE58" s="54" t="str">
        <f>IF($AC58="","",INDEX(tblIndiDefs!B$2:B$197,$AC58))</f>
        <v>Total rail freight</v>
      </c>
      <c r="AF58" s="54" t="str">
        <f>IF($AC58="","",INDEX(tblIndiDefs!C$2:C$197,$AC58))</f>
        <v>tons</v>
      </c>
      <c r="AG58" s="54" t="str">
        <f>IF($AC58="","",INDEX(tblIndiDefs!D$2:D$197,$AC58))</f>
        <v>Railway transport</v>
      </c>
      <c r="AH58" s="54">
        <f>IF($AC58="","",INDEX(tblIndiDefs!E$2:E$197,$AC58))</f>
        <v>0</v>
      </c>
      <c r="AI58" s="54" t="str">
        <f>IF($AC58="","",INDEX(tblIndiDefs!F$2:F$197,$AC58))</f>
        <v>Weight of cargo transported by rail within the national territory.</v>
      </c>
      <c r="AJ58" s="54" t="str">
        <f>IF($AC58="","",INDEX(tblIndiDefs!G$2:G$197,$AC58))</f>
        <v>Carga ferroviaria total</v>
      </c>
      <c r="AK58" s="54" t="str">
        <f>IF($AC58="","",INDEX(tblIndiDefs!H$2:H$197,$AC58))</f>
        <v>ton</v>
      </c>
      <c r="AL58" s="54" t="str">
        <f>IF($AC58="","",INDEX(tblIndiDefs!I$2:I$197,$AC58))</f>
        <v>Transporte ferroviario</v>
      </c>
      <c r="AM58" s="54">
        <f>IF($AC58="","",INDEX(tblIndiDefs!J$2:J$197,$AC58))</f>
        <v>0</v>
      </c>
      <c r="AN58" s="54" t="str">
        <f>IF($AC58="","",INDEX(tblIndiDefs!K$2:K$197,$AC58))</f>
        <v>Peso de la carga transportada por ferrocarril dentro del territorio nacional.</v>
      </c>
    </row>
    <row r="59" spans="1:40" x14ac:dyDescent="0.2">
      <c r="A59" s="49">
        <v>58</v>
      </c>
      <c r="B59" s="49" t="s">
        <v>365</v>
      </c>
      <c r="C59" s="49" t="s">
        <v>342</v>
      </c>
      <c r="D59" s="49">
        <v>1</v>
      </c>
      <c r="E59" s="49">
        <v>1</v>
      </c>
      <c r="F59" s="49">
        <v>59</v>
      </c>
      <c r="G59" s="49">
        <v>0</v>
      </c>
      <c r="N59" s="97">
        <v>1</v>
      </c>
      <c r="O59" s="55" t="str">
        <f>CHOOSE(uxbWorks!$B$7,AE59,AJ59)</f>
        <v>Annual train engine producvity</v>
      </c>
      <c r="P59" s="55" t="str">
        <f>CHOOSE(uxbWorks!$B$7,AF59,AK59)</f>
        <v>t·km/year</v>
      </c>
      <c r="Q59" s="55" t="str">
        <f>CHOOSE(uxbWorks!$B$7,AG59,AL59)</f>
        <v>Railway transport</v>
      </c>
      <c r="R59" s="55" t="str">
        <f>IF(CHOOSE(uxbWorks!$B$7,AI59,AN59)=0,"",CHOOSE(uxbWorks!$B$7,AI59,AN59))</f>
        <v>Productivity that reflects cargo carried on national territory by freight locomotive</v>
      </c>
      <c r="S59" s="49">
        <v>0</v>
      </c>
      <c r="W59" s="56" t="str">
        <f t="shared" si="3"/>
        <v xml:space="preserve">  Annual train engine producvity</v>
      </c>
      <c r="X59" s="56" t="str">
        <f t="shared" si="5"/>
        <v>Railway transportation</v>
      </c>
      <c r="Y59" s="56" t="str">
        <f t="shared" si="4"/>
        <v>RAILWAY TRANSPORTATION »</v>
      </c>
      <c r="AA59" s="54"/>
      <c r="AB59" s="54" t="s">
        <v>745</v>
      </c>
      <c r="AC59" s="55">
        <f>IF($D59=0,"",MATCH($F59,tblIndiDefs!$A$2:$A$89,0))</f>
        <v>55</v>
      </c>
      <c r="AE59" s="54" t="str">
        <f>IF($AC59="","",INDEX(tblIndiDefs!B$2:B$197,$AC59))</f>
        <v>Annual train engine producvity</v>
      </c>
      <c r="AF59" s="54" t="str">
        <f>IF($AC59="","",INDEX(tblIndiDefs!C$2:C$197,$AC59))</f>
        <v>t·km/year</v>
      </c>
      <c r="AG59" s="54" t="str">
        <f>IF($AC59="","",INDEX(tblIndiDefs!D$2:D$197,$AC59))</f>
        <v>Railway transport</v>
      </c>
      <c r="AH59" s="54">
        <f>IF($AC59="","",INDEX(tblIndiDefs!E$2:E$197,$AC59))</f>
        <v>0</v>
      </c>
      <c r="AI59" s="54" t="str">
        <f>IF($AC59="","",INDEX(tblIndiDefs!F$2:F$197,$AC59))</f>
        <v>Productivity that reflects cargo carried on national territory by freight locomotive</v>
      </c>
      <c r="AJ59" s="54" t="str">
        <f>IF($AC59="","",INDEX(tblIndiDefs!G$2:G$197,$AC59))</f>
        <v>Productividad anual por locomotora cabeza  tren</v>
      </c>
      <c r="AK59" s="54" t="str">
        <f>IF($AC59="","",INDEX(tblIndiDefs!H$2:H$197,$AC59))</f>
        <v>t·km/año</v>
      </c>
      <c r="AL59" s="54" t="str">
        <f>IF($AC59="","",INDEX(tblIndiDefs!I$2:I$197,$AC59))</f>
        <v>Transporte ferroviario</v>
      </c>
      <c r="AM59" s="54">
        <f>IF($AC59="","",INDEX(tblIndiDefs!J$2:J$197,$AC59))</f>
        <v>0</v>
      </c>
      <c r="AN59" s="54" t="str">
        <f>IF($AC59="","",INDEX(tblIndiDefs!K$2:K$197,$AC59))</f>
        <v>Productividad que refleja la carga transportada en territorio nacional por locomotora de carga</v>
      </c>
    </row>
    <row r="60" spans="1:40" x14ac:dyDescent="0.2">
      <c r="A60" s="49">
        <v>59</v>
      </c>
      <c r="B60" s="49" t="s">
        <v>366</v>
      </c>
      <c r="C60" s="49" t="s">
        <v>342</v>
      </c>
      <c r="D60" s="49">
        <v>1</v>
      </c>
      <c r="E60" s="49">
        <v>1</v>
      </c>
      <c r="F60" s="49">
        <v>60</v>
      </c>
      <c r="G60" s="49">
        <v>0</v>
      </c>
      <c r="N60" s="97">
        <v>1</v>
      </c>
      <c r="O60" s="55" t="str">
        <f>CHOOSE(uxbWorks!$B$7,AE60,AJ60)</f>
        <v>Freight car productivity</v>
      </c>
      <c r="P60" s="55" t="str">
        <f>CHOOSE(uxbWorks!$B$7,AF60,AK60)</f>
        <v>t·km/year</v>
      </c>
      <c r="Q60" s="55" t="str">
        <f>CHOOSE(uxbWorks!$B$7,AG60,AL60)</f>
        <v>Railway transport</v>
      </c>
      <c r="R60" s="55" t="str">
        <f>IF(CHOOSE(uxbWorks!$B$7,AI60,AN60)=0,"",CHOOSE(uxbWorks!$B$7,AI60,AN60))</f>
        <v>Productivity that reflects cargo carried on national territory by freight wagon</v>
      </c>
      <c r="S60" s="49">
        <v>0</v>
      </c>
      <c r="W60" s="56" t="str">
        <f t="shared" si="3"/>
        <v xml:space="preserve">  Freight car productivity</v>
      </c>
      <c r="X60" s="56" t="str">
        <f t="shared" si="5"/>
        <v>Railway transportation</v>
      </c>
      <c r="Y60" s="56" t="str">
        <f t="shared" si="4"/>
        <v>RAILWAY TRANSPORTATION »</v>
      </c>
      <c r="AA60" s="54"/>
      <c r="AB60" s="54" t="s">
        <v>746</v>
      </c>
      <c r="AC60" s="55">
        <f>IF($D60=0,"",MATCH($F60,tblIndiDefs!$A$2:$A$89,0))</f>
        <v>56</v>
      </c>
      <c r="AE60" s="54" t="str">
        <f>IF($AC60="","",INDEX(tblIndiDefs!B$2:B$197,$AC60))</f>
        <v>Freight car productivity</v>
      </c>
      <c r="AF60" s="54" t="str">
        <f>IF($AC60="","",INDEX(tblIndiDefs!C$2:C$197,$AC60))</f>
        <v>t·km/year</v>
      </c>
      <c r="AG60" s="54" t="str">
        <f>IF($AC60="","",INDEX(tblIndiDefs!D$2:D$197,$AC60))</f>
        <v>Railway transport</v>
      </c>
      <c r="AH60" s="54">
        <f>IF($AC60="","",INDEX(tblIndiDefs!E$2:E$197,$AC60))</f>
        <v>0</v>
      </c>
      <c r="AI60" s="54" t="str">
        <f>IF($AC60="","",INDEX(tblIndiDefs!F$2:F$197,$AC60))</f>
        <v>Productivity that reflects cargo carried on national territory by freight wagon</v>
      </c>
      <c r="AJ60" s="54" t="str">
        <f>IF($AC60="","",INDEX(tblIndiDefs!G$2:G$197,$AC60))</f>
        <v>Productividad anual por vagón</v>
      </c>
      <c r="AK60" s="54" t="str">
        <f>IF($AC60="","",INDEX(tblIndiDefs!H$2:H$197,$AC60))</f>
        <v>t·km/año</v>
      </c>
      <c r="AL60" s="54" t="str">
        <f>IF($AC60="","",INDEX(tblIndiDefs!I$2:I$197,$AC60))</f>
        <v>Transporte ferroviario</v>
      </c>
      <c r="AM60" s="54">
        <f>IF($AC60="","",INDEX(tblIndiDefs!J$2:J$197,$AC60))</f>
        <v>0</v>
      </c>
      <c r="AN60" s="54" t="str">
        <f>IF($AC60="","",INDEX(tblIndiDefs!K$2:K$197,$AC60))</f>
        <v>Productividad que refleja la carga transportada en territorio nacional por vagón de carga</v>
      </c>
    </row>
    <row r="61" spans="1:40" x14ac:dyDescent="0.2">
      <c r="A61" s="49">
        <v>60</v>
      </c>
      <c r="B61" s="49" t="s">
        <v>367</v>
      </c>
      <c r="C61" s="49" t="s">
        <v>342</v>
      </c>
      <c r="D61" s="49">
        <v>1</v>
      </c>
      <c r="E61" s="49">
        <v>1</v>
      </c>
      <c r="F61" s="49">
        <v>61</v>
      </c>
      <c r="G61" s="49">
        <v>2</v>
      </c>
      <c r="N61" s="97">
        <v>1</v>
      </c>
      <c r="O61" s="55" t="str">
        <f>CHOOSE(uxbWorks!$B$7,AE61,AJ61)</f>
        <v>Average rail freight tariff</v>
      </c>
      <c r="P61" s="55" t="str">
        <f>CHOOSE(uxbWorks!$B$7,AF61,AK61)</f>
        <v>US$/t-km</v>
      </c>
      <c r="Q61" s="55" t="str">
        <f>CHOOSE(uxbWorks!$B$7,AG61,AL61)</f>
        <v>Railway transport</v>
      </c>
      <c r="R61" s="55" t="str">
        <f>IF(CHOOSE(uxbWorks!$B$7,AI61,AN61)=0,"",CHOOSE(uxbWorks!$B$7,AI61,AN61))</f>
        <v>Average dollar value per ton-kilometer.</v>
      </c>
      <c r="S61" s="49">
        <v>0</v>
      </c>
      <c r="W61" s="56" t="str">
        <f t="shared" si="3"/>
        <v xml:space="preserve">  Average rail freight tariff</v>
      </c>
      <c r="X61" s="56" t="str">
        <f t="shared" si="5"/>
        <v>Railway transportation</v>
      </c>
      <c r="Y61" s="56" t="str">
        <f t="shared" si="4"/>
        <v>RAILWAY TRANSPORTATION »</v>
      </c>
      <c r="AA61" s="54"/>
      <c r="AB61" s="54" t="s">
        <v>747</v>
      </c>
      <c r="AC61" s="55">
        <f>IF($D61=0,"",MATCH($F61,tblIndiDefs!$A$2:$A$89,0))</f>
        <v>57</v>
      </c>
      <c r="AE61" s="54" t="str">
        <f>IF($AC61="","",INDEX(tblIndiDefs!B$2:B$197,$AC61))</f>
        <v>Average rail freight tariff</v>
      </c>
      <c r="AF61" s="54" t="str">
        <f>IF($AC61="","",INDEX(tblIndiDefs!C$2:C$197,$AC61))</f>
        <v>US$/t-km</v>
      </c>
      <c r="AG61" s="54" t="str">
        <f>IF($AC61="","",INDEX(tblIndiDefs!D$2:D$197,$AC61))</f>
        <v>Railway transport</v>
      </c>
      <c r="AH61" s="54">
        <f>IF($AC61="","",INDEX(tblIndiDefs!E$2:E$197,$AC61))</f>
        <v>0</v>
      </c>
      <c r="AI61" s="54" t="str">
        <f>IF($AC61="","",INDEX(tblIndiDefs!F$2:F$197,$AC61))</f>
        <v>Average dollar value per ton-kilometer.</v>
      </c>
      <c r="AJ61" s="54" t="str">
        <f>IF($AC61="","",INDEX(tblIndiDefs!G$2:G$197,$AC61))</f>
        <v>Tarifa media de carga por ferrocarril</v>
      </c>
      <c r="AK61" s="54" t="str">
        <f>IF($AC61="","",INDEX(tblIndiDefs!H$2:H$197,$AC61))</f>
        <v>US$/t-km</v>
      </c>
      <c r="AL61" s="54" t="str">
        <f>IF($AC61="","",INDEX(tblIndiDefs!I$2:I$197,$AC61))</f>
        <v>Transporte ferroviario</v>
      </c>
      <c r="AM61" s="54">
        <f>IF($AC61="","",INDEX(tblIndiDefs!J$2:J$197,$AC61))</f>
        <v>0</v>
      </c>
      <c r="AN61" s="54" t="str">
        <f>IF($AC61="","",INDEX(tblIndiDefs!K$2:K$197,$AC61))</f>
        <v>Valor medio monetario por tonelada-kilómetro recorrido.</v>
      </c>
    </row>
    <row r="62" spans="1:40" s="12" customFormat="1" x14ac:dyDescent="0.2">
      <c r="A62" s="13">
        <v>61</v>
      </c>
      <c r="B62" s="13" t="s">
        <v>368</v>
      </c>
      <c r="C62" s="13"/>
      <c r="D62" s="13">
        <v>0</v>
      </c>
      <c r="E62" s="13">
        <v>0</v>
      </c>
      <c r="F62" s="13" t="s">
        <v>157</v>
      </c>
      <c r="G62" s="13" t="s">
        <v>157</v>
      </c>
      <c r="H62" s="13"/>
      <c r="I62" s="13"/>
      <c r="J62" s="13"/>
      <c r="K62" s="13"/>
      <c r="L62" s="13"/>
      <c r="M62" s="58"/>
      <c r="N62" s="13"/>
      <c r="O62" s="67" t="str">
        <f>CHOOSE(uxbWorks!$B$7,AE62,AJ62)</f>
        <v xml:space="preserve">Air transportation </v>
      </c>
      <c r="P62" s="67" t="str">
        <f>CHOOSE(uxbWorks!$B$7,AF62,AK62)</f>
        <v/>
      </c>
      <c r="Q62" s="67" t="str">
        <f>CHOOSE(uxbWorks!$B$7,AG62,AL62)</f>
        <v/>
      </c>
      <c r="R62" s="67" t="str">
        <f>IF(CHOOSE(uxbWorks!$B$7,AI62,AN62)=0,"",CHOOSE(uxbWorks!$B$7,AI62,AN62))</f>
        <v/>
      </c>
      <c r="S62" s="13"/>
      <c r="T62" s="67"/>
      <c r="U62" s="67"/>
      <c r="W62" s="68" t="str">
        <f t="shared" si="3"/>
        <v xml:space="preserve">AIR TRANSPORTATION </v>
      </c>
      <c r="X62" s="68" t="str">
        <f t="shared" si="5"/>
        <v/>
      </c>
      <c r="Y62" s="68" t="str">
        <f t="shared" si="4"/>
        <v/>
      </c>
      <c r="AA62" s="69"/>
      <c r="AB62" s="69" t="s">
        <v>369</v>
      </c>
      <c r="AC62" s="67" t="str">
        <f>IF($D62=0,"",MATCH($F62,tblIndiDefs!$A$2:$A$89,0))</f>
        <v/>
      </c>
      <c r="AE62" s="69" t="s">
        <v>369</v>
      </c>
      <c r="AF62" s="69" t="str">
        <f>IF($AC62="","",INDEX(tblIndiDefs!C$2:C$197,$AC62))</f>
        <v/>
      </c>
      <c r="AG62" s="69" t="str">
        <f>IF($AC62="","",INDEX(tblIndiDefs!D$2:D$197,$AC62))</f>
        <v/>
      </c>
      <c r="AH62" s="69" t="str">
        <f>IF($AC62="","",INDEX(tblIndiDefs!E$2:E$197,$AC62))</f>
        <v/>
      </c>
      <c r="AI62" s="69" t="str">
        <f>IF($AC62="","",INDEX(tblIndiDefs!F$2:F$197,$AC62))</f>
        <v/>
      </c>
      <c r="AJ62" s="69" t="s">
        <v>749</v>
      </c>
      <c r="AK62" s="54" t="str">
        <f>IF($AC62="","",INDEX(tblIndiDefs!H$2:H$197,$AC62))</f>
        <v/>
      </c>
      <c r="AL62" s="54" t="str">
        <f>IF($AC62="","",INDEX(tblIndiDefs!I$2:I$197,$AC62))</f>
        <v/>
      </c>
      <c r="AM62" s="54" t="str">
        <f>IF($AC62="","",INDEX(tblIndiDefs!J$2:J$197,$AC62))</f>
        <v/>
      </c>
      <c r="AN62" s="54" t="str">
        <f>IF($AC62="","",INDEX(tblIndiDefs!K$2:K$197,$AC62))</f>
        <v/>
      </c>
    </row>
    <row r="63" spans="1:40" x14ac:dyDescent="0.2">
      <c r="A63" s="49">
        <v>62</v>
      </c>
      <c r="B63" s="49" t="s">
        <v>370</v>
      </c>
      <c r="C63" s="49" t="s">
        <v>368</v>
      </c>
      <c r="D63" s="49">
        <v>1</v>
      </c>
      <c r="E63" s="49">
        <v>1</v>
      </c>
      <c r="F63" s="49">
        <v>62</v>
      </c>
      <c r="G63" s="49">
        <v>0</v>
      </c>
      <c r="N63" s="49">
        <v>0</v>
      </c>
      <c r="O63" s="55" t="str">
        <f>CHOOSE(uxbWorks!$B$7,AE63,AJ63)</f>
        <v>International airports with cargo terminal facilities</v>
      </c>
      <c r="P63" s="55" t="str">
        <f>CHOOSE(uxbWorks!$B$7,AF63,AK63)</f>
        <v># airports</v>
      </c>
      <c r="Q63" s="55" t="str">
        <f>CHOOSE(uxbWorks!$B$7,AG63,AL63)</f>
        <v>Air transport</v>
      </c>
      <c r="R63" s="55" t="str">
        <f>IF(CHOOSE(uxbWorks!$B$7,AI63,AN63)=0,"",CHOOSE(uxbWorks!$B$7,AI63,AN63))</f>
        <v>Number of international airports with facilities for international air cargo handling.</v>
      </c>
      <c r="S63" s="49">
        <v>0</v>
      </c>
      <c r="W63" s="56" t="str">
        <f t="shared" si="3"/>
        <v xml:space="preserve">  International airports with cargo terminal facilities</v>
      </c>
      <c r="X63" s="56" t="str">
        <f t="shared" si="5"/>
        <v xml:space="preserve">Air transportation </v>
      </c>
      <c r="Y63" s="56" t="str">
        <f t="shared" si="4"/>
        <v>AIR TRANSPORTATION »</v>
      </c>
      <c r="AA63" s="54"/>
      <c r="AB63" s="54" t="s">
        <v>748</v>
      </c>
      <c r="AC63" s="55">
        <f>IF($D63=0,"",MATCH($F63,tblIndiDefs!$A$2:$A$89,0))</f>
        <v>58</v>
      </c>
      <c r="AE63" s="54" t="str">
        <f>IF($AC63="","",INDEX(tblIndiDefs!B$2:B$197,$AC63))</f>
        <v>International airports with cargo terminal facilities</v>
      </c>
      <c r="AF63" s="54" t="str">
        <f>IF($AC63="","",INDEX(tblIndiDefs!C$2:C$197,$AC63))</f>
        <v># airports</v>
      </c>
      <c r="AG63" s="54" t="str">
        <f>IF($AC63="","",INDEX(tblIndiDefs!D$2:D$197,$AC63))</f>
        <v>Air transport</v>
      </c>
      <c r="AH63" s="54">
        <f>IF($AC63="","",INDEX(tblIndiDefs!E$2:E$197,$AC63))</f>
        <v>0</v>
      </c>
      <c r="AI63" s="54" t="str">
        <f>IF($AC63="","",INDEX(tblIndiDefs!F$2:F$197,$AC63))</f>
        <v>Number of international airports with facilities for international air cargo handling.</v>
      </c>
      <c r="AJ63" s="54" t="str">
        <f>IF($AC63="","",INDEX(tblIndiDefs!G$2:G$197,$AC63))</f>
        <v>Aeropuertos internacionales con instalaciones de carga</v>
      </c>
      <c r="AK63" s="54" t="str">
        <f>IF($AC63="","",INDEX(tblIndiDefs!H$2:H$197,$AC63))</f>
        <v># aeropuertos</v>
      </c>
      <c r="AL63" s="54" t="str">
        <f>IF($AC63="","",INDEX(tblIndiDefs!I$2:I$197,$AC63))</f>
        <v>Transporte aéreo</v>
      </c>
      <c r="AM63" s="54">
        <f>IF($AC63="","",INDEX(tblIndiDefs!J$2:J$197,$AC63))</f>
        <v>0</v>
      </c>
      <c r="AN63" s="54" t="str">
        <f>IF($AC63="","",INDEX(tblIndiDefs!K$2:K$197,$AC63))</f>
        <v>Número de aeropuertos internacionales que disponen de instalaciones para manejo de carga aérea internacional.</v>
      </c>
    </row>
    <row r="64" spans="1:40" x14ac:dyDescent="0.2">
      <c r="A64" s="49">
        <v>63</v>
      </c>
      <c r="B64" s="49" t="s">
        <v>371</v>
      </c>
      <c r="C64" s="49" t="s">
        <v>368</v>
      </c>
      <c r="D64" s="49">
        <v>1</v>
      </c>
      <c r="E64" s="49">
        <v>1</v>
      </c>
      <c r="F64" s="49">
        <v>63</v>
      </c>
      <c r="G64" s="49">
        <v>0</v>
      </c>
      <c r="O64" s="55" t="str">
        <f>CHOOSE(uxbWorks!$B$7,AE64,AJ64)</f>
        <v>Maximum aircraft approach category</v>
      </c>
      <c r="P64" s="55" t="str">
        <f>CHOOSE(uxbWorks!$B$7,AF64,AK64)</f>
        <v>FAA/OACI category</v>
      </c>
      <c r="Q64" s="55" t="str">
        <f>CHOOSE(uxbWorks!$B$7,AG64,AL64)</f>
        <v>Air transport</v>
      </c>
      <c r="R64" s="55" t="str">
        <f>IF(CHOOSE(uxbWorks!$B$7,AI64,AN64)=0,"",CHOOSE(uxbWorks!$B$7,AI64,AN64))</f>
        <v>Classification of the ICAO used for categorization, planning and design of airports</v>
      </c>
      <c r="W64" s="56" t="str">
        <f t="shared" si="3"/>
        <v xml:space="preserve">  Maximum aircraft approach category</v>
      </c>
      <c r="X64" s="56" t="str">
        <f t="shared" si="5"/>
        <v xml:space="preserve">Air transportation </v>
      </c>
      <c r="Y64" s="56" t="str">
        <f t="shared" si="4"/>
        <v>AIR TRANSPORTATION »</v>
      </c>
      <c r="AA64" s="54"/>
      <c r="AB64" s="54" t="s">
        <v>372</v>
      </c>
      <c r="AC64" s="55">
        <f>IF($D64=0,"",MATCH($F64,tblIndiDefs!$A$2:$A$89,0))</f>
        <v>59</v>
      </c>
      <c r="AE64" s="54" t="str">
        <f>IF($AC64="","",INDEX(tblIndiDefs!B$2:B$197,$AC64))</f>
        <v>Maximum aircraft approach category</v>
      </c>
      <c r="AF64" s="54" t="str">
        <f>IF($AC64="","",INDEX(tblIndiDefs!C$2:C$197,$AC64))</f>
        <v>FAA/OACI category</v>
      </c>
      <c r="AG64" s="54" t="str">
        <f>IF($AC64="","",INDEX(tblIndiDefs!D$2:D$197,$AC64))</f>
        <v>Air transport</v>
      </c>
      <c r="AH64" s="54">
        <f>IF($AC64="","",INDEX(tblIndiDefs!E$2:E$197,$AC64))</f>
        <v>0</v>
      </c>
      <c r="AI64" s="54" t="str">
        <f>IF($AC64="","",INDEX(tblIndiDefs!F$2:F$197,$AC64))</f>
        <v>Classification of the ICAO used for categorization, planning and design of airports</v>
      </c>
      <c r="AJ64" s="54" t="str">
        <f>IF($AC64="","",INDEX(tblIndiDefs!G$2:G$197,$AC64))</f>
        <v>Categoría máx de naves aeropuertos int'l</v>
      </c>
      <c r="AK64" s="54" t="str">
        <f>IF($AC64="","",INDEX(tblIndiDefs!H$2:H$197,$AC64))</f>
        <v>categoría FAA/OACI</v>
      </c>
      <c r="AL64" s="54" t="str">
        <f>IF($AC64="","",INDEX(tblIndiDefs!I$2:I$197,$AC64))</f>
        <v>Transporte aéreo</v>
      </c>
      <c r="AM64" s="54">
        <f>IF($AC64="","",INDEX(tblIndiDefs!J$2:J$197,$AC64))</f>
        <v>0</v>
      </c>
      <c r="AN64" s="54" t="str">
        <f>IF($AC64="","",INDEX(tblIndiDefs!K$2:K$197,$AC64))</f>
        <v>Clasificación de la OACI  utilizada para la categorización, planificación y diseño de aeropuertos</v>
      </c>
    </row>
    <row r="65" spans="1:40" x14ac:dyDescent="0.2">
      <c r="A65" s="49">
        <v>64</v>
      </c>
      <c r="B65" s="49" t="s">
        <v>373</v>
      </c>
      <c r="C65" s="49" t="s">
        <v>368</v>
      </c>
      <c r="D65" s="49">
        <v>1</v>
      </c>
      <c r="E65" s="49">
        <v>1</v>
      </c>
      <c r="F65" s="49">
        <v>64</v>
      </c>
      <c r="G65" s="49">
        <v>0</v>
      </c>
      <c r="O65" s="55" t="str">
        <f>CHOOSE(uxbWorks!$B$7,AE65,AJ65)</f>
        <v>Instrument approach available in international airports</v>
      </c>
      <c r="P65" s="55" t="str">
        <f>CHOOSE(uxbWorks!$B$7,AF65,AK65)</f>
        <v>yes=1/no=0</v>
      </c>
      <c r="Q65" s="55" t="str">
        <f>CHOOSE(uxbWorks!$B$7,AG65,AL65)</f>
        <v>Air transport</v>
      </c>
      <c r="R65" s="55" t="str">
        <f>IF(CHOOSE(uxbWorks!$B$7,AI65,AN65)=0,"",CHOOSE(uxbWorks!$B$7,AI65,AN65))</f>
        <v>Indicates the presence or absence of instruments for approach maneuvers (ILS) in the main international airport/s.</v>
      </c>
      <c r="W65" s="56" t="str">
        <f t="shared" si="3"/>
        <v xml:space="preserve">  Instrument approach available in international airports</v>
      </c>
      <c r="X65" s="56" t="str">
        <f t="shared" si="5"/>
        <v xml:space="preserve">Air transportation </v>
      </c>
      <c r="Y65" s="56" t="str">
        <f t="shared" si="4"/>
        <v>AIR TRANSPORTATION »</v>
      </c>
      <c r="AA65" s="54"/>
      <c r="AB65" s="54" t="s">
        <v>374</v>
      </c>
      <c r="AC65" s="55">
        <f>IF($D65=0,"",MATCH($F65,tblIndiDefs!$A$2:$A$89,0))</f>
        <v>60</v>
      </c>
      <c r="AE65" s="54" t="str">
        <f>IF($AC65="","",INDEX(tblIndiDefs!B$2:B$197,$AC65))</f>
        <v>Instrument approach available in international airports</v>
      </c>
      <c r="AF65" s="54" t="str">
        <f>IF($AC65="","",INDEX(tblIndiDefs!C$2:C$197,$AC65))</f>
        <v>yes=1/no=0</v>
      </c>
      <c r="AG65" s="54" t="str">
        <f>IF($AC65="","",INDEX(tblIndiDefs!D$2:D$197,$AC65))</f>
        <v>Air transport</v>
      </c>
      <c r="AH65" s="54">
        <f>IF($AC65="","",INDEX(tblIndiDefs!E$2:E$197,$AC65))</f>
        <v>0</v>
      </c>
      <c r="AI65" s="54" t="str">
        <f>IF($AC65="","",INDEX(tblIndiDefs!F$2:F$197,$AC65))</f>
        <v>Indicates the presence or absence of instruments for approach maneuvers (ILS) in the main international airport/s.</v>
      </c>
      <c r="AJ65" s="54" t="str">
        <f>IF($AC65="","",INDEX(tblIndiDefs!G$2:G$197,$AC65))</f>
        <v>Capacidad de aproximación instrumentos aeropuertos internacionales</v>
      </c>
      <c r="AK65" s="54" t="str">
        <f>IF($AC65="","",INDEX(tblIndiDefs!H$2:H$197,$AC65))</f>
        <v>si=1/no=0</v>
      </c>
      <c r="AL65" s="54" t="str">
        <f>IF($AC65="","",INDEX(tblIndiDefs!I$2:I$197,$AC65))</f>
        <v>Transporte aéreo</v>
      </c>
      <c r="AM65" s="54">
        <f>IF($AC65="","",INDEX(tblIndiDefs!J$2:J$197,$AC65))</f>
        <v>0</v>
      </c>
      <c r="AN65" s="54" t="str">
        <f>IF($AC65="","",INDEX(tblIndiDefs!K$2:K$197,$AC65))</f>
        <v>Indica la existencia o inexistencia de instrumentos para las maniobras de aproximación (ILS) en el/los principales aeropuertos internacionales.</v>
      </c>
    </row>
    <row r="66" spans="1:40" x14ac:dyDescent="0.2">
      <c r="A66" s="49">
        <v>65</v>
      </c>
      <c r="B66" s="49" t="s">
        <v>375</v>
      </c>
      <c r="C66" s="49" t="s">
        <v>368</v>
      </c>
      <c r="D66" s="49">
        <v>1</v>
      </c>
      <c r="E66" s="49">
        <v>1</v>
      </c>
      <c r="F66" s="49">
        <v>65</v>
      </c>
      <c r="G66" s="49">
        <v>0</v>
      </c>
      <c r="O66" s="55" t="str">
        <f>CHOOSE(uxbWorks!$B$7,AE66,AJ66)</f>
        <v>Cargo facilities area in international airports</v>
      </c>
      <c r="P66" s="55" t="str">
        <f>CHOOSE(uxbWorks!$B$7,AF66,AK66)</f>
        <v>sq m</v>
      </c>
      <c r="Q66" s="55" t="str">
        <f>CHOOSE(uxbWorks!$B$7,AG66,AL66)</f>
        <v>Air transport</v>
      </c>
      <c r="R66" s="55" t="str">
        <f>IF(CHOOSE(uxbWorks!$B$7,AI66,AN66)=0,"",CHOOSE(uxbWorks!$B$7,AI66,AN66))</f>
        <v>Surface occupied by cargo terminal area at international airports.</v>
      </c>
      <c r="W66" s="56" t="str">
        <f t="shared" si="3"/>
        <v xml:space="preserve">  Cargo facilities area in international airports</v>
      </c>
      <c r="X66" s="56" t="str">
        <f t="shared" ref="X66:X97" si="6">IF($D66=0,"",INDEX($O$2:$O$149,MATCH($C66,$B$2:$B$149,0)))</f>
        <v xml:space="preserve">Air transportation </v>
      </c>
      <c r="Y66" s="56" t="str">
        <f t="shared" si="4"/>
        <v>AIR TRANSPORTATION »</v>
      </c>
      <c r="AA66" s="54"/>
      <c r="AB66" s="54" t="s">
        <v>376</v>
      </c>
      <c r="AC66" s="55">
        <f>IF($D66=0,"",MATCH($F66,tblIndiDefs!$A$2:$A$89,0))</f>
        <v>61</v>
      </c>
      <c r="AE66" s="54" t="str">
        <f>IF($AC66="","",INDEX(tblIndiDefs!B$2:B$197,$AC66))</f>
        <v>Cargo facilities area in international airports</v>
      </c>
      <c r="AF66" s="54" t="str">
        <f>IF($AC66="","",INDEX(tblIndiDefs!C$2:C$197,$AC66))</f>
        <v>sq m</v>
      </c>
      <c r="AG66" s="54" t="str">
        <f>IF($AC66="","",INDEX(tblIndiDefs!D$2:D$197,$AC66))</f>
        <v>Air transport</v>
      </c>
      <c r="AH66" s="54">
        <f>IF($AC66="","",INDEX(tblIndiDefs!E$2:E$197,$AC66))</f>
        <v>0</v>
      </c>
      <c r="AI66" s="54" t="str">
        <f>IF($AC66="","",INDEX(tblIndiDefs!F$2:F$197,$AC66))</f>
        <v>Surface occupied by cargo terminal area at international airports.</v>
      </c>
      <c r="AJ66" s="54" t="str">
        <f>IF($AC66="","",INDEX(tblIndiDefs!G$2:G$197,$AC66))</f>
        <v>Área terminales de carga aeropuertos internacionales</v>
      </c>
      <c r="AK66" s="54" t="str">
        <f>IF($AC66="","",INDEX(tblIndiDefs!H$2:H$197,$AC66))</f>
        <v>m2</v>
      </c>
      <c r="AL66" s="54" t="str">
        <f>IF($AC66="","",INDEX(tblIndiDefs!I$2:I$197,$AC66))</f>
        <v>Transporte aéreo</v>
      </c>
      <c r="AM66" s="54">
        <f>IF($AC66="","",INDEX(tblIndiDefs!J$2:J$197,$AC66))</f>
        <v>0</v>
      </c>
      <c r="AN66" s="54" t="str">
        <f>IF($AC66="","",INDEX(tblIndiDefs!K$2:K$197,$AC66))</f>
        <v>Superficie ocupada por terminal de carga en aeropuertos internacionales.</v>
      </c>
    </row>
    <row r="67" spans="1:40" x14ac:dyDescent="0.2">
      <c r="A67" s="49">
        <v>66</v>
      </c>
      <c r="B67" s="49" t="s">
        <v>377</v>
      </c>
      <c r="C67" s="49" t="s">
        <v>368</v>
      </c>
      <c r="D67" s="49">
        <v>1</v>
      </c>
      <c r="E67" s="49">
        <v>1</v>
      </c>
      <c r="F67" s="49">
        <v>66</v>
      </c>
      <c r="G67" s="49">
        <v>0</v>
      </c>
      <c r="N67" s="49">
        <v>0</v>
      </c>
      <c r="O67" s="55" t="str">
        <f>CHOOSE(uxbWorks!$B$7,AE67,AJ67)</f>
        <v>Domestic air freight</v>
      </c>
      <c r="P67" s="55" t="str">
        <f>CHOOSE(uxbWorks!$B$7,AF67,AK67)</f>
        <v>tons</v>
      </c>
      <c r="Q67" s="55" t="str">
        <f>CHOOSE(uxbWorks!$B$7,AG67,AL67)</f>
        <v>Air transport</v>
      </c>
      <c r="R67" s="55" t="str">
        <f>IF(CHOOSE(uxbWorks!$B$7,AI67,AN67)=0,"",CHOOSE(uxbWorks!$B$7,AI67,AN67))</f>
        <v>Weight of cargo transported by air inside the country.</v>
      </c>
      <c r="S67" s="49">
        <v>0</v>
      </c>
      <c r="W67" s="56" t="str">
        <f t="shared" si="3"/>
        <v xml:space="preserve">  Domestic air freight</v>
      </c>
      <c r="X67" s="56" t="str">
        <f t="shared" si="6"/>
        <v xml:space="preserve">Air transportation </v>
      </c>
      <c r="Y67" s="56" t="str">
        <f t="shared" si="4"/>
        <v>AIR TRANSPORTATION »</v>
      </c>
      <c r="AA67" s="54"/>
      <c r="AB67" s="54" t="s">
        <v>750</v>
      </c>
      <c r="AC67" s="55">
        <f>IF($D67=0,"",MATCH($F67,tblIndiDefs!$A$2:$A$89,0))</f>
        <v>62</v>
      </c>
      <c r="AE67" s="54" t="str">
        <f>IF($AC67="","",INDEX(tblIndiDefs!B$2:B$197,$AC67))</f>
        <v>Domestic air freight</v>
      </c>
      <c r="AF67" s="54" t="str">
        <f>IF($AC67="","",INDEX(tblIndiDefs!C$2:C$197,$AC67))</f>
        <v>tons</v>
      </c>
      <c r="AG67" s="54" t="str">
        <f>IF($AC67="","",INDEX(tblIndiDefs!D$2:D$197,$AC67))</f>
        <v>Air transport</v>
      </c>
      <c r="AH67" s="54">
        <f>IF($AC67="","",INDEX(tblIndiDefs!E$2:E$197,$AC67))</f>
        <v>0</v>
      </c>
      <c r="AI67" s="54" t="str">
        <f>IF($AC67="","",INDEX(tblIndiDefs!F$2:F$197,$AC67))</f>
        <v>Weight of cargo transported by air inside the country.</v>
      </c>
      <c r="AJ67" s="54" t="str">
        <f>IF($AC67="","",INDEX(tblIndiDefs!G$2:G$197,$AC67))</f>
        <v>Carga aérea doméstica</v>
      </c>
      <c r="AK67" s="54" t="str">
        <f>IF($AC67="","",INDEX(tblIndiDefs!H$2:H$197,$AC67))</f>
        <v>ton</v>
      </c>
      <c r="AL67" s="54" t="str">
        <f>IF($AC67="","",INDEX(tblIndiDefs!I$2:I$197,$AC67))</f>
        <v>Transporte aéreo</v>
      </c>
      <c r="AM67" s="54">
        <f>IF($AC67="","",INDEX(tblIndiDefs!J$2:J$197,$AC67))</f>
        <v>0</v>
      </c>
      <c r="AN67" s="54" t="str">
        <f>IF($AC67="","",INDEX(tblIndiDefs!K$2:K$197,$AC67))</f>
        <v>Peso medio de viaje de carga transportada vía aérea dentro del territorio nacional.</v>
      </c>
    </row>
    <row r="68" spans="1:40" x14ac:dyDescent="0.2">
      <c r="A68" s="49">
        <v>67</v>
      </c>
      <c r="B68" s="49" t="s">
        <v>378</v>
      </c>
      <c r="C68" s="49" t="s">
        <v>368</v>
      </c>
      <c r="D68" s="49">
        <v>1</v>
      </c>
      <c r="E68" s="49">
        <v>1</v>
      </c>
      <c r="F68" s="49">
        <v>67</v>
      </c>
      <c r="G68" s="49">
        <v>0</v>
      </c>
      <c r="N68" s="49">
        <v>0</v>
      </c>
      <c r="O68" s="55" t="str">
        <f>CHOOSE(uxbWorks!$B$7,AE68,AJ68)</f>
        <v>International air freight</v>
      </c>
      <c r="P68" s="55" t="str">
        <f>CHOOSE(uxbWorks!$B$7,AF68,AK68)</f>
        <v>tons</v>
      </c>
      <c r="Q68" s="55" t="str">
        <f>CHOOSE(uxbWorks!$B$7,AG68,AL68)</f>
        <v>Air transport</v>
      </c>
      <c r="R68" s="55" t="str">
        <f>IF(CHOOSE(uxbWorks!$B$7,AI68,AN68)=0,"",CHOOSE(uxbWorks!$B$7,AI68,AN68))</f>
        <v>Weight of cargo transported internationally by air.</v>
      </c>
      <c r="S68" s="49">
        <v>0</v>
      </c>
      <c r="W68" s="56" t="str">
        <f t="shared" si="3"/>
        <v xml:space="preserve">  International air freight</v>
      </c>
      <c r="X68" s="56" t="str">
        <f t="shared" si="6"/>
        <v xml:space="preserve">Air transportation </v>
      </c>
      <c r="Y68" s="56" t="str">
        <f t="shared" si="4"/>
        <v>AIR TRANSPORTATION »</v>
      </c>
      <c r="AA68" s="54"/>
      <c r="AB68" s="54" t="s">
        <v>751</v>
      </c>
      <c r="AC68" s="55">
        <f>IF($D68=0,"",MATCH($F68,tblIndiDefs!$A$2:$A$89,0))</f>
        <v>63</v>
      </c>
      <c r="AE68" s="54" t="str">
        <f>IF($AC68="","",INDEX(tblIndiDefs!B$2:B$197,$AC68))</f>
        <v>International air freight</v>
      </c>
      <c r="AF68" s="54" t="str">
        <f>IF($AC68="","",INDEX(tblIndiDefs!C$2:C$197,$AC68))</f>
        <v>tons</v>
      </c>
      <c r="AG68" s="54" t="str">
        <f>IF($AC68="","",INDEX(tblIndiDefs!D$2:D$197,$AC68))</f>
        <v>Air transport</v>
      </c>
      <c r="AH68" s="54">
        <f>IF($AC68="","",INDEX(tblIndiDefs!E$2:E$197,$AC68))</f>
        <v>0</v>
      </c>
      <c r="AI68" s="54" t="str">
        <f>IF($AC68="","",INDEX(tblIndiDefs!F$2:F$197,$AC68))</f>
        <v>Weight of cargo transported internationally by air.</v>
      </c>
      <c r="AJ68" s="54" t="str">
        <f>IF($AC68="","",INDEX(tblIndiDefs!G$2:G$197,$AC68))</f>
        <v>Carga aérea internacional</v>
      </c>
      <c r="AK68" s="54" t="str">
        <f>IF($AC68="","",INDEX(tblIndiDefs!H$2:H$197,$AC68))</f>
        <v>ton</v>
      </c>
      <c r="AL68" s="54" t="str">
        <f>IF($AC68="","",INDEX(tblIndiDefs!I$2:I$197,$AC68))</f>
        <v>Transporte aéreo</v>
      </c>
      <c r="AM68" s="54">
        <f>IF($AC68="","",INDEX(tblIndiDefs!J$2:J$197,$AC68))</f>
        <v>0</v>
      </c>
      <c r="AN68" s="54" t="str">
        <f>IF($AC68="","",INDEX(tblIndiDefs!K$2:K$197,$AC68))</f>
        <v>Peso medio de viaje de carga transportada vía aérea internacionalmente.</v>
      </c>
    </row>
    <row r="69" spans="1:40" x14ac:dyDescent="0.2">
      <c r="A69" s="49">
        <v>68</v>
      </c>
      <c r="B69" s="49" t="s">
        <v>379</v>
      </c>
      <c r="C69" s="49" t="s">
        <v>368</v>
      </c>
      <c r="D69" s="49">
        <v>1</v>
      </c>
      <c r="E69" s="49">
        <v>1</v>
      </c>
      <c r="F69" s="49">
        <v>68</v>
      </c>
      <c r="G69" s="49">
        <v>1</v>
      </c>
      <c r="N69" s="49">
        <v>0</v>
      </c>
      <c r="O69" s="55" t="str">
        <f>CHOOSE(uxbWorks!$B$7,AE69,AJ69)</f>
        <v>Domestic air freight productivity</v>
      </c>
      <c r="P69" s="55" t="str">
        <f>CHOOSE(uxbWorks!$B$7,AF69,AK69)</f>
        <v>million t-km</v>
      </c>
      <c r="Q69" s="55" t="str">
        <f>CHOOSE(uxbWorks!$B$7,AG69,AL69)</f>
        <v>Air transport</v>
      </c>
      <c r="R69" s="55" t="str">
        <f>IF(CHOOSE(uxbWorks!$B$7,AI69,AN69)=0,"",CHOOSE(uxbWorks!$B$7,AI69,AN69))</f>
        <v>Average weight per kilometer traveled of cargo transported by air within the national territory.</v>
      </c>
      <c r="S69" s="49">
        <v>0</v>
      </c>
      <c r="W69" s="56" t="str">
        <f t="shared" si="3"/>
        <v xml:space="preserve">  Domestic air freight productivity</v>
      </c>
      <c r="X69" s="56" t="str">
        <f t="shared" si="6"/>
        <v xml:space="preserve">Air transportation </v>
      </c>
      <c r="Y69" s="56" t="str">
        <f t="shared" si="4"/>
        <v>AIR TRANSPORTATION »</v>
      </c>
      <c r="AA69" s="54"/>
      <c r="AB69" s="54" t="s">
        <v>752</v>
      </c>
      <c r="AC69" s="55">
        <f>IF($D69=0,"",MATCH($F69,tblIndiDefs!$A$2:$A$89,0))</f>
        <v>64</v>
      </c>
      <c r="AE69" s="54" t="str">
        <f>IF($AC69="","",INDEX(tblIndiDefs!B$2:B$197,$AC69))</f>
        <v>Domestic air freight productivity</v>
      </c>
      <c r="AF69" s="54" t="str">
        <f>IF($AC69="","",INDEX(tblIndiDefs!C$2:C$197,$AC69))</f>
        <v>million t-km</v>
      </c>
      <c r="AG69" s="54" t="str">
        <f>IF($AC69="","",INDEX(tblIndiDefs!D$2:D$197,$AC69))</f>
        <v>Air transport</v>
      </c>
      <c r="AH69" s="54">
        <f>IF($AC69="","",INDEX(tblIndiDefs!E$2:E$197,$AC69))</f>
        <v>0</v>
      </c>
      <c r="AI69" s="54" t="str">
        <f>IF($AC69="","",INDEX(tblIndiDefs!F$2:F$197,$AC69))</f>
        <v>Average weight per kilometer traveled of cargo transported by air within the national territory.</v>
      </c>
      <c r="AJ69" s="54" t="str">
        <f>IF($AC69="","",INDEX(tblIndiDefs!G$2:G$197,$AC69))</f>
        <v>Productividad del transporte doméstico aéreo de carga</v>
      </c>
      <c r="AK69" s="54" t="str">
        <f>IF($AC69="","",INDEX(tblIndiDefs!H$2:H$197,$AC69))</f>
        <v>millones t-km</v>
      </c>
      <c r="AL69" s="54" t="str">
        <f>IF($AC69="","",INDEX(tblIndiDefs!I$2:I$197,$AC69))</f>
        <v>Transporte aéreo</v>
      </c>
      <c r="AM69" s="54">
        <f>IF($AC69="","",INDEX(tblIndiDefs!J$2:J$197,$AC69))</f>
        <v>0</v>
      </c>
      <c r="AN69" s="54" t="str">
        <f>IF($AC69="","",INDEX(tblIndiDefs!K$2:K$197,$AC69))</f>
        <v>Peso medio por kilómetro de viaje de carga transportada por vía aérea dentro del territorio nacional.</v>
      </c>
    </row>
    <row r="70" spans="1:40" s="12" customFormat="1" x14ac:dyDescent="0.2">
      <c r="A70" s="13">
        <v>69</v>
      </c>
      <c r="B70" s="13" t="s">
        <v>380</v>
      </c>
      <c r="C70" s="13"/>
      <c r="D70" s="13">
        <v>0</v>
      </c>
      <c r="E70" s="13">
        <v>0</v>
      </c>
      <c r="F70" s="13" t="s">
        <v>157</v>
      </c>
      <c r="G70" s="13" t="s">
        <v>157</v>
      </c>
      <c r="H70" s="13"/>
      <c r="I70" s="13"/>
      <c r="J70" s="13"/>
      <c r="K70" s="13"/>
      <c r="L70" s="13"/>
      <c r="M70" s="58"/>
      <c r="N70" s="13"/>
      <c r="O70" s="67" t="str">
        <f>CHOOSE(uxbWorks!$B$7,AE70,AJ70)</f>
        <v xml:space="preserve">Water transportation </v>
      </c>
      <c r="P70" s="67" t="str">
        <f>CHOOSE(uxbWorks!$B$7,AF70,AK70)</f>
        <v/>
      </c>
      <c r="Q70" s="67" t="str">
        <f>CHOOSE(uxbWorks!$B$7,AG70,AL70)</f>
        <v/>
      </c>
      <c r="R70" s="67" t="str">
        <f>IF(CHOOSE(uxbWorks!$B$7,AI70,AN70)=0,"",CHOOSE(uxbWorks!$B$7,AI70,AN70))</f>
        <v/>
      </c>
      <c r="S70" s="13"/>
      <c r="T70" s="67"/>
      <c r="U70" s="67"/>
      <c r="W70" s="68" t="str">
        <f t="shared" si="3"/>
        <v xml:space="preserve">WATER TRANSPORTATION </v>
      </c>
      <c r="X70" s="68" t="str">
        <f t="shared" si="6"/>
        <v/>
      </c>
      <c r="Y70" s="68" t="str">
        <f t="shared" si="4"/>
        <v/>
      </c>
      <c r="AA70" s="69"/>
      <c r="AB70" s="69" t="s">
        <v>381</v>
      </c>
      <c r="AC70" s="67" t="str">
        <f>IF($D70=0,"",MATCH($F70,tblIndiDefs!$A$2:$A$89,0))</f>
        <v/>
      </c>
      <c r="AE70" s="69" t="s">
        <v>381</v>
      </c>
      <c r="AF70" s="69" t="str">
        <f>IF($AC70="","",INDEX(tblIndiDefs!C$2:C$197,$AC70))</f>
        <v/>
      </c>
      <c r="AG70" s="69" t="str">
        <f>IF($AC70="","",INDEX(tblIndiDefs!D$2:D$197,$AC70))</f>
        <v/>
      </c>
      <c r="AH70" s="69" t="str">
        <f>IF($AC70="","",INDEX(tblIndiDefs!E$2:E$197,$AC70))</f>
        <v/>
      </c>
      <c r="AI70" s="69" t="str">
        <f>IF($AC70="","",INDEX(tblIndiDefs!F$2:F$197,$AC70))</f>
        <v/>
      </c>
      <c r="AJ70" s="69" t="s">
        <v>88</v>
      </c>
      <c r="AK70" s="54" t="str">
        <f>IF($AC70="","",INDEX(tblIndiDefs!H$2:H$197,$AC70))</f>
        <v/>
      </c>
      <c r="AL70" s="54" t="str">
        <f>IF($AC70="","",INDEX(tblIndiDefs!I$2:I$197,$AC70))</f>
        <v/>
      </c>
      <c r="AM70" s="54" t="str">
        <f>IF($AC70="","",INDEX(tblIndiDefs!J$2:J$197,$AC70))</f>
        <v/>
      </c>
      <c r="AN70" s="54" t="str">
        <f>IF($AC70="","",INDEX(tblIndiDefs!K$2:K$197,$AC70))</f>
        <v/>
      </c>
    </row>
    <row r="71" spans="1:40" x14ac:dyDescent="0.2">
      <c r="A71" s="49">
        <v>70</v>
      </c>
      <c r="B71" s="49" t="s">
        <v>382</v>
      </c>
      <c r="C71" s="49" t="s">
        <v>380</v>
      </c>
      <c r="D71" s="49">
        <v>1</v>
      </c>
      <c r="E71" s="49">
        <v>1</v>
      </c>
      <c r="F71" s="49">
        <v>69</v>
      </c>
      <c r="G71" s="49">
        <v>0</v>
      </c>
      <c r="O71" s="55" t="str">
        <f>CHOOSE(uxbWorks!$B$7,AE71,AJ71)</f>
        <v>Maximum draft in container terminal</v>
      </c>
      <c r="P71" s="55" t="str">
        <f>CHOOSE(uxbWorks!$B$7,AF71,AK71)</f>
        <v>feet</v>
      </c>
      <c r="Q71" s="55" t="str">
        <f>CHOOSE(uxbWorks!$B$7,AG71,AL71)</f>
        <v>Water transport</v>
      </c>
      <c r="R71" s="55" t="str">
        <f>IF(CHOOSE(uxbWorks!$B$7,AI71,AN71)=0,"",CHOOSE(uxbWorks!$B$7,AI71,AN71))</f>
        <v>Depth of the maneuvering and berthing areas in the main port which determines maximum vessel draft allowed.</v>
      </c>
      <c r="W71" s="56" t="str">
        <f t="shared" si="3"/>
        <v xml:space="preserve">  Maximum draft in container terminal</v>
      </c>
      <c r="X71" s="56" t="str">
        <f t="shared" si="6"/>
        <v xml:space="preserve">Water transportation </v>
      </c>
      <c r="Y71" s="56" t="str">
        <f t="shared" si="4"/>
        <v>WATER TRANSPORTATION »</v>
      </c>
      <c r="AA71" s="54"/>
      <c r="AB71" s="54" t="s">
        <v>383</v>
      </c>
      <c r="AC71" s="55">
        <f>IF($D71=0,"",MATCH($F71,tblIndiDefs!$A$2:$A$89,0))</f>
        <v>65</v>
      </c>
      <c r="AE71" s="54" t="str">
        <f>IF($AC71="","",INDEX(tblIndiDefs!B$2:B$197,$AC71))</f>
        <v>Maximum draft in container terminal</v>
      </c>
      <c r="AF71" s="54" t="str">
        <f>IF($AC71="","",INDEX(tblIndiDefs!C$2:C$197,$AC71))</f>
        <v>feet</v>
      </c>
      <c r="AG71" s="54" t="str">
        <f>IF($AC71="","",INDEX(tblIndiDefs!D$2:D$197,$AC71))</f>
        <v>Water transport</v>
      </c>
      <c r="AH71" s="54">
        <f>IF($AC71="","",INDEX(tblIndiDefs!E$2:E$197,$AC71))</f>
        <v>0</v>
      </c>
      <c r="AI71" s="54" t="str">
        <f>IF($AC71="","",INDEX(tblIndiDefs!F$2:F$197,$AC71))</f>
        <v>Depth of the maneuvering and berthing areas in the main port which determines maximum vessel draft allowed.</v>
      </c>
      <c r="AJ71" s="54" t="str">
        <f>IF($AC71="","",INDEX(tblIndiDefs!G$2:G$197,$AC71))</f>
        <v>Calado máximo terminal de contenedores</v>
      </c>
      <c r="AK71" s="54" t="str">
        <f>IF($AC71="","",INDEX(tblIndiDefs!H$2:H$197,$AC71))</f>
        <v>pies</v>
      </c>
      <c r="AL71" s="54" t="str">
        <f>IF($AC71="","",INDEX(tblIndiDefs!I$2:I$197,$AC71))</f>
        <v>Transporte marítimo y fluvial</v>
      </c>
      <c r="AM71" s="54">
        <f>IF($AC71="","",INDEX(tblIndiDefs!J$2:J$197,$AC71))</f>
        <v>0</v>
      </c>
      <c r="AN71" s="54" t="str">
        <f>IF($AC71="","",INDEX(tblIndiDefs!K$2:K$197,$AC71))</f>
        <v>Profundidad de las áreas de maniobra y atraque en el puerto principal que determina calado máximo de buque permitido.</v>
      </c>
    </row>
    <row r="72" spans="1:40" x14ac:dyDescent="0.2">
      <c r="A72" s="49">
        <v>71</v>
      </c>
      <c r="B72" s="49" t="s">
        <v>384</v>
      </c>
      <c r="C72" s="49" t="s">
        <v>380</v>
      </c>
      <c r="D72" s="49">
        <v>1</v>
      </c>
      <c r="E72" s="49">
        <v>1</v>
      </c>
      <c r="F72" s="49">
        <v>70</v>
      </c>
      <c r="G72" s="49">
        <v>0</v>
      </c>
      <c r="O72" s="55" t="str">
        <f>CHOOSE(uxbWorks!$B$7,AE72,AJ72)</f>
        <v>Bridge cranes</v>
      </c>
      <c r="P72" s="55" t="str">
        <f>CHOOSE(uxbWorks!$B$7,AF72,AK72)</f>
        <v>#</v>
      </c>
      <c r="Q72" s="55" t="str">
        <f>CHOOSE(uxbWorks!$B$7,AG72,AL72)</f>
        <v>Water transport</v>
      </c>
      <c r="R72" s="55" t="str">
        <f>IF(CHOOSE(uxbWorks!$B$7,AI72,AN72)=0,"",CHOOSE(uxbWorks!$B$7,AI72,AN72))</f>
        <v>Total number of gantry cranes operating in the main port of each country.</v>
      </c>
      <c r="W72" s="56" t="str">
        <f t="shared" si="3"/>
        <v xml:space="preserve">  Bridge cranes</v>
      </c>
      <c r="X72" s="56" t="str">
        <f t="shared" si="6"/>
        <v xml:space="preserve">Water transportation </v>
      </c>
      <c r="Y72" s="56" t="str">
        <f t="shared" si="4"/>
        <v>WATER TRANSPORTATION »</v>
      </c>
      <c r="AA72" s="54"/>
      <c r="AB72" s="54" t="s">
        <v>385</v>
      </c>
      <c r="AC72" s="55">
        <f>IF($D72=0,"",MATCH($F72,tblIndiDefs!$A$2:$A$89,0))</f>
        <v>66</v>
      </c>
      <c r="AE72" s="54" t="str">
        <f>IF($AC72="","",INDEX(tblIndiDefs!B$2:B$197,$AC72))</f>
        <v>Bridge cranes</v>
      </c>
      <c r="AF72" s="54" t="str">
        <f>IF($AC72="","",INDEX(tblIndiDefs!C$2:C$197,$AC72))</f>
        <v>#</v>
      </c>
      <c r="AG72" s="54" t="str">
        <f>IF($AC72="","",INDEX(tblIndiDefs!D$2:D$197,$AC72))</f>
        <v>Water transport</v>
      </c>
      <c r="AH72" s="54">
        <f>IF($AC72="","",INDEX(tblIndiDefs!E$2:E$197,$AC72))</f>
        <v>0</v>
      </c>
      <c r="AI72" s="54" t="str">
        <f>IF($AC72="","",INDEX(tblIndiDefs!F$2:F$197,$AC72))</f>
        <v>Total number of gantry cranes operating in the main port of each country.</v>
      </c>
      <c r="AJ72" s="54" t="str">
        <f>IF($AC72="","",INDEX(tblIndiDefs!G$2:G$197,$AC72))</f>
        <v>Grúas pórtico</v>
      </c>
      <c r="AK72" s="54" t="str">
        <f>IF($AC72="","",INDEX(tblIndiDefs!H$2:H$197,$AC72))</f>
        <v>#</v>
      </c>
      <c r="AL72" s="54" t="str">
        <f>IF($AC72="","",INDEX(tblIndiDefs!I$2:I$197,$AC72))</f>
        <v>Transporte marítimo y fluvial</v>
      </c>
      <c r="AM72" s="54">
        <f>IF($AC72="","",INDEX(tblIndiDefs!J$2:J$197,$AC72))</f>
        <v>0</v>
      </c>
      <c r="AN72" s="54" t="str">
        <f>IF($AC72="","",INDEX(tblIndiDefs!K$2:K$197,$AC72))</f>
        <v>Número total de grúas tipo pórtico operando en el puerto principal de cada país.</v>
      </c>
    </row>
    <row r="73" spans="1:40" x14ac:dyDescent="0.2">
      <c r="A73" s="49">
        <v>72</v>
      </c>
      <c r="B73" s="49" t="s">
        <v>386</v>
      </c>
      <c r="C73" s="49" t="s">
        <v>380</v>
      </c>
      <c r="D73" s="49">
        <v>1</v>
      </c>
      <c r="E73" s="49">
        <v>1</v>
      </c>
      <c r="F73" s="49">
        <v>71</v>
      </c>
      <c r="G73" s="49">
        <v>0</v>
      </c>
      <c r="O73" s="55" t="str">
        <f>CHOOSE(uxbWorks!$B$7,AE73,AJ73)</f>
        <v>Container and multipurpose berth length</v>
      </c>
      <c r="P73" s="55" t="str">
        <f>CHOOSE(uxbWorks!$B$7,AF73,AK73)</f>
        <v>meters</v>
      </c>
      <c r="Q73" s="55" t="str">
        <f>CHOOSE(uxbWorks!$B$7,AG73,AL73)</f>
        <v>Water transport</v>
      </c>
      <c r="R73" s="55" t="str">
        <f>IF(CHOOSE(uxbWorks!$B$7,AI73,AN73)=0,"",CHOOSE(uxbWorks!$B$7,AI73,AN73))</f>
        <v>Quay length of each country's main port.</v>
      </c>
      <c r="W73" s="56" t="str">
        <f t="shared" si="3"/>
        <v xml:space="preserve">  Container and multipurpose berth length</v>
      </c>
      <c r="X73" s="56" t="str">
        <f t="shared" si="6"/>
        <v xml:space="preserve">Water transportation </v>
      </c>
      <c r="Y73" s="56" t="str">
        <f t="shared" si="4"/>
        <v>WATER TRANSPORTATION »</v>
      </c>
      <c r="AA73" s="54"/>
      <c r="AB73" s="54" t="s">
        <v>387</v>
      </c>
      <c r="AC73" s="55">
        <f>IF($D73=0,"",MATCH($F73,tblIndiDefs!$A$2:$A$89,0))</f>
        <v>67</v>
      </c>
      <c r="AE73" s="54" t="str">
        <f>IF($AC73="","",INDEX(tblIndiDefs!B$2:B$197,$AC73))</f>
        <v>Container and multipurpose berth length</v>
      </c>
      <c r="AF73" s="54" t="str">
        <f>IF($AC73="","",INDEX(tblIndiDefs!C$2:C$197,$AC73))</f>
        <v>meters</v>
      </c>
      <c r="AG73" s="54" t="str">
        <f>IF($AC73="","",INDEX(tblIndiDefs!D$2:D$197,$AC73))</f>
        <v>Water transport</v>
      </c>
      <c r="AH73" s="54">
        <f>IF($AC73="","",INDEX(tblIndiDefs!E$2:E$197,$AC73))</f>
        <v>0</v>
      </c>
      <c r="AI73" s="54" t="str">
        <f>IF($AC73="","",INDEX(tblIndiDefs!F$2:F$197,$AC73))</f>
        <v>Quay length of each country's main port.</v>
      </c>
      <c r="AJ73" s="54" t="str">
        <f>IF($AC73="","",INDEX(tblIndiDefs!G$2:G$197,$AC73))</f>
        <v>Longitud muelles multipropósito y  contenedores</v>
      </c>
      <c r="AK73" s="54" t="str">
        <f>IF($AC73="","",INDEX(tblIndiDefs!H$2:H$197,$AC73))</f>
        <v>m</v>
      </c>
      <c r="AL73" s="54" t="str">
        <f>IF($AC73="","",INDEX(tblIndiDefs!I$2:I$197,$AC73))</f>
        <v>Transporte marítimo y fluvial</v>
      </c>
      <c r="AM73" s="54">
        <f>IF($AC73="","",INDEX(tblIndiDefs!J$2:J$197,$AC73))</f>
        <v>0</v>
      </c>
      <c r="AN73" s="54" t="str">
        <f>IF($AC73="","",INDEX(tblIndiDefs!K$2:K$197,$AC73))</f>
        <v>Longitud de muelle del principal puerto de cada país.</v>
      </c>
    </row>
    <row r="74" spans="1:40" x14ac:dyDescent="0.2">
      <c r="A74" s="49">
        <v>73</v>
      </c>
      <c r="B74" s="49" t="s">
        <v>388</v>
      </c>
      <c r="C74" s="49" t="s">
        <v>380</v>
      </c>
      <c r="D74" s="49">
        <v>1</v>
      </c>
      <c r="E74" s="49">
        <v>1</v>
      </c>
      <c r="F74" s="49">
        <v>72</v>
      </c>
      <c r="G74" s="49">
        <v>0</v>
      </c>
      <c r="O74" s="55" t="str">
        <f>CHOOSE(uxbWorks!$B$7,AE74,AJ74)</f>
        <v>Container storage facilities area</v>
      </c>
      <c r="P74" s="55" t="str">
        <f>CHOOSE(uxbWorks!$B$7,AF74,AK74)</f>
        <v>sq m</v>
      </c>
      <c r="Q74" s="55" t="str">
        <f>CHOOSE(uxbWorks!$B$7,AG74,AL74)</f>
        <v>Water transport</v>
      </c>
      <c r="R74" s="55" t="str">
        <f>IF(CHOOSE(uxbWorks!$B$7,AI74,AN74)=0,"",CHOOSE(uxbWorks!$B$7,AI74,AN74))</f>
        <v>Total existing container yard area of the main port of each country.</v>
      </c>
      <c r="W74" s="56" t="str">
        <f t="shared" si="3"/>
        <v xml:space="preserve">  Container storage facilities area</v>
      </c>
      <c r="X74" s="56" t="str">
        <f t="shared" si="6"/>
        <v xml:space="preserve">Water transportation </v>
      </c>
      <c r="Y74" s="56" t="str">
        <f t="shared" si="4"/>
        <v>WATER TRANSPORTATION »</v>
      </c>
      <c r="AB74" s="49" t="s">
        <v>389</v>
      </c>
      <c r="AC74" s="55">
        <f>IF($D74=0,"",MATCH($F74,tblIndiDefs!$A$2:$A$89,0))</f>
        <v>68</v>
      </c>
      <c r="AE74" s="49" t="str">
        <f>IF($AC74="","",INDEX(tblIndiDefs!B$2:B$197,$AC74))</f>
        <v>Container storage facilities area</v>
      </c>
      <c r="AF74" s="49" t="str">
        <f>IF($AC74="","",INDEX(tblIndiDefs!C$2:C$197,$AC74))</f>
        <v>sq m</v>
      </c>
      <c r="AG74" s="49" t="str">
        <f>IF($AC74="","",INDEX(tblIndiDefs!D$2:D$197,$AC74))</f>
        <v>Water transport</v>
      </c>
      <c r="AH74" s="49">
        <f>IF($AC74="","",INDEX(tblIndiDefs!E$2:E$197,$AC74))</f>
        <v>0</v>
      </c>
      <c r="AI74" s="49" t="str">
        <f>IF($AC74="","",INDEX(tblIndiDefs!F$2:F$197,$AC74))</f>
        <v>Total existing container yard area of the main port of each country.</v>
      </c>
      <c r="AJ74" s="54" t="str">
        <f>IF($AC74="","",INDEX(tblIndiDefs!G$2:G$197,$AC74))</f>
        <v>Superfície patios portuarios de contenedores</v>
      </c>
      <c r="AK74" s="54" t="str">
        <f>IF($AC74="","",INDEX(tblIndiDefs!H$2:H$197,$AC74))</f>
        <v>m2</v>
      </c>
      <c r="AL74" s="54" t="str">
        <f>IF($AC74="","",INDEX(tblIndiDefs!I$2:I$197,$AC74))</f>
        <v>Transporte marítimo y fluvial</v>
      </c>
      <c r="AM74" s="54">
        <f>IF($AC74="","",INDEX(tblIndiDefs!J$2:J$197,$AC74))</f>
        <v>0</v>
      </c>
      <c r="AN74" s="54" t="str">
        <f>IF($AC74="","",INDEX(tblIndiDefs!K$2:K$197,$AC74))</f>
        <v>Superficie total existente de patio de contenedores del principal puerto de cada país.</v>
      </c>
    </row>
    <row r="75" spans="1:40" x14ac:dyDescent="0.2">
      <c r="A75" s="49">
        <v>74</v>
      </c>
      <c r="B75" s="49" t="s">
        <v>390</v>
      </c>
      <c r="C75" s="49" t="s">
        <v>380</v>
      </c>
      <c r="D75" s="49">
        <v>1</v>
      </c>
      <c r="E75" s="49">
        <v>1</v>
      </c>
      <c r="F75" s="49">
        <v>73</v>
      </c>
      <c r="G75" s="49">
        <v>1</v>
      </c>
      <c r="N75" s="49">
        <v>0</v>
      </c>
      <c r="O75" s="55" t="str">
        <f>CHOOSE(uxbWorks!$B$7,AE75,AJ75)</f>
        <v>Flag state commercial vessels</v>
      </c>
      <c r="P75" s="55" t="str">
        <f>CHOOSE(uxbWorks!$B$7,AF75,AK75)</f>
        <v>DWT (thousands)</v>
      </c>
      <c r="Q75" s="55" t="str">
        <f>CHOOSE(uxbWorks!$B$7,AG75,AL75)</f>
        <v>Water transport</v>
      </c>
      <c r="R75" s="55" t="str">
        <f>IF(CHOOSE(uxbWorks!$B$7,AI75,AN75)=0,"",CHOOSE(uxbWorks!$B$7,AI75,AN75))</f>
        <v>Deadweight tonnage (dwt) of the world merchant fleet registered in each country.</v>
      </c>
      <c r="S75" s="49">
        <v>0</v>
      </c>
      <c r="W75" s="56" t="str">
        <f t="shared" si="3"/>
        <v xml:space="preserve">  Flag state commercial vessels</v>
      </c>
      <c r="X75" s="56" t="str">
        <f t="shared" si="6"/>
        <v xml:space="preserve">Water transportation </v>
      </c>
      <c r="Y75" s="56" t="str">
        <f t="shared" si="4"/>
        <v>WATER TRANSPORTATION »</v>
      </c>
      <c r="AA75" s="54"/>
      <c r="AB75" s="54" t="s">
        <v>391</v>
      </c>
      <c r="AC75" s="55">
        <f>IF($D75=0,"",MATCH($F75,tblIndiDefs!$A$2:$A$89,0))</f>
        <v>69</v>
      </c>
      <c r="AE75" s="54" t="str">
        <f>IF($AC75="","",INDEX(tblIndiDefs!B$2:B$197,$AC75))</f>
        <v>Flag state commercial vessels</v>
      </c>
      <c r="AF75" s="54" t="str">
        <f>IF($AC75="","",INDEX(tblIndiDefs!C$2:C$197,$AC75))</f>
        <v>DWT (thousands)</v>
      </c>
      <c r="AG75" s="54" t="str">
        <f>IF($AC75="","",INDEX(tblIndiDefs!D$2:D$197,$AC75))</f>
        <v>Water transport</v>
      </c>
      <c r="AH75" s="54">
        <f>IF($AC75="","",INDEX(tblIndiDefs!E$2:E$197,$AC75))</f>
        <v>0</v>
      </c>
      <c r="AI75" s="54" t="str">
        <f>IF($AC75="","",INDEX(tblIndiDefs!F$2:F$197,$AC75))</f>
        <v>Deadweight tonnage (dwt) of the world merchant fleet registered in each country.</v>
      </c>
      <c r="AJ75" s="54" t="str">
        <f>IF($AC75="","",INDEX(tblIndiDefs!G$2:G$197,$AC75))</f>
        <v>Buques bajo bandera</v>
      </c>
      <c r="AK75" s="54" t="str">
        <f>IF($AC75="","",INDEX(tblIndiDefs!H$2:H$197,$AC75))</f>
        <v>TPM (miles)</v>
      </c>
      <c r="AL75" s="54" t="str">
        <f>IF($AC75="","",INDEX(tblIndiDefs!I$2:I$197,$AC75))</f>
        <v>Transporte marítimo y fluvial</v>
      </c>
      <c r="AM75" s="54">
        <f>IF($AC75="","",INDEX(tblIndiDefs!J$2:J$197,$AC75))</f>
        <v>0</v>
      </c>
      <c r="AN75" s="54" t="str">
        <f>IF($AC75="","",INDEX(tblIndiDefs!K$2:K$197,$AC75))</f>
        <v>Toneladas de peso muerto (TPM) de la flota mercante mundial matriculada en el país.</v>
      </c>
    </row>
    <row r="76" spans="1:40" x14ac:dyDescent="0.2">
      <c r="A76" s="49">
        <v>75</v>
      </c>
      <c r="B76" s="49" t="s">
        <v>392</v>
      </c>
      <c r="C76" s="49" t="s">
        <v>380</v>
      </c>
      <c r="D76" s="49">
        <v>1</v>
      </c>
      <c r="E76" s="49">
        <v>1</v>
      </c>
      <c r="F76" s="49">
        <v>74</v>
      </c>
      <c r="G76" s="49">
        <v>0</v>
      </c>
      <c r="O76" s="55" t="str">
        <f>CHOOSE(uxbWorks!$B$7,AE76,AJ76)</f>
        <v>Total port traffic</v>
      </c>
      <c r="P76" s="55" t="str">
        <f>CHOOSE(uxbWorks!$B$7,AF76,AK76)</f>
        <v>tons</v>
      </c>
      <c r="Q76" s="55" t="str">
        <f>CHOOSE(uxbWorks!$B$7,AG76,AL76)</f>
        <v>Water transport</v>
      </c>
      <c r="R76" s="55" t="str">
        <f>IF(CHOOSE(uxbWorks!$B$7,AI76,AN76)=0,"",CHOOSE(uxbWorks!$B$7,AI76,AN76))</f>
        <v>Total volume of maritime cargo handled by the port system of each country. Includes imports, exports, shipping and transit.</v>
      </c>
      <c r="W76" s="56" t="str">
        <f t="shared" si="3"/>
        <v xml:space="preserve">  Total port traffic</v>
      </c>
      <c r="X76" s="56" t="str">
        <f t="shared" si="6"/>
        <v xml:space="preserve">Water transportation </v>
      </c>
      <c r="Y76" s="56" t="str">
        <f t="shared" si="4"/>
        <v>WATER TRANSPORTATION »</v>
      </c>
      <c r="AB76" s="49" t="s">
        <v>393</v>
      </c>
      <c r="AC76" s="55">
        <f>IF($D76=0,"",MATCH($F76,tblIndiDefs!$A$2:$A$89,0))</f>
        <v>70</v>
      </c>
      <c r="AE76" s="49" t="str">
        <f>IF($AC76="","",INDEX(tblIndiDefs!B$2:B$197,$AC76))</f>
        <v>Total port traffic</v>
      </c>
      <c r="AF76" s="49" t="str">
        <f>IF($AC76="","",INDEX(tblIndiDefs!C$2:C$197,$AC76))</f>
        <v>tons</v>
      </c>
      <c r="AG76" s="49" t="str">
        <f>IF($AC76="","",INDEX(tblIndiDefs!D$2:D$197,$AC76))</f>
        <v>Water transport</v>
      </c>
      <c r="AH76" s="49">
        <f>IF($AC76="","",INDEX(tblIndiDefs!E$2:E$197,$AC76))</f>
        <v>0</v>
      </c>
      <c r="AI76" s="49" t="str">
        <f>IF($AC76="","",INDEX(tblIndiDefs!F$2:F$197,$AC76))</f>
        <v>Total volume of maritime cargo handled by the port system of each country. Includes imports, exports, shipping and transit.</v>
      </c>
      <c r="AJ76" s="54" t="str">
        <f>IF($AC76="","",INDEX(tblIndiDefs!G$2:G$197,$AC76))</f>
        <v>Movimiento portuario de cargas total</v>
      </c>
      <c r="AK76" s="54" t="str">
        <f>IF($AC76="","",INDEX(tblIndiDefs!H$2:H$197,$AC76))</f>
        <v>ton</v>
      </c>
      <c r="AL76" s="54" t="str">
        <f>IF($AC76="","",INDEX(tblIndiDefs!I$2:I$197,$AC76))</f>
        <v>Transporte marítimo y fluvial</v>
      </c>
      <c r="AM76" s="54">
        <f>IF($AC76="","",INDEX(tblIndiDefs!J$2:J$197,$AC76))</f>
        <v>0</v>
      </c>
      <c r="AN76" s="54" t="str">
        <f>IF($AC76="","",INDEX(tblIndiDefs!K$2:K$197,$AC76))</f>
        <v>Volumen total de carga marítima movilizada por el sistema portuario de cada país. Incluye importaciones, exportaciones, cabotaje y tránsitos.</v>
      </c>
    </row>
    <row r="77" spans="1:40" x14ac:dyDescent="0.2">
      <c r="A77" s="49">
        <v>76</v>
      </c>
      <c r="B77" s="49" t="s">
        <v>394</v>
      </c>
      <c r="C77" s="49" t="s">
        <v>380</v>
      </c>
      <c r="D77" s="49">
        <v>1</v>
      </c>
      <c r="E77" s="49">
        <v>1</v>
      </c>
      <c r="F77" s="49">
        <v>75</v>
      </c>
      <c r="G77" s="49">
        <v>0</v>
      </c>
      <c r="O77" s="55" t="str">
        <f>CHOOSE(uxbWorks!$B$7,AE77,AJ77)</f>
        <v>Exports port traffic</v>
      </c>
      <c r="P77" s="55" t="str">
        <f>CHOOSE(uxbWorks!$B$7,AF77,AK77)</f>
        <v>tons</v>
      </c>
      <c r="Q77" s="55" t="str">
        <f>CHOOSE(uxbWorks!$B$7,AG77,AL77)</f>
        <v>Water transport</v>
      </c>
      <c r="R77" s="55" t="str">
        <f>IF(CHOOSE(uxbWorks!$B$7,AI77,AN77)=0,"",CHOOSE(uxbWorks!$B$7,AI77,AN77))</f>
        <v>Total volume of maritime cargo handled by the port system of each country for exports.</v>
      </c>
      <c r="W77" s="56" t="str">
        <f t="shared" si="3"/>
        <v xml:space="preserve">  Exports port traffic</v>
      </c>
      <c r="X77" s="56" t="str">
        <f t="shared" si="6"/>
        <v xml:space="preserve">Water transportation </v>
      </c>
      <c r="Y77" s="56" t="str">
        <f t="shared" si="4"/>
        <v>WATER TRANSPORTATION »</v>
      </c>
      <c r="AB77" s="49" t="s">
        <v>395</v>
      </c>
      <c r="AC77" s="55">
        <f>IF($D77=0,"",MATCH($F77,tblIndiDefs!$A$2:$A$89,0))</f>
        <v>71</v>
      </c>
      <c r="AE77" s="49" t="str">
        <f>IF($AC77="","",INDEX(tblIndiDefs!B$2:B$197,$AC77))</f>
        <v>Exports port traffic</v>
      </c>
      <c r="AF77" s="49" t="str">
        <f>IF($AC77="","",INDEX(tblIndiDefs!C$2:C$197,$AC77))</f>
        <v>tons</v>
      </c>
      <c r="AG77" s="49" t="str">
        <f>IF($AC77="","",INDEX(tblIndiDefs!D$2:D$197,$AC77))</f>
        <v>Water transport</v>
      </c>
      <c r="AH77" s="49">
        <f>IF($AC77="","",INDEX(tblIndiDefs!E$2:E$197,$AC77))</f>
        <v>0</v>
      </c>
      <c r="AI77" s="49" t="str">
        <f>IF($AC77="","",INDEX(tblIndiDefs!F$2:F$197,$AC77))</f>
        <v>Total volume of maritime cargo handled by the port system of each country for exports.</v>
      </c>
      <c r="AJ77" s="54" t="str">
        <f>IF($AC77="","",INDEX(tblIndiDefs!G$2:G$197,$AC77))</f>
        <v>Tráfico portuario de exportaciones</v>
      </c>
      <c r="AK77" s="54" t="str">
        <f>IF($AC77="","",INDEX(tblIndiDefs!H$2:H$197,$AC77))</f>
        <v>ton</v>
      </c>
      <c r="AL77" s="54" t="str">
        <f>IF($AC77="","",INDEX(tblIndiDefs!I$2:I$197,$AC77))</f>
        <v>Transporte marítimo y fluvial</v>
      </c>
      <c r="AM77" s="54">
        <f>IF($AC77="","",INDEX(tblIndiDefs!J$2:J$197,$AC77))</f>
        <v>0</v>
      </c>
      <c r="AN77" s="54" t="str">
        <f>IF($AC77="","",INDEX(tblIndiDefs!K$2:K$197,$AC77))</f>
        <v>Volumen total de carga marítima movilizada por el sistema portuario de cada país para exportaciones.</v>
      </c>
    </row>
    <row r="78" spans="1:40" x14ac:dyDescent="0.2">
      <c r="A78" s="49">
        <v>77</v>
      </c>
      <c r="B78" s="49" t="s">
        <v>396</v>
      </c>
      <c r="C78" s="49" t="s">
        <v>380</v>
      </c>
      <c r="D78" s="49">
        <v>1</v>
      </c>
      <c r="E78" s="49">
        <v>1</v>
      </c>
      <c r="F78" s="49">
        <v>76</v>
      </c>
      <c r="G78" s="49">
        <v>0</v>
      </c>
      <c r="O78" s="55" t="str">
        <f>CHOOSE(uxbWorks!$B$7,AE78,AJ78)</f>
        <v>Imports port traffic</v>
      </c>
      <c r="P78" s="55" t="str">
        <f>CHOOSE(uxbWorks!$B$7,AF78,AK78)</f>
        <v>tons</v>
      </c>
      <c r="Q78" s="55" t="str">
        <f>CHOOSE(uxbWorks!$B$7,AG78,AL78)</f>
        <v>Water transport</v>
      </c>
      <c r="R78" s="55" t="str">
        <f>IF(CHOOSE(uxbWorks!$B$7,AI78,AN78)=0,"",CHOOSE(uxbWorks!$B$7,AI78,AN78))</f>
        <v>Total volume of maritime cargo handled by the port system of each country for imports.</v>
      </c>
      <c r="W78" s="56" t="str">
        <f t="shared" ref="W78:W107" si="7">CONCATENATE(REPT("  ",$D78),CHOOSE($E78+1,UPPER(O78),O78))</f>
        <v xml:space="preserve">  Imports port traffic</v>
      </c>
      <c r="X78" s="56" t="str">
        <f t="shared" si="6"/>
        <v xml:space="preserve">Water transportation </v>
      </c>
      <c r="Y78" s="56" t="str">
        <f t="shared" ref="Y78:Y107" si="8">IF(X78="","",TRIM(CONCATENATE(UPPER(X78)," » ",UPPER(U78))))</f>
        <v>WATER TRANSPORTATION »</v>
      </c>
      <c r="AB78" s="49" t="s">
        <v>397</v>
      </c>
      <c r="AC78" s="55">
        <f>IF($D78=0,"",MATCH($F78,tblIndiDefs!$A$2:$A$89,0))</f>
        <v>72</v>
      </c>
      <c r="AE78" s="49" t="str">
        <f>IF($AC78="","",INDEX(tblIndiDefs!B$2:B$197,$AC78))</f>
        <v>Imports port traffic</v>
      </c>
      <c r="AF78" s="49" t="str">
        <f>IF($AC78="","",INDEX(tblIndiDefs!C$2:C$197,$AC78))</f>
        <v>tons</v>
      </c>
      <c r="AG78" s="49" t="str">
        <f>IF($AC78="","",INDEX(tblIndiDefs!D$2:D$197,$AC78))</f>
        <v>Water transport</v>
      </c>
      <c r="AH78" s="49">
        <f>IF($AC78="","",INDEX(tblIndiDefs!E$2:E$197,$AC78))</f>
        <v>0</v>
      </c>
      <c r="AI78" s="49" t="str">
        <f>IF($AC78="","",INDEX(tblIndiDefs!F$2:F$197,$AC78))</f>
        <v>Total volume of maritime cargo handled by the port system of each country for imports.</v>
      </c>
      <c r="AJ78" s="54" t="str">
        <f>IF($AC78="","",INDEX(tblIndiDefs!G$2:G$197,$AC78))</f>
        <v>Tráfico portuario de importaciones</v>
      </c>
      <c r="AK78" s="54" t="str">
        <f>IF($AC78="","",INDEX(tblIndiDefs!H$2:H$197,$AC78))</f>
        <v>ton</v>
      </c>
      <c r="AL78" s="54" t="str">
        <f>IF($AC78="","",INDEX(tblIndiDefs!I$2:I$197,$AC78))</f>
        <v>Transporte marítimo y fluvial</v>
      </c>
      <c r="AM78" s="54">
        <f>IF($AC78="","",INDEX(tblIndiDefs!J$2:J$197,$AC78))</f>
        <v>0</v>
      </c>
      <c r="AN78" s="54" t="str">
        <f>IF($AC78="","",INDEX(tblIndiDefs!K$2:K$197,$AC78))</f>
        <v>Volumen total de carga marítima movilizada por el sistema portuario de cada país para importaciones.</v>
      </c>
    </row>
    <row r="79" spans="1:40" x14ac:dyDescent="0.2">
      <c r="A79" s="49">
        <v>78</v>
      </c>
      <c r="B79" s="49" t="s">
        <v>398</v>
      </c>
      <c r="C79" s="49" t="s">
        <v>380</v>
      </c>
      <c r="D79" s="49">
        <v>1</v>
      </c>
      <c r="E79" s="49">
        <v>1</v>
      </c>
      <c r="F79" s="49">
        <v>77</v>
      </c>
      <c r="G79" s="49">
        <v>0</v>
      </c>
      <c r="O79" s="55" t="str">
        <f>CHOOSE(uxbWorks!$B$7,AE79,AJ79)</f>
        <v>Total port traffic domestic movements (inbound &amp; outbound)</v>
      </c>
      <c r="P79" s="55" t="str">
        <f>CHOOSE(uxbWorks!$B$7,AF79,AK79)</f>
        <v>tons</v>
      </c>
      <c r="Q79" s="55" t="str">
        <f>CHOOSE(uxbWorks!$B$7,AG79,AL79)</f>
        <v>Water transport</v>
      </c>
      <c r="R79" s="55" t="str">
        <f>IF(CHOOSE(uxbWorks!$B$7,AI79,AN79)=0,"",CHOOSE(uxbWorks!$B$7,AI79,AN79))</f>
        <v>Total volume of maritime cargo handled domestically.</v>
      </c>
      <c r="W79" s="56" t="str">
        <f t="shared" si="7"/>
        <v xml:space="preserve">  Total port traffic domestic movements (inbound &amp; outbound)</v>
      </c>
      <c r="X79" s="56" t="str">
        <f t="shared" si="6"/>
        <v xml:space="preserve">Water transportation </v>
      </c>
      <c r="Y79" s="56" t="str">
        <f t="shared" si="8"/>
        <v>WATER TRANSPORTATION »</v>
      </c>
      <c r="AB79" s="49" t="s">
        <v>399</v>
      </c>
      <c r="AC79" s="55">
        <f>IF($D79=0,"",MATCH($F79,tblIndiDefs!$A$2:$A$89,0))</f>
        <v>73</v>
      </c>
      <c r="AE79" s="49" t="str">
        <f>IF($AC79="","",INDEX(tblIndiDefs!B$2:B$197,$AC79))</f>
        <v>Total port traffic domestic movements (inbound &amp; outbound)</v>
      </c>
      <c r="AF79" s="49" t="str">
        <f>IF($AC79="","",INDEX(tblIndiDefs!C$2:C$197,$AC79))</f>
        <v>tons</v>
      </c>
      <c r="AG79" s="49" t="str">
        <f>IF($AC79="","",INDEX(tblIndiDefs!D$2:D$197,$AC79))</f>
        <v>Water transport</v>
      </c>
      <c r="AH79" s="49">
        <f>IF($AC79="","",INDEX(tblIndiDefs!E$2:E$197,$AC79))</f>
        <v>0</v>
      </c>
      <c r="AI79" s="49" t="str">
        <f>IF($AC79="","",INDEX(tblIndiDefs!F$2:F$197,$AC79))</f>
        <v>Total volume of maritime cargo handled domestically.</v>
      </c>
      <c r="AJ79" s="54" t="str">
        <f>IF($AC79="","",INDEX(tblIndiDefs!G$2:G$197,$AC79))</f>
        <v>Movimiento portuario de cargas doméstico</v>
      </c>
      <c r="AK79" s="54" t="str">
        <f>IF($AC79="","",INDEX(tblIndiDefs!H$2:H$197,$AC79))</f>
        <v>ton</v>
      </c>
      <c r="AL79" s="54" t="str">
        <f>IF($AC79="","",INDEX(tblIndiDefs!I$2:I$197,$AC79))</f>
        <v>Transporte marítimo y fluvial</v>
      </c>
      <c r="AM79" s="54">
        <f>IF($AC79="","",INDEX(tblIndiDefs!J$2:J$197,$AC79))</f>
        <v>0</v>
      </c>
      <c r="AN79" s="54" t="str">
        <f>IF($AC79="","",INDEX(tblIndiDefs!K$2:K$197,$AC79))</f>
        <v>Volumen total de carga marítima movilizada a nivel doméstico.</v>
      </c>
    </row>
    <row r="80" spans="1:40" x14ac:dyDescent="0.2">
      <c r="A80" s="49">
        <v>79</v>
      </c>
      <c r="B80" s="49" t="s">
        <v>400</v>
      </c>
      <c r="C80" s="49" t="s">
        <v>380</v>
      </c>
      <c r="D80" s="49">
        <v>1</v>
      </c>
      <c r="E80" s="49">
        <v>1</v>
      </c>
      <c r="F80" s="49">
        <v>78</v>
      </c>
      <c r="G80" s="49">
        <v>0</v>
      </c>
      <c r="N80" s="49">
        <v>0</v>
      </c>
      <c r="O80" s="55" t="str">
        <f>CHOOSE(uxbWorks!$B$7,AE80,AJ80)</f>
        <v>Port container traffic</v>
      </c>
      <c r="P80" s="55" t="str">
        <f>CHOOSE(uxbWorks!$B$7,AF80,AK80)</f>
        <v>TEU</v>
      </c>
      <c r="Q80" s="55" t="str">
        <f>CHOOSE(uxbWorks!$B$7,AG80,AL80)</f>
        <v>Water transport</v>
      </c>
      <c r="R80" s="55" t="str">
        <f>IF(CHOOSE(uxbWorks!$B$7,AI80,AN80)=0,"",CHOOSE(uxbWorks!$B$7,AI80,AN80))</f>
        <v>Number of containers mobilized by the analyzed port. Includes imports and exports.</v>
      </c>
      <c r="S80" s="49">
        <v>0</v>
      </c>
      <c r="W80" s="56" t="str">
        <f t="shared" si="7"/>
        <v xml:space="preserve">  Port container traffic</v>
      </c>
      <c r="X80" s="56" t="str">
        <f t="shared" si="6"/>
        <v xml:space="preserve">Water transportation </v>
      </c>
      <c r="Y80" s="56" t="str">
        <f t="shared" si="8"/>
        <v>WATER TRANSPORTATION »</v>
      </c>
      <c r="AA80" s="54"/>
      <c r="AB80" s="54" t="s">
        <v>401</v>
      </c>
      <c r="AC80" s="55">
        <f>IF($D80=0,"",MATCH($F80,tblIndiDefs!$A$2:$A$89,0))</f>
        <v>74</v>
      </c>
      <c r="AE80" s="54" t="str">
        <f>IF($AC80="","",INDEX(tblIndiDefs!B$2:B$197,$AC80))</f>
        <v>Port container traffic</v>
      </c>
      <c r="AF80" s="54" t="str">
        <f>IF($AC80="","",INDEX(tblIndiDefs!C$2:C$197,$AC80))</f>
        <v>TEU</v>
      </c>
      <c r="AG80" s="54" t="str">
        <f>IF($AC80="","",INDEX(tblIndiDefs!D$2:D$197,$AC80))</f>
        <v>Water transport</v>
      </c>
      <c r="AH80" s="54">
        <f>IF($AC80="","",INDEX(tblIndiDefs!E$2:E$197,$AC80))</f>
        <v>0</v>
      </c>
      <c r="AI80" s="54" t="str">
        <f>IF($AC80="","",INDEX(tblIndiDefs!F$2:F$197,$AC80))</f>
        <v>Number of containers mobilized by the analyzed port. Includes imports and exports.</v>
      </c>
      <c r="AJ80" s="54" t="str">
        <f>IF($AC80="","",INDEX(tblIndiDefs!G$2:G$197,$AC80))</f>
        <v>Tráfico portuario de contenedores</v>
      </c>
      <c r="AK80" s="54" t="str">
        <f>IF($AC80="","",INDEX(tblIndiDefs!H$2:H$197,$AC80))</f>
        <v>TEU</v>
      </c>
      <c r="AL80" s="54" t="str">
        <f>IF($AC80="","",INDEX(tblIndiDefs!I$2:I$197,$AC80))</f>
        <v>Transporte marítimo y fluvial</v>
      </c>
      <c r="AM80" s="54">
        <f>IF($AC80="","",INDEX(tblIndiDefs!J$2:J$197,$AC80))</f>
        <v>0</v>
      </c>
      <c r="AN80" s="54" t="str">
        <f>IF($AC80="","",INDEX(tblIndiDefs!K$2:K$197,$AC80))</f>
        <v>Número de contenedores movilizados por el puerto en análisis. Incluye importaciones y exportaciones.</v>
      </c>
    </row>
    <row r="81" spans="1:40" x14ac:dyDescent="0.2">
      <c r="A81" s="49">
        <v>80</v>
      </c>
      <c r="B81" s="49" t="s">
        <v>402</v>
      </c>
      <c r="C81" s="49" t="s">
        <v>380</v>
      </c>
      <c r="D81" s="49">
        <v>1</v>
      </c>
      <c r="E81" s="49">
        <v>1</v>
      </c>
      <c r="F81" s="49">
        <v>79</v>
      </c>
      <c r="G81" s="49">
        <v>0</v>
      </c>
      <c r="N81" s="49">
        <v>0</v>
      </c>
      <c r="O81" s="55" t="str">
        <f>CHOOSE(uxbWorks!$B$7,AE81,AJ81)</f>
        <v>Inland waterway traffic</v>
      </c>
      <c r="P81" s="55" t="str">
        <f>CHOOSE(uxbWorks!$B$7,AF81,AK81)</f>
        <v>tons</v>
      </c>
      <c r="Q81" s="55" t="str">
        <f>CHOOSE(uxbWorks!$B$7,AG81,AL81)</f>
        <v>Water transport</v>
      </c>
      <c r="R81" s="55" t="str">
        <f>IF(CHOOSE(uxbWorks!$B$7,AI81,AN81)=0,"",CHOOSE(uxbWorks!$B$7,AI81,AN81))</f>
        <v>Total volume of goods transported between national river ports.</v>
      </c>
      <c r="S81" s="49">
        <v>0</v>
      </c>
      <c r="W81" s="56" t="str">
        <f t="shared" si="7"/>
        <v xml:space="preserve">  Inland waterway traffic</v>
      </c>
      <c r="X81" s="56" t="str">
        <f t="shared" si="6"/>
        <v xml:space="preserve">Water transportation </v>
      </c>
      <c r="Y81" s="56" t="str">
        <f t="shared" si="8"/>
        <v>WATER TRANSPORTATION »</v>
      </c>
      <c r="AA81" s="54"/>
      <c r="AB81" s="54" t="s">
        <v>753</v>
      </c>
      <c r="AC81" s="55">
        <f>IF($D81=0,"",MATCH($F81,tblIndiDefs!$A$2:$A$89,0))</f>
        <v>75</v>
      </c>
      <c r="AE81" s="54" t="str">
        <f>IF($AC81="","",INDEX(tblIndiDefs!B$2:B$197,$AC81))</f>
        <v>Inland waterway traffic</v>
      </c>
      <c r="AF81" s="54" t="str">
        <f>IF($AC81="","",INDEX(tblIndiDefs!C$2:C$197,$AC81))</f>
        <v>tons</v>
      </c>
      <c r="AG81" s="54" t="str">
        <f>IF($AC81="","",INDEX(tblIndiDefs!D$2:D$197,$AC81))</f>
        <v>Water transport</v>
      </c>
      <c r="AH81" s="54">
        <f>IF($AC81="","",INDEX(tblIndiDefs!E$2:E$197,$AC81))</f>
        <v>0</v>
      </c>
      <c r="AI81" s="54" t="str">
        <f>IF($AC81="","",INDEX(tblIndiDefs!F$2:F$197,$AC81))</f>
        <v>Total volume of goods transported between national river ports.</v>
      </c>
      <c r="AJ81" s="54" t="str">
        <f>IF($AC81="","",INDEX(tblIndiDefs!G$2:G$197,$AC81))</f>
        <v>Tráfico de cabotaje fluvial</v>
      </c>
      <c r="AK81" s="54" t="str">
        <f>IF($AC81="","",INDEX(tblIndiDefs!H$2:H$197,$AC81))</f>
        <v>ton</v>
      </c>
      <c r="AL81" s="54" t="str">
        <f>IF($AC81="","",INDEX(tblIndiDefs!I$2:I$197,$AC81))</f>
        <v>Transporte marítimo y fluvial</v>
      </c>
      <c r="AM81" s="54">
        <f>IF($AC81="","",INDEX(tblIndiDefs!J$2:J$197,$AC81))</f>
        <v>0</v>
      </c>
      <c r="AN81" s="54" t="str">
        <f>IF($AC81="","",INDEX(tblIndiDefs!K$2:K$197,$AC81))</f>
        <v>Volumen total de mercancía transportada entre puertos fluviales nacionales.</v>
      </c>
    </row>
    <row r="82" spans="1:40" x14ac:dyDescent="0.2">
      <c r="A82" s="49">
        <v>81</v>
      </c>
      <c r="B82" s="49" t="s">
        <v>403</v>
      </c>
      <c r="C82" s="49" t="s">
        <v>380</v>
      </c>
      <c r="D82" s="49">
        <v>1</v>
      </c>
      <c r="E82" s="49">
        <v>1</v>
      </c>
      <c r="F82" s="49">
        <v>80</v>
      </c>
      <c r="G82" s="49">
        <v>0</v>
      </c>
      <c r="N82" s="49">
        <v>0</v>
      </c>
      <c r="O82" s="55" t="str">
        <f>CHOOSE(uxbWorks!$B$7,AE82,AJ82)</f>
        <v>Maritime cabotage traffic</v>
      </c>
      <c r="P82" s="55" t="str">
        <f>CHOOSE(uxbWorks!$B$7,AF82,AK82)</f>
        <v>tons</v>
      </c>
      <c r="Q82" s="55" t="str">
        <f>CHOOSE(uxbWorks!$B$7,AG82,AL82)</f>
        <v>Water transport</v>
      </c>
      <c r="R82" s="55" t="str">
        <f>IF(CHOOSE(uxbWorks!$B$7,AI82,AN82)=0,"",CHOOSE(uxbWorks!$B$7,AI82,AN82))</f>
        <v>Total volume of cargo transported between national seaports.</v>
      </c>
      <c r="S82" s="49">
        <v>0</v>
      </c>
      <c r="W82" s="56" t="str">
        <f t="shared" si="7"/>
        <v xml:space="preserve">  Maritime cabotage traffic</v>
      </c>
      <c r="X82" s="56" t="str">
        <f t="shared" si="6"/>
        <v xml:space="preserve">Water transportation </v>
      </c>
      <c r="Y82" s="56" t="str">
        <f t="shared" si="8"/>
        <v>WATER TRANSPORTATION »</v>
      </c>
      <c r="AA82" s="54"/>
      <c r="AB82" s="54" t="s">
        <v>404</v>
      </c>
      <c r="AC82" s="55">
        <f>IF($D82=0,"",MATCH($F82,tblIndiDefs!$A$2:$A$89,0))</f>
        <v>76</v>
      </c>
      <c r="AE82" s="54" t="str">
        <f>IF($AC82="","",INDEX(tblIndiDefs!B$2:B$197,$AC82))</f>
        <v>Maritime cabotage traffic</v>
      </c>
      <c r="AF82" s="54" t="str">
        <f>IF($AC82="","",INDEX(tblIndiDefs!C$2:C$197,$AC82))</f>
        <v>tons</v>
      </c>
      <c r="AG82" s="54" t="str">
        <f>IF($AC82="","",INDEX(tblIndiDefs!D$2:D$197,$AC82))</f>
        <v>Water transport</v>
      </c>
      <c r="AH82" s="54">
        <f>IF($AC82="","",INDEX(tblIndiDefs!E$2:E$197,$AC82))</f>
        <v>0</v>
      </c>
      <c r="AI82" s="54" t="str">
        <f>IF($AC82="","",INDEX(tblIndiDefs!F$2:F$197,$AC82))</f>
        <v>Total volume of cargo transported between national seaports.</v>
      </c>
      <c r="AJ82" s="54" t="str">
        <f>IF($AC82="","",INDEX(tblIndiDefs!G$2:G$197,$AC82))</f>
        <v>Tráfico  de cabotaje marítimo</v>
      </c>
      <c r="AK82" s="54" t="str">
        <f>IF($AC82="","",INDEX(tblIndiDefs!H$2:H$197,$AC82))</f>
        <v>ton</v>
      </c>
      <c r="AL82" s="54" t="str">
        <f>IF($AC82="","",INDEX(tblIndiDefs!I$2:I$197,$AC82))</f>
        <v>Transporte marítimo y fluvial</v>
      </c>
      <c r="AM82" s="54">
        <f>IF($AC82="","",INDEX(tblIndiDefs!J$2:J$197,$AC82))</f>
        <v>0</v>
      </c>
      <c r="AN82" s="54" t="str">
        <f>IF($AC82="","",INDEX(tblIndiDefs!K$2:K$197,$AC82))</f>
        <v>Volumen total de mercancía transportada entre puertos marítimos nacionales.</v>
      </c>
    </row>
    <row r="83" spans="1:40" x14ac:dyDescent="0.2">
      <c r="A83" s="49">
        <v>82</v>
      </c>
      <c r="B83" s="49" t="s">
        <v>405</v>
      </c>
      <c r="C83" s="49" t="s">
        <v>380</v>
      </c>
      <c r="D83" s="49">
        <v>1</v>
      </c>
      <c r="E83" s="49">
        <v>1</v>
      </c>
      <c r="F83" s="49">
        <v>82</v>
      </c>
      <c r="G83" s="49">
        <v>2</v>
      </c>
      <c r="N83" s="97">
        <v>1</v>
      </c>
      <c r="O83" s="55" t="str">
        <f>CHOOSE(uxbWorks!$B$7,AE83,AJ83)</f>
        <v>Average tariff  maritime cabotage</v>
      </c>
      <c r="P83" s="55" t="str">
        <f>CHOOSE(uxbWorks!$B$7,AF83,AK83)</f>
        <v>US$/t-km</v>
      </c>
      <c r="Q83" s="55" t="str">
        <f>CHOOSE(uxbWorks!$B$7,AG83,AL83)</f>
        <v>Water transport</v>
      </c>
      <c r="R83" s="55" t="str">
        <f>IF(CHOOSE(uxbWorks!$B$7,AI83,AN83)=0,"",CHOOSE(uxbWorks!$B$7,AI83,AN83))</f>
        <v>Average monetary value per tonne-kilometer in the maritime cabotage mode.</v>
      </c>
      <c r="S83" s="49">
        <v>0</v>
      </c>
      <c r="W83" s="56" t="str">
        <f t="shared" si="7"/>
        <v xml:space="preserve">  Average tariff  maritime cabotage</v>
      </c>
      <c r="X83" s="56" t="str">
        <f t="shared" si="6"/>
        <v xml:space="preserve">Water transportation </v>
      </c>
      <c r="Y83" s="56" t="str">
        <f t="shared" si="8"/>
        <v>WATER TRANSPORTATION »</v>
      </c>
      <c r="AA83" s="54"/>
      <c r="AB83" s="54" t="s">
        <v>754</v>
      </c>
      <c r="AC83" s="55">
        <f>IF($D83=0,"",MATCH($F83,tblIndiDefs!$A$2:$A$89,0))</f>
        <v>77</v>
      </c>
      <c r="AE83" s="54" t="str">
        <f>IF($AC83="","",INDEX(tblIndiDefs!B$2:B$197,$AC83))</f>
        <v>Average tariff  maritime cabotage</v>
      </c>
      <c r="AF83" s="54" t="str">
        <f>IF($AC83="","",INDEX(tblIndiDefs!C$2:C$197,$AC83))</f>
        <v>US$/t-km</v>
      </c>
      <c r="AG83" s="54" t="str">
        <f>IF($AC83="","",INDEX(tblIndiDefs!D$2:D$197,$AC83))</f>
        <v>Water transport</v>
      </c>
      <c r="AH83" s="54">
        <f>IF($AC83="","",INDEX(tblIndiDefs!E$2:E$197,$AC83))</f>
        <v>0</v>
      </c>
      <c r="AI83" s="54" t="str">
        <f>IF($AC83="","",INDEX(tblIndiDefs!F$2:F$197,$AC83))</f>
        <v>Average monetary value per tonne-kilometer in the maritime cabotage mode.</v>
      </c>
      <c r="AJ83" s="54" t="str">
        <f>IF($AC83="","",INDEX(tblIndiDefs!G$2:G$197,$AC83))</f>
        <v>Tarifa media de carga cabotaje marítimo</v>
      </c>
      <c r="AK83" s="54" t="str">
        <f>IF($AC83="","",INDEX(tblIndiDefs!H$2:H$197,$AC83))</f>
        <v>US$/t-km</v>
      </c>
      <c r="AL83" s="54" t="str">
        <f>IF($AC83="","",INDEX(tblIndiDefs!I$2:I$197,$AC83))</f>
        <v>Transporte marítimo y fluvial</v>
      </c>
      <c r="AM83" s="54">
        <f>IF($AC83="","",INDEX(tblIndiDefs!J$2:J$197,$AC83))</f>
        <v>0</v>
      </c>
      <c r="AN83" s="54" t="str">
        <f>IF($AC83="","",INDEX(tblIndiDefs!K$2:K$197,$AC83))</f>
        <v>Valor medio monetario por tonelada-kilómetro en el modo de cabotaje maritimo.</v>
      </c>
    </row>
    <row r="84" spans="1:40" x14ac:dyDescent="0.2">
      <c r="A84" s="49">
        <v>83</v>
      </c>
      <c r="B84" s="49" t="s">
        <v>406</v>
      </c>
      <c r="C84" s="49" t="s">
        <v>380</v>
      </c>
      <c r="D84" s="49">
        <v>1</v>
      </c>
      <c r="E84" s="49">
        <v>1</v>
      </c>
      <c r="F84" s="49">
        <v>83</v>
      </c>
      <c r="G84" s="49">
        <v>1</v>
      </c>
      <c r="N84" s="97">
        <v>1</v>
      </c>
      <c r="O84" s="55" t="str">
        <f>CHOOSE(uxbWorks!$B$7,AE84,AJ84)</f>
        <v>Liner shipping connectivity index</v>
      </c>
      <c r="P84" s="55" t="str">
        <f>CHOOSE(uxbWorks!$B$7,AF84,AK84)</f>
        <v>2004=100</v>
      </c>
      <c r="Q84" s="55" t="str">
        <f>CHOOSE(uxbWorks!$B$7,AG84,AL84)</f>
        <v>Water transport</v>
      </c>
      <c r="R84" s="55" t="str">
        <f>IF(CHOOSE(uxbWorks!$B$7,AI84,AN84)=0,"",CHOOSE(uxbWorks!$B$7,AI84,AN84))</f>
        <v>Level of integration and connectivity of a country with global maritime network, based on the conditions of maritime transport of that country.</v>
      </c>
      <c r="S84" s="49">
        <v>0</v>
      </c>
      <c r="W84" s="56" t="str">
        <f t="shared" si="7"/>
        <v xml:space="preserve">  Liner shipping connectivity index</v>
      </c>
      <c r="X84" s="56" t="str">
        <f t="shared" si="6"/>
        <v xml:space="preserve">Water transportation </v>
      </c>
      <c r="Y84" s="56" t="str">
        <f t="shared" si="8"/>
        <v>WATER TRANSPORTATION »</v>
      </c>
      <c r="AA84" s="54"/>
      <c r="AB84" s="54" t="s">
        <v>755</v>
      </c>
      <c r="AC84" s="55">
        <f>IF($D84=0,"",MATCH($F84,tblIndiDefs!$A$2:$A$89,0))</f>
        <v>78</v>
      </c>
      <c r="AE84" s="54" t="str">
        <f>IF($AC84="","",INDEX(tblIndiDefs!B$2:B$197,$AC84))</f>
        <v>Liner shipping connectivity index</v>
      </c>
      <c r="AF84" s="54" t="str">
        <f>IF($AC84="","",INDEX(tblIndiDefs!C$2:C$197,$AC84))</f>
        <v>2004=100</v>
      </c>
      <c r="AG84" s="54" t="str">
        <f>IF($AC84="","",INDEX(tblIndiDefs!D$2:D$197,$AC84))</f>
        <v>Water transport</v>
      </c>
      <c r="AH84" s="54">
        <f>IF($AC84="","",INDEX(tblIndiDefs!E$2:E$197,$AC84))</f>
        <v>0</v>
      </c>
      <c r="AI84" s="54" t="str">
        <f>IF($AC84="","",INDEX(tblIndiDefs!F$2:F$197,$AC84))</f>
        <v>Level of integration and connectivity of a country with global maritime network, based on the conditions of maritime transport of that country.</v>
      </c>
      <c r="AJ84" s="54" t="str">
        <f>IF($AC84="","",INDEX(tblIndiDefs!G$2:G$197,$AC84))</f>
        <v>Índice de conectividad marítima</v>
      </c>
      <c r="AK84" s="54" t="str">
        <f>IF($AC84="","",INDEX(tblIndiDefs!H$2:H$197,$AC84))</f>
        <v>2004=100</v>
      </c>
      <c r="AL84" s="54" t="str">
        <f>IF($AC84="","",INDEX(tblIndiDefs!I$2:I$197,$AC84))</f>
        <v>Transporte marítimo y fluvial</v>
      </c>
      <c r="AM84" s="54">
        <f>IF($AC84="","",INDEX(tblIndiDefs!J$2:J$197,$AC84))</f>
        <v>0</v>
      </c>
      <c r="AN84" s="54" t="str">
        <f>IF($AC84="","",INDEX(tblIndiDefs!K$2:K$197,$AC84))</f>
        <v>Nivel de integración y conectividad de un país con las redes marítimas globales, basado en las condiciones del transporte marítimo de ese país.</v>
      </c>
    </row>
    <row r="85" spans="1:40" s="100" customFormat="1" x14ac:dyDescent="0.2">
      <c r="A85" s="100">
        <v>84</v>
      </c>
      <c r="B85" s="100" t="s">
        <v>707</v>
      </c>
      <c r="C85" s="100" t="s">
        <v>380</v>
      </c>
      <c r="D85" s="100">
        <v>1</v>
      </c>
      <c r="E85" s="100">
        <v>1</v>
      </c>
      <c r="F85" s="100">
        <v>95</v>
      </c>
      <c r="G85" s="100">
        <v>1</v>
      </c>
      <c r="O85" s="101" t="str">
        <f>CHOOSE(uxbWorks!$B$7,AE85,AJ85)</f>
        <v>Container terminal utilization</v>
      </c>
      <c r="P85" s="101" t="str">
        <f>CHOOSE(uxbWorks!$B$7,AF85,AK85)</f>
        <v>%</v>
      </c>
      <c r="Q85" s="101" t="str">
        <f>CHOOSE(uxbWorks!$B$7,AG85,AL85)</f>
        <v>Logistics indicators</v>
      </c>
      <c r="R85" s="101" t="str">
        <f>IF(CHOOSE(uxbWorks!$B$7,AI85,AN85)=0,"",CHOOSE(uxbWorks!$B$7,AI85,AN85))</f>
        <v>Degree of utilization for the three main components of a container terminal: berth length, terminal area and specialized equipment (gantry cranes).</v>
      </c>
      <c r="S85" s="101"/>
      <c r="T85" s="101"/>
      <c r="U85" s="101"/>
      <c r="W85" s="102" t="str">
        <f t="shared" si="7"/>
        <v xml:space="preserve">  Container terminal utilization</v>
      </c>
      <c r="X85" s="102" t="str">
        <f t="shared" si="6"/>
        <v xml:space="preserve">Water transportation </v>
      </c>
      <c r="Y85" s="102" t="str">
        <f t="shared" si="8"/>
        <v>WATER TRANSPORTATION »</v>
      </c>
      <c r="AB85" s="100" t="s">
        <v>708</v>
      </c>
      <c r="AC85" s="101">
        <f>IF($D85=0,"",MATCH($F85,tblIndiDefs!$A$2:$A$89,0))</f>
        <v>83</v>
      </c>
      <c r="AE85" s="100" t="str">
        <f>IF($AC85="","",INDEX(tblIndiDefs!B$2:B$197,$AC85))</f>
        <v>Container terminal utilization</v>
      </c>
      <c r="AF85" s="100" t="str">
        <f>IF($AC85="","",INDEX(tblIndiDefs!C$2:C$197,$AC85))</f>
        <v>%</v>
      </c>
      <c r="AG85" s="100" t="str">
        <f>IF($AC85="","",INDEX(tblIndiDefs!D$2:D$197,$AC85))</f>
        <v>Logistics indicators</v>
      </c>
      <c r="AH85" s="100">
        <f>IF($AC85="","",INDEX(tblIndiDefs!E$2:E$197,$AC85))</f>
        <v>0</v>
      </c>
      <c r="AI85" s="100" t="str">
        <f>IF($AC85="","",INDEX(tblIndiDefs!F$2:F$197,$AC85))</f>
        <v>Degree of utilization for the three main components of a container terminal: berth length, terminal area and specialized equipment (gantry cranes).</v>
      </c>
      <c r="AJ85" s="54" t="str">
        <f>IF($AC85="","",INDEX(tblIndiDefs!G$2:G$197,$AC85))</f>
        <v>Utilización del terminal de contenedores</v>
      </c>
      <c r="AK85" s="54" t="str">
        <f>IF($AC85="","",INDEX(tblIndiDefs!H$2:H$197,$AC85))</f>
        <v>%</v>
      </c>
      <c r="AL85" s="54" t="str">
        <f>IF($AC85="","",INDEX(tblIndiDefs!I$2:I$197,$AC85))</f>
        <v>Transporte marítimo y fluvial</v>
      </c>
      <c r="AM85" s="54">
        <f>IF($AC85="","",INDEX(tblIndiDefs!J$2:J$197,$AC85))</f>
        <v>0</v>
      </c>
      <c r="AN85" s="54" t="str">
        <f>IF($AC85="","",INDEX(tblIndiDefs!K$2:K$197,$AC85))</f>
        <v>Grado de utilización de los tres componentes principales de un terminal de contenedores: longitud del muelle, área de la terminal y el equipo especializado (grúas pórtico).</v>
      </c>
    </row>
    <row r="86" spans="1:40" s="100" customFormat="1" x14ac:dyDescent="0.2">
      <c r="A86" s="100">
        <v>85</v>
      </c>
      <c r="B86" s="100" t="s">
        <v>709</v>
      </c>
      <c r="C86" s="100" t="s">
        <v>380</v>
      </c>
      <c r="D86" s="100">
        <v>1</v>
      </c>
      <c r="E86" s="100">
        <v>1</v>
      </c>
      <c r="F86" s="100">
        <v>96</v>
      </c>
      <c r="G86" s="100">
        <v>0</v>
      </c>
      <c r="O86" s="101" t="str">
        <f>CHOOSE(uxbWorks!$B$7,AE86,AJ86)</f>
        <v>Container terminal extent of competition</v>
      </c>
      <c r="P86" s="101" t="str">
        <f>CHOOSE(uxbWorks!$B$7,AF86,AK86)</f>
        <v># terminals</v>
      </c>
      <c r="Q86" s="101" t="str">
        <f>CHOOSE(uxbWorks!$B$7,AG86,AL86)</f>
        <v>Logistics indicators</v>
      </c>
      <c r="R86" s="101" t="str">
        <f>IF(CHOOSE(uxbWorks!$B$7,AI86,AN86)=0,"",CHOOSE(uxbWorks!$B$7,AI86,AN86))</f>
        <v>Number of terminals serving the main consumer market.</v>
      </c>
      <c r="S86" s="101"/>
      <c r="T86" s="101"/>
      <c r="U86" s="101"/>
      <c r="W86" s="102" t="str">
        <f t="shared" si="7"/>
        <v xml:space="preserve">  Container terminal extent of competition</v>
      </c>
      <c r="X86" s="102" t="str">
        <f t="shared" si="6"/>
        <v xml:space="preserve">Water transportation </v>
      </c>
      <c r="Y86" s="102" t="str">
        <f t="shared" si="8"/>
        <v>WATER TRANSPORTATION »</v>
      </c>
      <c r="AB86" s="100" t="s">
        <v>710</v>
      </c>
      <c r="AC86" s="101">
        <f>IF($D86=0,"",MATCH($F86,tblIndiDefs!$A$2:$A$89,0))</f>
        <v>84</v>
      </c>
      <c r="AE86" s="100" t="str">
        <f>IF($AC86="","",INDEX(tblIndiDefs!B$2:B$197,$AC86))</f>
        <v>Container terminal extent of competition</v>
      </c>
      <c r="AF86" s="100" t="str">
        <f>IF($AC86="","",INDEX(tblIndiDefs!C$2:C$197,$AC86))</f>
        <v># terminals</v>
      </c>
      <c r="AG86" s="100" t="str">
        <f>IF($AC86="","",INDEX(tblIndiDefs!D$2:D$197,$AC86))</f>
        <v>Logistics indicators</v>
      </c>
      <c r="AH86" s="100">
        <f>IF($AC86="","",INDEX(tblIndiDefs!E$2:E$197,$AC86))</f>
        <v>0</v>
      </c>
      <c r="AI86" s="100" t="str">
        <f>IF($AC86="","",INDEX(tblIndiDefs!F$2:F$197,$AC86))</f>
        <v>Number of terminals serving the main consumer market.</v>
      </c>
      <c r="AJ86" s="54" t="str">
        <f>IF($AC86="","",INDEX(tblIndiDefs!G$2:G$197,$AC86))</f>
        <v>Competencia en terminales de contenedores</v>
      </c>
      <c r="AK86" s="54" t="str">
        <f>IF($AC86="","",INDEX(tblIndiDefs!H$2:H$197,$AC86))</f>
        <v># terminales</v>
      </c>
      <c r="AL86" s="54" t="str">
        <f>IF($AC86="","",INDEX(tblIndiDefs!I$2:I$197,$AC86))</f>
        <v>Transporte marítimo y fluvial</v>
      </c>
      <c r="AM86" s="54">
        <f>IF($AC86="","",INDEX(tblIndiDefs!J$2:J$197,$AC86))</f>
        <v>0</v>
      </c>
      <c r="AN86" s="54" t="str">
        <f>IF($AC86="","",INDEX(tblIndiDefs!K$2:K$197,$AC86))</f>
        <v>Número de terminales que sirven el principal mercado consumidor.</v>
      </c>
    </row>
    <row r="87" spans="1:40" s="100" customFormat="1" x14ac:dyDescent="0.2">
      <c r="A87" s="100">
        <v>86</v>
      </c>
      <c r="B87" s="100" t="s">
        <v>711</v>
      </c>
      <c r="C87" s="100" t="s">
        <v>380</v>
      </c>
      <c r="D87" s="100">
        <v>1</v>
      </c>
      <c r="E87" s="100">
        <v>1</v>
      </c>
      <c r="F87" s="100">
        <v>97</v>
      </c>
      <c r="G87" s="100">
        <v>0</v>
      </c>
      <c r="O87" s="101" t="str">
        <f>CHOOSE(uxbWorks!$B$7,AE87,AJ87)</f>
        <v>Gateway proximity to population center.</v>
      </c>
      <c r="P87" s="101" t="str">
        <f>CHOOSE(uxbWorks!$B$7,AF87,AK87)</f>
        <v>proximity scale</v>
      </c>
      <c r="Q87" s="101" t="str">
        <f>CHOOSE(uxbWorks!$B$7,AG87,AL87)</f>
        <v>Logistics indicators</v>
      </c>
      <c r="R87" s="101" t="str">
        <f>IF(CHOOSE(uxbWorks!$B$7,AI87,AN87)=0,"",CHOOSE(uxbWorks!$B$7,AI87,AN87))</f>
        <v>Proximity of the country's main production/consumption center to the main port. Proximity scale is: 1 for 0-24km, 2 for 25-59km, 3 for 60-124km, 4 for 125-249km, 5 for 250-499km, 6 for &gt; 600km.</v>
      </c>
      <c r="S87" s="101"/>
      <c r="T87" s="101"/>
      <c r="U87" s="101"/>
      <c r="W87" s="102" t="str">
        <f t="shared" si="7"/>
        <v xml:space="preserve">  Gateway proximity to population center.</v>
      </c>
      <c r="X87" s="102" t="str">
        <f t="shared" si="6"/>
        <v xml:space="preserve">Water transportation </v>
      </c>
      <c r="Y87" s="102" t="str">
        <f t="shared" si="8"/>
        <v>WATER TRANSPORTATION »</v>
      </c>
      <c r="AB87" s="100" t="s">
        <v>712</v>
      </c>
      <c r="AC87" s="101">
        <f>IF($D87=0,"",MATCH($F87,tblIndiDefs!$A$2:$A$89,0))</f>
        <v>85</v>
      </c>
      <c r="AE87" s="100" t="str">
        <f>IF($AC87="","",INDEX(tblIndiDefs!B$2:B$197,$AC87))</f>
        <v>Gateway proximity to population center.</v>
      </c>
      <c r="AF87" s="100" t="str">
        <f>IF($AC87="","",INDEX(tblIndiDefs!C$2:C$197,$AC87))</f>
        <v>proximity scale</v>
      </c>
      <c r="AG87" s="100" t="str">
        <f>IF($AC87="","",INDEX(tblIndiDefs!D$2:D$197,$AC87))</f>
        <v>Logistics indicators</v>
      </c>
      <c r="AH87" s="100">
        <f>IF($AC87="","",INDEX(tblIndiDefs!E$2:E$197,$AC87))</f>
        <v>0</v>
      </c>
      <c r="AI87" s="100" t="str">
        <f>IF($AC87="","",INDEX(tblIndiDefs!F$2:F$197,$AC87))</f>
        <v>Proximity of the country's main production/consumption center to the main port. Proximity scale is: 1 for 0-24km, 2 for 25-59km, 3 for 60-124km, 4 for 125-249km, 5 for 250-499km, 6 for &gt; 600km.</v>
      </c>
      <c r="AJ87" s="54" t="str">
        <f>IF($AC87="","",INDEX(tblIndiDefs!G$2:G$197,$AC87))</f>
        <v>Proximidad entre principal puerto internacional y principal mercado.</v>
      </c>
      <c r="AK87" s="54" t="str">
        <f>IF($AC87="","",INDEX(tblIndiDefs!H$2:H$197,$AC87))</f>
        <v>escala de proximidad</v>
      </c>
      <c r="AL87" s="54" t="str">
        <f>IF($AC87="","",INDEX(tblIndiDefs!I$2:I$197,$AC87))</f>
        <v>Transporte marítimo y fluvial</v>
      </c>
      <c r="AM87" s="54">
        <f>IF($AC87="","",INDEX(tblIndiDefs!J$2:J$197,$AC87))</f>
        <v>0</v>
      </c>
      <c r="AN87" s="54" t="str">
        <f>IF($AC87="","",INDEX(tblIndiDefs!K$2:K$197,$AC87))</f>
        <v>Proximidad del principal centro de producción / consumo del país al puerto principal. La escala de proximidad es: 1 para 0-24km, 2 para 25-59km, 3 para 60-124km, 4 para 125-249km, 5 para 250-499km, 6 para &gt; 600km.</v>
      </c>
    </row>
    <row r="88" spans="1:40" s="100" customFormat="1" x14ac:dyDescent="0.2">
      <c r="A88" s="100">
        <v>87</v>
      </c>
      <c r="B88" s="100" t="s">
        <v>713</v>
      </c>
      <c r="C88" s="100" t="s">
        <v>380</v>
      </c>
      <c r="D88" s="100">
        <v>1</v>
      </c>
      <c r="E88" s="100">
        <v>1</v>
      </c>
      <c r="F88" s="100">
        <v>98</v>
      </c>
      <c r="G88" s="100">
        <v>1</v>
      </c>
      <c r="O88" s="101" t="str">
        <f>CHOOSE(uxbWorks!$B$7,AE88,AJ88)</f>
        <v>Truck supply relative to port volume</v>
      </c>
      <c r="P88" s="101" t="str">
        <f>CHOOSE(uxbWorks!$B$7,AF88,AK88)</f>
        <v>teu/truck</v>
      </c>
      <c r="Q88" s="101" t="str">
        <f>CHOOSE(uxbWorks!$B$7,AG88,AL88)</f>
        <v>Logistics indicators</v>
      </c>
      <c r="R88" s="101" t="str">
        <f>IF(CHOOSE(uxbWorks!$B$7,AI88,AN88)=0,"",CHOOSE(uxbWorks!$B$7,AI88,AN88))</f>
        <v>Indicates availability of road transport. It is constructed with the number of mobilized containers by the port (including imports and exports) divided by the number of vehicles used for road freight.</v>
      </c>
      <c r="S88" s="101"/>
      <c r="T88" s="101"/>
      <c r="U88" s="101"/>
      <c r="W88" s="102" t="str">
        <f t="shared" si="7"/>
        <v xml:space="preserve">  Truck supply relative to port volume</v>
      </c>
      <c r="X88" s="102" t="str">
        <f t="shared" si="6"/>
        <v xml:space="preserve">Water transportation </v>
      </c>
      <c r="Y88" s="102" t="str">
        <f t="shared" si="8"/>
        <v>WATER TRANSPORTATION »</v>
      </c>
      <c r="AB88" s="100" t="s">
        <v>714</v>
      </c>
      <c r="AC88" s="101">
        <f>IF($D88=0,"",MATCH($F88,tblIndiDefs!$A$2:$A$89,0))</f>
        <v>86</v>
      </c>
      <c r="AE88" s="100" t="str">
        <f>IF($AC88="","",INDEX(tblIndiDefs!B$2:B$197,$AC88))</f>
        <v>Truck supply relative to port volume</v>
      </c>
      <c r="AF88" s="100" t="str">
        <f>IF($AC88="","",INDEX(tblIndiDefs!C$2:C$197,$AC88))</f>
        <v>teu/truck</v>
      </c>
      <c r="AG88" s="100" t="str">
        <f>IF($AC88="","",INDEX(tblIndiDefs!D$2:D$197,$AC88))</f>
        <v>Logistics indicators</v>
      </c>
      <c r="AH88" s="100">
        <f>IF($AC88="","",INDEX(tblIndiDefs!E$2:E$197,$AC88))</f>
        <v>0</v>
      </c>
      <c r="AI88" s="100" t="str">
        <f>IF($AC88="","",INDEX(tblIndiDefs!F$2:F$197,$AC88))</f>
        <v>Indicates availability of road transport. It is constructed with the number of mobilized containers by the port (including imports and exports) divided by the number of vehicles used for road freight.</v>
      </c>
      <c r="AJ88" s="54" t="str">
        <f>IF($AC88="","",INDEX(tblIndiDefs!G$2:G$197,$AC88))</f>
        <v>Disponibilidad transporte terrestre para carga marítima</v>
      </c>
      <c r="AK88" s="54" t="str">
        <f>IF($AC88="","",INDEX(tblIndiDefs!H$2:H$197,$AC88))</f>
        <v>teu/camión</v>
      </c>
      <c r="AL88" s="54" t="str">
        <f>IF($AC88="","",INDEX(tblIndiDefs!I$2:I$197,$AC88))</f>
        <v>Transporte marítimo y fluvial</v>
      </c>
      <c r="AM88" s="54">
        <f>IF($AC88="","",INDEX(tblIndiDefs!J$2:J$197,$AC88))</f>
        <v>0</v>
      </c>
      <c r="AN88" s="54" t="str">
        <f>IF($AC88="","",INDEX(tblIndiDefs!K$2:K$197,$AC88))</f>
        <v>Indica la disponibilidad del transporte por carretera. Se construye con el número de contenedores movilizados por el puerto (incluyendo importaciones y exportaciones) dividido por el número de vehículos utilizados para transporte de carga terrestre.</v>
      </c>
    </row>
    <row r="89" spans="1:40" s="12" customFormat="1" x14ac:dyDescent="0.2">
      <c r="A89" s="13">
        <v>88</v>
      </c>
      <c r="B89" s="13" t="s">
        <v>407</v>
      </c>
      <c r="C89" s="13"/>
      <c r="D89" s="13">
        <v>0</v>
      </c>
      <c r="E89" s="13">
        <v>0</v>
      </c>
      <c r="F89" s="13" t="s">
        <v>157</v>
      </c>
      <c r="G89" s="13" t="s">
        <v>157</v>
      </c>
      <c r="H89" s="13"/>
      <c r="I89" s="13"/>
      <c r="J89" s="13"/>
      <c r="K89" s="13"/>
      <c r="L89" s="13"/>
      <c r="M89" s="58"/>
      <c r="N89" s="13"/>
      <c r="O89" s="67" t="str">
        <f>CHOOSE(uxbWorks!$B$7,AE89,AJ89)</f>
        <v>Logistics activities</v>
      </c>
      <c r="P89" s="67" t="str">
        <f>CHOOSE(uxbWorks!$B$7,AF89,AK89)</f>
        <v/>
      </c>
      <c r="Q89" s="67" t="str">
        <f>CHOOSE(uxbWorks!$B$7,AG89,AL89)</f>
        <v/>
      </c>
      <c r="R89" s="67" t="str">
        <f>IF(CHOOSE(uxbWorks!$B$7,AI89,AN89)=0,"",CHOOSE(uxbWorks!$B$7,AI89,AN89))</f>
        <v/>
      </c>
      <c r="S89" s="13"/>
      <c r="T89" s="67"/>
      <c r="U89" s="67"/>
      <c r="W89" s="68" t="str">
        <f t="shared" si="7"/>
        <v>LOGISTICS ACTIVITIES</v>
      </c>
      <c r="X89" s="68" t="str">
        <f t="shared" si="6"/>
        <v/>
      </c>
      <c r="Y89" s="68" t="str">
        <f t="shared" si="8"/>
        <v/>
      </c>
      <c r="AA89" s="69"/>
      <c r="AB89" s="69" t="s">
        <v>408</v>
      </c>
      <c r="AC89" s="67" t="str">
        <f>IF($D89=0,"",MATCH($F89,tblIndiDefs!$A$2:$A$89,0))</f>
        <v/>
      </c>
      <c r="AE89" s="69" t="s">
        <v>408</v>
      </c>
      <c r="AF89" s="69" t="str">
        <f>IF($AC89="","",INDEX(tblIndiDefs!C$2:C$197,$AC89))</f>
        <v/>
      </c>
      <c r="AG89" s="69" t="str">
        <f>IF($AC89="","",INDEX(tblIndiDefs!D$2:D$197,$AC89))</f>
        <v/>
      </c>
      <c r="AH89" s="69" t="str">
        <f>IF($AC89="","",INDEX(tblIndiDefs!E$2:E$197,$AC89))</f>
        <v/>
      </c>
      <c r="AI89" s="69" t="str">
        <f>IF($AC89="","",INDEX(tblIndiDefs!F$2:F$197,$AC89))</f>
        <v/>
      </c>
      <c r="AJ89" s="69" t="s">
        <v>432</v>
      </c>
      <c r="AK89" s="54" t="str">
        <f>IF($AC89="","",INDEX(tblIndiDefs!H$2:H$197,$AC89))</f>
        <v/>
      </c>
      <c r="AL89" s="54" t="str">
        <f>IF($AC89="","",INDEX(tblIndiDefs!I$2:I$197,$AC89))</f>
        <v/>
      </c>
      <c r="AM89" s="54" t="str">
        <f>IF($AC89="","",INDEX(tblIndiDefs!J$2:J$197,$AC89))</f>
        <v/>
      </c>
      <c r="AN89" s="54" t="str">
        <f>IF($AC89="","",INDEX(tblIndiDefs!K$2:K$197,$AC89))</f>
        <v/>
      </c>
    </row>
    <row r="90" spans="1:40" x14ac:dyDescent="0.2">
      <c r="A90" s="49">
        <v>89</v>
      </c>
      <c r="B90" s="49" t="s">
        <v>409</v>
      </c>
      <c r="C90" s="49" t="s">
        <v>407</v>
      </c>
      <c r="D90" s="49">
        <v>1</v>
      </c>
      <c r="E90" s="49">
        <v>1</v>
      </c>
      <c r="F90" s="49">
        <v>88</v>
      </c>
      <c r="G90" s="49">
        <v>0</v>
      </c>
      <c r="N90" s="49">
        <v>0</v>
      </c>
      <c r="O90" s="55" t="str">
        <f>CHOOSE(uxbWorks!$B$7,AE90,AJ90)</f>
        <v>Logistics centers' surface</v>
      </c>
      <c r="P90" s="55" t="str">
        <f>CHOOSE(uxbWorks!$B$7,AF90,AK90)</f>
        <v>sq m</v>
      </c>
      <c r="Q90" s="55" t="str">
        <f>CHOOSE(uxbWorks!$B$7,AG90,AL90)</f>
        <v>Logistics indicators</v>
      </c>
      <c r="R90" s="55" t="str">
        <f>IF(CHOOSE(uxbWorks!$B$7,AI90,AN90)=0,"",CHOOSE(uxbWorks!$B$7,AI90,AN90))</f>
        <v>Total surface area for infrastructure logistics activities.</v>
      </c>
      <c r="S90" s="49">
        <v>0</v>
      </c>
      <c r="W90" s="56" t="str">
        <f t="shared" si="7"/>
        <v xml:space="preserve">  Logistics centers' surface</v>
      </c>
      <c r="X90" s="56" t="str">
        <f t="shared" si="6"/>
        <v>Logistics activities</v>
      </c>
      <c r="Y90" s="56" t="str">
        <f t="shared" si="8"/>
        <v>LOGISTICS ACTIVITIES »</v>
      </c>
      <c r="AA90" s="54"/>
      <c r="AB90" s="54" t="s">
        <v>410</v>
      </c>
      <c r="AC90" s="55">
        <f>IF($D90=0,"",MATCH($F90,tblIndiDefs!$A$2:$A$89,0))</f>
        <v>79</v>
      </c>
      <c r="AE90" s="54" t="str">
        <f>IF($AC90="","",INDEX(tblIndiDefs!B$2:B$197,$AC90))</f>
        <v>Logistics centers' surface</v>
      </c>
      <c r="AF90" s="54" t="str">
        <f>IF($AC90="","",INDEX(tblIndiDefs!C$2:C$197,$AC90))</f>
        <v>sq m</v>
      </c>
      <c r="AG90" s="54" t="str">
        <f>IF($AC90="","",INDEX(tblIndiDefs!D$2:D$197,$AC90))</f>
        <v>Logistics indicators</v>
      </c>
      <c r="AH90" s="54">
        <f>IF($AC90="","",INDEX(tblIndiDefs!E$2:E$197,$AC90))</f>
        <v>0</v>
      </c>
      <c r="AI90" s="54" t="str">
        <f>IF($AC90="","",INDEX(tblIndiDefs!F$2:F$197,$AC90))</f>
        <v>Total surface area for infrastructure logistics activities.</v>
      </c>
      <c r="AJ90" s="54" t="str">
        <f>IF($AC90="","",INDEX(tblIndiDefs!G$2:G$197,$AC90))</f>
        <v>Superfície de centros logísticos</v>
      </c>
      <c r="AK90" s="54" t="str">
        <f>IF($AC90="","",INDEX(tblIndiDefs!H$2:H$197,$AC90))</f>
        <v>m2</v>
      </c>
      <c r="AL90" s="54" t="str">
        <f>IF($AC90="","",INDEX(tblIndiDefs!I$2:I$197,$AC90))</f>
        <v>Indicadores logísticos</v>
      </c>
      <c r="AM90" s="54">
        <f>IF($AC90="","",INDEX(tblIndiDefs!J$2:J$197,$AC90))</f>
        <v>0</v>
      </c>
      <c r="AN90" s="54" t="str">
        <f>IF($AC90="","",INDEX(tblIndiDefs!K$2:K$197,$AC90))</f>
        <v>Superficie total destinada a infraestructuras con actividades logísticas.</v>
      </c>
    </row>
    <row r="91" spans="1:40" x14ac:dyDescent="0.2">
      <c r="A91" s="49">
        <v>90</v>
      </c>
      <c r="B91" s="49" t="s">
        <v>411</v>
      </c>
      <c r="C91" s="49" t="s">
        <v>407</v>
      </c>
      <c r="D91" s="49">
        <v>1</v>
      </c>
      <c r="E91" s="49">
        <v>1</v>
      </c>
      <c r="F91" s="49">
        <v>89</v>
      </c>
      <c r="G91" s="49">
        <v>0</v>
      </c>
      <c r="N91" s="49">
        <v>0</v>
      </c>
      <c r="O91" s="55" t="str">
        <f>CHOOSE(uxbWorks!$B$7,AE91,AJ91)</f>
        <v>Cold facilities total surface</v>
      </c>
      <c r="P91" s="55" t="str">
        <f>CHOOSE(uxbWorks!$B$7,AF91,AK91)</f>
        <v>sq m</v>
      </c>
      <c r="Q91" s="55" t="str">
        <f>CHOOSE(uxbWorks!$B$7,AG91,AL91)</f>
        <v>Logistics indicators</v>
      </c>
      <c r="R91" s="55" t="str">
        <f>IF(CHOOSE(uxbWorks!$B$7,AI91,AN91)=0,"",CHOOSE(uxbWorks!$B$7,AI91,AN91))</f>
        <v>Area occupied by cold storage facilities</v>
      </c>
      <c r="S91" s="49">
        <v>0</v>
      </c>
      <c r="W91" s="56" t="str">
        <f t="shared" si="7"/>
        <v xml:space="preserve">  Cold facilities total surface</v>
      </c>
      <c r="X91" s="56" t="str">
        <f t="shared" si="6"/>
        <v>Logistics activities</v>
      </c>
      <c r="Y91" s="56" t="str">
        <f t="shared" si="8"/>
        <v>LOGISTICS ACTIVITIES »</v>
      </c>
      <c r="AA91" s="54"/>
      <c r="AB91" s="54" t="s">
        <v>756</v>
      </c>
      <c r="AC91" s="55">
        <f>IF($D91=0,"",MATCH($F91,tblIndiDefs!$A$2:$A$89,0))</f>
        <v>80</v>
      </c>
      <c r="AE91" s="54" t="str">
        <f>IF($AC91="","",INDEX(tblIndiDefs!B$2:B$197,$AC91))</f>
        <v>Cold facilities total surface</v>
      </c>
      <c r="AF91" s="54" t="str">
        <f>IF($AC91="","",INDEX(tblIndiDefs!C$2:C$197,$AC91))</f>
        <v>sq m</v>
      </c>
      <c r="AG91" s="54" t="str">
        <f>IF($AC91="","",INDEX(tblIndiDefs!D$2:D$197,$AC91))</f>
        <v>Logistics indicators</v>
      </c>
      <c r="AH91" s="54">
        <f>IF($AC91="","",INDEX(tblIndiDefs!E$2:E$197,$AC91))</f>
        <v>0</v>
      </c>
      <c r="AI91" s="54" t="str">
        <f>IF($AC91="","",INDEX(tblIndiDefs!F$2:F$197,$AC91))</f>
        <v>Area occupied by cold storage facilities</v>
      </c>
      <c r="AJ91" s="54" t="str">
        <f>IF($AC91="","",INDEX(tblIndiDefs!G$2:G$197,$AC91))</f>
        <v>Superficie total instalaciones de frío</v>
      </c>
      <c r="AK91" s="54" t="str">
        <f>IF($AC91="","",INDEX(tblIndiDefs!H$2:H$197,$AC91))</f>
        <v>m2</v>
      </c>
      <c r="AL91" s="54" t="str">
        <f>IF($AC91="","",INDEX(tblIndiDefs!I$2:I$197,$AC91))</f>
        <v>Indicadores logísticos</v>
      </c>
      <c r="AM91" s="54">
        <f>IF($AC91="","",INDEX(tblIndiDefs!J$2:J$197,$AC91))</f>
        <v>0</v>
      </c>
      <c r="AN91" s="54" t="str">
        <f>IF($AC91="","",INDEX(tblIndiDefs!K$2:K$197,$AC91))</f>
        <v>Superficie ocupada por instalaciones para almacenaje en frío</v>
      </c>
    </row>
    <row r="92" spans="1:40" x14ac:dyDescent="0.2">
      <c r="A92" s="49">
        <v>91</v>
      </c>
      <c r="B92" s="49" t="s">
        <v>412</v>
      </c>
      <c r="C92" s="49" t="s">
        <v>407</v>
      </c>
      <c r="D92" s="49">
        <v>1</v>
      </c>
      <c r="E92" s="49">
        <v>1</v>
      </c>
      <c r="F92" s="49">
        <v>93</v>
      </c>
      <c r="G92" s="49">
        <v>0</v>
      </c>
      <c r="N92" s="97">
        <v>1</v>
      </c>
      <c r="O92" s="55" t="str">
        <f>CHOOSE(uxbWorks!$B$7,AE92,AJ92)</f>
        <v>Position in LPI ranking</v>
      </c>
      <c r="P92" s="55" t="str">
        <f>CHOOSE(uxbWorks!$B$7,AF92,AK92)</f>
        <v>#</v>
      </c>
      <c r="Q92" s="55" t="str">
        <f>CHOOSE(uxbWorks!$B$7,AG92,AL92)</f>
        <v>Logistics indicators</v>
      </c>
      <c r="R92" s="55" t="str">
        <f>IF(CHOOSE(uxbWorks!$B$7,AI92,AN92)=0,"",CHOOSE(uxbWorks!$B$7,AI92,AN92))</f>
        <v>Rank occupied in the Logistics Performance Index, which measures based on 7 main areas of national logistics performance analysis</v>
      </c>
      <c r="S92" s="106">
        <v>1</v>
      </c>
      <c r="W92" s="56" t="str">
        <f t="shared" si="7"/>
        <v xml:space="preserve">  Position in LPI ranking</v>
      </c>
      <c r="X92" s="56" t="str">
        <f t="shared" si="6"/>
        <v>Logistics activities</v>
      </c>
      <c r="Y92" s="56" t="str">
        <f t="shared" si="8"/>
        <v>LOGISTICS ACTIVITIES »</v>
      </c>
      <c r="AA92" s="54"/>
      <c r="AB92" s="54" t="s">
        <v>757</v>
      </c>
      <c r="AC92" s="55">
        <f>IF($D92=0,"",MATCH($F92,tblIndiDefs!$A$2:$A$89,0))</f>
        <v>81</v>
      </c>
      <c r="AE92" s="54" t="str">
        <f>IF($AC92="","",INDEX(tblIndiDefs!B$2:B$197,$AC92))</f>
        <v>Position in LPI ranking</v>
      </c>
      <c r="AF92" s="54" t="str">
        <f>IF($AC92="","",INDEX(tblIndiDefs!C$2:C$197,$AC92))</f>
        <v>#</v>
      </c>
      <c r="AG92" s="54" t="str">
        <f>IF($AC92="","",INDEX(tblIndiDefs!D$2:D$197,$AC92))</f>
        <v>Logistics indicators</v>
      </c>
      <c r="AH92" s="54">
        <f>IF($AC92="","",INDEX(tblIndiDefs!E$2:E$197,$AC92))</f>
        <v>0</v>
      </c>
      <c r="AI92" s="54" t="str">
        <f>IF($AC92="","",INDEX(tblIndiDefs!F$2:F$197,$AC92))</f>
        <v>Rank occupied in the Logistics Performance Index, which measures based on 7 main areas of national logistics performance analysis</v>
      </c>
      <c r="AJ92" s="54" t="str">
        <f>IF($AC92="","",INDEX(tblIndiDefs!G$2:G$197,$AC92))</f>
        <v>Ranking Logistics Performance Index</v>
      </c>
      <c r="AK92" s="54" t="str">
        <f>IF($AC92="","",INDEX(tblIndiDefs!H$2:H$197,$AC92))</f>
        <v>#</v>
      </c>
      <c r="AL92" s="54" t="str">
        <f>IF($AC92="","",INDEX(tblIndiDefs!I$2:I$197,$AC92))</f>
        <v>Indicadores logísticos</v>
      </c>
      <c r="AM92" s="54">
        <f>IF($AC92="","",INDEX(tblIndiDefs!J$2:J$197,$AC92))</f>
        <v>0</v>
      </c>
      <c r="AN92" s="54" t="str">
        <f>IF($AC92="","",INDEX(tblIndiDefs!K$2:K$197,$AC92))</f>
        <v>Posición ocupada en el Indice de Desempeño Logístico, el cual mide el desempeño logístico nacional basado en 7 ejes principales de análisis</v>
      </c>
    </row>
    <row r="93" spans="1:40" x14ac:dyDescent="0.2">
      <c r="A93" s="49">
        <v>92</v>
      </c>
      <c r="B93" s="49" t="s">
        <v>550</v>
      </c>
      <c r="C93" s="49" t="s">
        <v>407</v>
      </c>
      <c r="D93" s="49">
        <v>1</v>
      </c>
      <c r="E93" s="49">
        <v>1</v>
      </c>
      <c r="F93" s="49">
        <v>94</v>
      </c>
      <c r="G93" s="49">
        <v>2</v>
      </c>
      <c r="N93" s="49">
        <v>0</v>
      </c>
      <c r="O93" s="55" t="str">
        <f>CHOOSE(uxbWorks!$B$7,AE93,AJ93)</f>
        <v>Logistics performance index (LPI) overall score</v>
      </c>
      <c r="P93" s="55" t="str">
        <f>CHOOSE(uxbWorks!$B$7,AF93,AK93)</f>
        <v>#</v>
      </c>
      <c r="Q93" s="55" t="str">
        <f>CHOOSE(uxbWorks!$B$7,AG93,AL93)</f>
        <v>Logistics indicators</v>
      </c>
      <c r="R93" s="55" t="str">
        <f>IF(CHOOSE(uxbWorks!$B$7,AI93,AN93)=0,"",CHOOSE(uxbWorks!$B$7,AI93,AN93))</f>
        <v>Reflects the logistics perceptions based on customs clearance process, trade- and transport-related infrastructure, logistics services, the organization, track and trace, and frequency of shipments.</v>
      </c>
      <c r="S93" s="49">
        <v>0</v>
      </c>
      <c r="W93" s="56" t="str">
        <f t="shared" si="7"/>
        <v xml:space="preserve">  Logistics performance index (LPI) overall score</v>
      </c>
      <c r="X93" s="56" t="str">
        <f t="shared" si="6"/>
        <v>Logistics activities</v>
      </c>
      <c r="Y93" s="56" t="str">
        <f t="shared" si="8"/>
        <v>LOGISTICS ACTIVITIES »</v>
      </c>
      <c r="AA93" s="95"/>
      <c r="AB93" s="95" t="s">
        <v>553</v>
      </c>
      <c r="AC93" s="55">
        <f>IF($D93=0,"",MATCH($F93,tblIndiDefs!$A$2:$A$89,0))</f>
        <v>82</v>
      </c>
      <c r="AE93" s="95" t="str">
        <f>IF($AC93="","",INDEX(tblIndiDefs!B$2:B$197,$AC93))</f>
        <v>Logistics performance index (LPI) overall score</v>
      </c>
      <c r="AF93" s="95" t="str">
        <f>IF($AC93="","",INDEX(tblIndiDefs!C$2:C$197,$AC93))</f>
        <v>#</v>
      </c>
      <c r="AG93" s="95" t="str">
        <f>IF($AC93="","",INDEX(tblIndiDefs!D$2:D$197,$AC93))</f>
        <v>Logistics indicators</v>
      </c>
      <c r="AH93" s="95">
        <f>IF($AC93="","",INDEX(tblIndiDefs!E$2:E$197,$AC93))</f>
        <v>0</v>
      </c>
      <c r="AI93" s="95" t="str">
        <f>IF($AC93="","",INDEX(tblIndiDefs!F$2:F$197,$AC93))</f>
        <v>Reflects the logistics perceptions based on customs clearance process, trade- and transport-related infrastructure, logistics services, the organization, track and trace, and frequency of shipments.</v>
      </c>
      <c r="AJ93" s="54" t="str">
        <f>IF($AC93="","",INDEX(tblIndiDefs!G$2:G$197,$AC93))</f>
        <v>Indice de desempeño logístico (LPI) puntaje general</v>
      </c>
      <c r="AK93" s="54" t="str">
        <f>IF($AC93="","",INDEX(tblIndiDefs!H$2:H$197,$AC93))</f>
        <v>#</v>
      </c>
      <c r="AL93" s="54" t="str">
        <f>IF($AC93="","",INDEX(tblIndiDefs!I$2:I$197,$AC93))</f>
        <v>Indicadores logísticos</v>
      </c>
      <c r="AM93" s="54">
        <f>IF($AC93="","",INDEX(tblIndiDefs!J$2:J$197,$AC93))</f>
        <v>0</v>
      </c>
      <c r="AN93" s="54" t="str">
        <f>IF($AC93="","",INDEX(tblIndiDefs!K$2:K$197,$AC93))</f>
        <v>Refleja las percepciones de logística basadas en el proceso de despacho aduanero, el comercio y la infraestructura de transporte, los servicios logísticos, la organización, el seguimiento y rastreo, y la frecuencia de los envíos.</v>
      </c>
    </row>
    <row r="94" spans="1:40" x14ac:dyDescent="0.2">
      <c r="A94" s="49">
        <v>93</v>
      </c>
      <c r="B94" s="49" t="s">
        <v>551</v>
      </c>
      <c r="C94" s="49" t="s">
        <v>407</v>
      </c>
      <c r="D94" s="49">
        <v>1</v>
      </c>
      <c r="E94" s="49">
        <v>1</v>
      </c>
      <c r="F94" s="49">
        <v>99</v>
      </c>
      <c r="G94" s="49">
        <v>2</v>
      </c>
      <c r="N94" s="49">
        <v>0</v>
      </c>
      <c r="O94" s="55" t="str">
        <f>CHOOSE(uxbWorks!$B$7,AE94,AJ94)</f>
        <v>LPI infrastructure index</v>
      </c>
      <c r="P94" s="55" t="str">
        <f>CHOOSE(uxbWorks!$B$7,AF94,AK94)</f>
        <v>#</v>
      </c>
      <c r="Q94" s="55" t="str">
        <f>CHOOSE(uxbWorks!$B$7,AG94,AL94)</f>
        <v>Logistics indicators</v>
      </c>
      <c r="R94" s="55" t="str">
        <f>IF(CHOOSE(uxbWorks!$B$7,AI94,AN94)=0,"",CHOOSE(uxbWorks!$B$7,AI94,AN94))</f>
        <v>Performance Infrastructure Index reflects perception of a country's logistics based on the quality of trade and transport related infrastructure.</v>
      </c>
      <c r="S94" s="49">
        <v>0</v>
      </c>
      <c r="W94" s="56" t="str">
        <f t="shared" si="7"/>
        <v xml:space="preserve">  LPI infrastructure index</v>
      </c>
      <c r="X94" s="56" t="str">
        <f t="shared" si="6"/>
        <v>Logistics activities</v>
      </c>
      <c r="Y94" s="56" t="str">
        <f t="shared" si="8"/>
        <v>LOGISTICS ACTIVITIES »</v>
      </c>
      <c r="AA94" s="95"/>
      <c r="AB94" s="95" t="s">
        <v>554</v>
      </c>
      <c r="AC94" s="55">
        <f>IF($D94=0,"",MATCH($F94,tblIndiDefs!$A$2:$A$89,0))</f>
        <v>87</v>
      </c>
      <c r="AE94" s="95" t="str">
        <f>IF($AC94="","",INDEX(tblIndiDefs!B$2:B$197,$AC94))</f>
        <v>LPI infrastructure index</v>
      </c>
      <c r="AF94" s="95" t="str">
        <f>IF($AC94="","",INDEX(tblIndiDefs!C$2:C$197,$AC94))</f>
        <v>#</v>
      </c>
      <c r="AG94" s="95" t="str">
        <f>IF($AC94="","",INDEX(tblIndiDefs!D$2:D$197,$AC94))</f>
        <v>Logistics indicators</v>
      </c>
      <c r="AH94" s="95">
        <f>IF($AC94="","",INDEX(tblIndiDefs!E$2:E$197,$AC94))</f>
        <v>0</v>
      </c>
      <c r="AI94" s="95" t="str">
        <f>IF($AC94="","",INDEX(tblIndiDefs!F$2:F$197,$AC94))</f>
        <v>Performance Infrastructure Index reflects perception of a country's logistics based on the quality of trade and transport related infrastructure.</v>
      </c>
      <c r="AJ94" s="54" t="str">
        <f>IF($AC94="","",INDEX(tblIndiDefs!G$2:G$197,$AC94))</f>
        <v>LPI infraestructura</v>
      </c>
      <c r="AK94" s="54" t="str">
        <f>IF($AC94="","",INDEX(tblIndiDefs!H$2:H$197,$AC94))</f>
        <v>#</v>
      </c>
      <c r="AL94" s="54" t="str">
        <f>IF($AC94="","",INDEX(tblIndiDefs!I$2:I$197,$AC94))</f>
        <v>Indicadores logísticos</v>
      </c>
      <c r="AM94" s="54">
        <f>IF($AC94="","",INDEX(tblIndiDefs!J$2:J$197,$AC94))</f>
        <v>0</v>
      </c>
      <c r="AN94" s="54" t="str">
        <f>IF($AC94="","",INDEX(tblIndiDefs!K$2:K$197,$AC94))</f>
        <v>El Índice de Desempeño de Infraestructura refleja la percepción de la logística de un país sobre la base de la calidad del comercio y la infraestructura de transporte relacionado.</v>
      </c>
    </row>
    <row r="95" spans="1:40" x14ac:dyDescent="0.2">
      <c r="A95" s="49">
        <v>94</v>
      </c>
      <c r="B95" s="49" t="s">
        <v>552</v>
      </c>
      <c r="C95" s="49" t="s">
        <v>407</v>
      </c>
      <c r="D95" s="49">
        <v>1</v>
      </c>
      <c r="E95" s="49">
        <v>1</v>
      </c>
      <c r="F95" s="49">
        <v>100</v>
      </c>
      <c r="G95" s="49">
        <v>2</v>
      </c>
      <c r="N95" s="49">
        <v>0</v>
      </c>
      <c r="O95" s="55" t="str">
        <f>CHOOSE(uxbWorks!$B$7,AE95,AJ95)</f>
        <v>LPI competence (services) index</v>
      </c>
      <c r="P95" s="55" t="str">
        <f>CHOOSE(uxbWorks!$B$7,AF95,AK95)</f>
        <v>#</v>
      </c>
      <c r="Q95" s="55" t="str">
        <f>CHOOSE(uxbWorks!$B$7,AG95,AL95)</f>
        <v>Logistics indicators</v>
      </c>
      <c r="R95" s="55" t="str">
        <f>IF(CHOOSE(uxbWorks!$B$7,AI95,AN95)=0,"",CHOOSE(uxbWorks!$B$7,AI95,AN95))</f>
        <v>Performance Competence (Services) Index reflects perception of a country's logistics based on the competence and quality of logistics services (e.g., transport operators, customs brokers).</v>
      </c>
      <c r="S95" s="49">
        <v>0</v>
      </c>
      <c r="W95" s="56" t="str">
        <f t="shared" si="7"/>
        <v xml:space="preserve">  LPI competence (services) index</v>
      </c>
      <c r="X95" s="56" t="str">
        <f t="shared" si="6"/>
        <v>Logistics activities</v>
      </c>
      <c r="Y95" s="56" t="str">
        <f t="shared" si="8"/>
        <v>LOGISTICS ACTIVITIES »</v>
      </c>
      <c r="AA95" s="95"/>
      <c r="AB95" s="95" t="s">
        <v>555</v>
      </c>
      <c r="AC95" s="55">
        <f>IF($D95=0,"",MATCH($F95,tblIndiDefs!$A$2:$A$89,0))</f>
        <v>88</v>
      </c>
      <c r="AE95" s="95" t="str">
        <f>IF($AC95="","",INDEX(tblIndiDefs!B$2:B$197,$AC95))</f>
        <v>LPI competence (services) index</v>
      </c>
      <c r="AF95" s="95" t="str">
        <f>IF($AC95="","",INDEX(tblIndiDefs!C$2:C$197,$AC95))</f>
        <v>#</v>
      </c>
      <c r="AG95" s="95" t="str">
        <f>IF($AC95="","",INDEX(tblIndiDefs!D$2:D$197,$AC95))</f>
        <v>Logistics indicators</v>
      </c>
      <c r="AH95" s="95">
        <f>IF($AC95="","",INDEX(tblIndiDefs!E$2:E$197,$AC95))</f>
        <v>0</v>
      </c>
      <c r="AI95" s="95" t="str">
        <f>IF($AC95="","",INDEX(tblIndiDefs!F$2:F$197,$AC95))</f>
        <v>Performance Competence (Services) Index reflects perception of a country's logistics based on the competence and quality of logistics services (e.g., transport operators, customs brokers).</v>
      </c>
      <c r="AJ95" s="54" t="str">
        <f>IF($AC95="","",INDEX(tblIndiDefs!G$2:G$197,$AC95))</f>
        <v>LPI competencia (servicios)</v>
      </c>
      <c r="AK95" s="54" t="str">
        <f>IF($AC95="","",INDEX(tblIndiDefs!H$2:H$197,$AC95))</f>
        <v>#</v>
      </c>
      <c r="AL95" s="54" t="str">
        <f>IF($AC95="","",INDEX(tblIndiDefs!I$2:I$197,$AC95))</f>
        <v>Indicadores logísticos</v>
      </c>
      <c r="AM95" s="54">
        <f>IF($AC95="","",INDEX(tblIndiDefs!J$2:J$197,$AC95))</f>
        <v>0</v>
      </c>
      <c r="AN95" s="54" t="str">
        <f>IF($AC95="","",INDEX(tblIndiDefs!K$2:K$197,$AC95))</f>
        <v>El Índice de Desempeño de Competencia (Servicios) refleja la percepción de la logística de un país sobre la base de la competencia y la calidad de los servicios de logística (por ejemplo, operadores de transporte, agentes aduaneros).</v>
      </c>
    </row>
    <row r="96" spans="1:40" s="62" customFormat="1" x14ac:dyDescent="0.2">
      <c r="A96" s="62">
        <v>95</v>
      </c>
      <c r="B96" s="62" t="s">
        <v>283</v>
      </c>
      <c r="D96" s="62">
        <v>0</v>
      </c>
      <c r="E96" s="62">
        <v>0</v>
      </c>
      <c r="O96" s="63" t="str">
        <f>CHOOSE(uxbWorks!$B$7,AE96,AJ96)</f>
        <v>CALCULATED INDICATORS</v>
      </c>
      <c r="P96" s="63" t="str">
        <f>CHOOSE(uxbWorks!$B$7,AF96,AK96)</f>
        <v/>
      </c>
      <c r="Q96" s="63" t="str">
        <f>CHOOSE(uxbWorks!$B$7,AG96,AL96)</f>
        <v/>
      </c>
      <c r="R96" s="63" t="str">
        <f>IF(CHOOSE(uxbWorks!$B$7,AI96,AN96)=0,"",CHOOSE(uxbWorks!$B$7,AI96,AN96))</f>
        <v/>
      </c>
      <c r="S96" s="63"/>
      <c r="T96" s="63"/>
      <c r="U96" s="63"/>
      <c r="W96" s="64" t="str">
        <f t="shared" si="7"/>
        <v>CALCULATED INDICATORS</v>
      </c>
      <c r="X96" s="64" t="str">
        <f t="shared" si="6"/>
        <v/>
      </c>
      <c r="Y96" s="64" t="str">
        <f t="shared" si="8"/>
        <v/>
      </c>
      <c r="AB96" s="62" t="s">
        <v>30</v>
      </c>
      <c r="AC96" s="63" t="str">
        <f>IF($D96=0,"",MATCH($F96,tblIndiDefs!$A$2:$A$89,0))</f>
        <v/>
      </c>
      <c r="AE96" s="62" t="s">
        <v>30</v>
      </c>
      <c r="AF96" s="62" t="str">
        <f>IF($AC96="","",INDEX(tblIndiDefs!C$2:C$197,$AC96))</f>
        <v/>
      </c>
      <c r="AG96" s="62" t="str">
        <f>IF($AC96="","",INDEX(tblIndiDefs!D$2:D$197,$AC96))</f>
        <v/>
      </c>
      <c r="AH96" s="62" t="str">
        <f>IF($AC96="","",INDEX(tblIndiDefs!E$2:E$197,$AC96))</f>
        <v/>
      </c>
      <c r="AI96" s="62" t="str">
        <f>IF($AC96="","",INDEX(tblIndiDefs!F$2:F$197,$AC96))</f>
        <v/>
      </c>
      <c r="AJ96" s="114" t="s">
        <v>29</v>
      </c>
      <c r="AK96" s="62" t="str">
        <f>IF($AC96="","",INDEX(tblIndiDefs!H$2:H$197,$AC96))</f>
        <v/>
      </c>
      <c r="AL96" s="62" t="str">
        <f>IF($AC96="","",INDEX(tblIndiDefs!I$2:I$197,$AC96))</f>
        <v/>
      </c>
      <c r="AM96" s="62" t="str">
        <f>IF($AC96="","",INDEX(tblIndiDefs!J$2:J$197,$AC96))</f>
        <v/>
      </c>
      <c r="AN96" s="62" t="str">
        <f>IF($AC96="","",INDEX(tblIndiDefs!K$2:K$197,$AC96))</f>
        <v/>
      </c>
    </row>
    <row r="97" spans="1:40" x14ac:dyDescent="0.2">
      <c r="A97" s="49">
        <v>96</v>
      </c>
      <c r="B97" s="49" t="s">
        <v>284</v>
      </c>
      <c r="C97" s="49" t="s">
        <v>283</v>
      </c>
      <c r="D97" s="49">
        <v>1</v>
      </c>
      <c r="E97" s="49">
        <v>1</v>
      </c>
      <c r="F97" s="49" t="s">
        <v>225</v>
      </c>
      <c r="G97" s="1">
        <v>0</v>
      </c>
      <c r="H97" s="49" t="s">
        <v>45</v>
      </c>
      <c r="I97" s="49">
        <v>1000</v>
      </c>
      <c r="L97" s="49" t="s">
        <v>42</v>
      </c>
      <c r="O97" s="55" t="str">
        <f>CHOOSE(uxbWorks!$B$7,AE97,AJ97)</f>
        <v>GDP / capita</v>
      </c>
      <c r="P97" s="55" t="str">
        <f>CHOOSE(uxbWorks!$B$7,AF97,AK97)</f>
        <v>US$/capita</v>
      </c>
      <c r="Q97" s="55" t="str">
        <f>CHOOSE(uxbWorks!$B$7,AG97,AL97)</f>
        <v>CALCULATED</v>
      </c>
      <c r="R97" s="55" t="str">
        <f>IF(CHOOSE(uxbWorks!$B$7,AI97,AN97)=0,"",CHOOSE(uxbWorks!$B$7,AI97,AN97))</f>
        <v/>
      </c>
      <c r="W97" s="56" t="str">
        <f t="shared" si="7"/>
        <v xml:space="preserve">  GDP / capita</v>
      </c>
      <c r="X97" s="56" t="str">
        <f t="shared" si="6"/>
        <v>CALCULATED INDICATORS</v>
      </c>
      <c r="Y97" s="56" t="str">
        <f t="shared" si="8"/>
        <v>CALCULATED INDICATORS »</v>
      </c>
      <c r="AA97" s="55"/>
      <c r="AB97" s="55" t="s">
        <v>296</v>
      </c>
      <c r="AC97" s="55" t="e">
        <f>IF($D97=0,"",MATCH($F97,tblIndiDefs!$A$2:$A$89,0))</f>
        <v>#N/A</v>
      </c>
      <c r="AE97" s="110" t="s">
        <v>296</v>
      </c>
      <c r="AF97" s="110" t="s">
        <v>297</v>
      </c>
      <c r="AG97" s="110" t="s">
        <v>91</v>
      </c>
      <c r="AH97" s="110"/>
      <c r="AI97" s="110"/>
      <c r="AJ97" s="110" t="s">
        <v>298</v>
      </c>
      <c r="AK97" s="110" t="s">
        <v>110</v>
      </c>
      <c r="AL97" s="110" t="s">
        <v>92</v>
      </c>
      <c r="AM97" s="110"/>
      <c r="AN97" s="110"/>
    </row>
    <row r="98" spans="1:40" x14ac:dyDescent="0.2">
      <c r="A98" s="49">
        <v>97</v>
      </c>
      <c r="B98" s="49" t="s">
        <v>287</v>
      </c>
      <c r="C98" s="49" t="s">
        <v>283</v>
      </c>
      <c r="D98" s="49">
        <v>1</v>
      </c>
      <c r="E98" s="49">
        <v>1</v>
      </c>
      <c r="F98" s="49" t="s">
        <v>225</v>
      </c>
      <c r="G98" s="1">
        <v>1</v>
      </c>
      <c r="H98" s="49" t="s">
        <v>50</v>
      </c>
      <c r="I98" s="49">
        <v>100</v>
      </c>
      <c r="J98" s="49" t="s">
        <v>54</v>
      </c>
      <c r="K98" s="49">
        <v>-100</v>
      </c>
      <c r="L98" s="49" t="s">
        <v>45</v>
      </c>
      <c r="O98" s="55" t="str">
        <f>CHOOSE(uxbWorks!$B$7,AE98,AJ98)</f>
        <v>Trade balance / GDP</v>
      </c>
      <c r="P98" s="55" t="str">
        <f>CHOOSE(uxbWorks!$B$7,AF98,AK98)</f>
        <v>% of GDP</v>
      </c>
      <c r="Q98" s="55" t="str">
        <f>CHOOSE(uxbWorks!$B$7,AG98,AL98)</f>
        <v>CALCULATED</v>
      </c>
      <c r="R98" s="55" t="str">
        <f>IF(CHOOSE(uxbWorks!$B$7,AI98,AN98)=0,"",CHOOSE(uxbWorks!$B$7,AI98,AN98))</f>
        <v/>
      </c>
      <c r="W98" s="56" t="str">
        <f t="shared" si="7"/>
        <v xml:space="preserve">  Trade balance / GDP</v>
      </c>
      <c r="X98" s="56" t="str">
        <f t="shared" ref="X98:X107" si="9">IF($D98=0,"",INDEX($O$2:$O$149,MATCH($C98,$B$2:$B$149,0)))</f>
        <v>CALCULATED INDICATORS</v>
      </c>
      <c r="Y98" s="56" t="str">
        <f t="shared" si="8"/>
        <v>CALCULATED INDICATORS »</v>
      </c>
      <c r="AB98" s="49" t="s">
        <v>299</v>
      </c>
      <c r="AC98" s="55" t="e">
        <f>IF($D98=0,"",MATCH($F98,tblIndiDefs!$A$2:$A$89,0))</f>
        <v>#N/A</v>
      </c>
      <c r="AE98" s="112" t="s">
        <v>299</v>
      </c>
      <c r="AF98" s="112" t="s">
        <v>300</v>
      </c>
      <c r="AG98" s="112" t="s">
        <v>91</v>
      </c>
      <c r="AH98" s="112"/>
      <c r="AI98" s="112"/>
      <c r="AJ98" s="112" t="s">
        <v>301</v>
      </c>
      <c r="AK98" s="112" t="s">
        <v>111</v>
      </c>
      <c r="AL98" s="112" t="s">
        <v>92</v>
      </c>
      <c r="AM98" s="112"/>
      <c r="AN98" s="112"/>
    </row>
    <row r="99" spans="1:40" x14ac:dyDescent="0.2">
      <c r="A99" s="49">
        <v>98</v>
      </c>
      <c r="B99" s="49" t="s">
        <v>288</v>
      </c>
      <c r="C99" s="49" t="s">
        <v>283</v>
      </c>
      <c r="D99" s="49">
        <v>1</v>
      </c>
      <c r="E99" s="49">
        <v>1</v>
      </c>
      <c r="F99" s="49" t="s">
        <v>225</v>
      </c>
      <c r="G99" s="1">
        <v>1</v>
      </c>
      <c r="H99" s="49" t="s">
        <v>78</v>
      </c>
      <c r="I99" s="99">
        <v>1E-3</v>
      </c>
      <c r="L99" s="49" t="s">
        <v>42</v>
      </c>
      <c r="O99" s="55" t="str">
        <f>CHOOSE(uxbWorks!$B$7,AE99,AJ99)</f>
        <v>Total vehicles / 1000 inhabitants</v>
      </c>
      <c r="P99" s="55" t="str">
        <f>CHOOSE(uxbWorks!$B$7,AF99,AK99)</f>
        <v>vehicles/1,000 inhabitants</v>
      </c>
      <c r="Q99" s="55" t="str">
        <f>CHOOSE(uxbWorks!$B$7,AG99,AL99)</f>
        <v>CALCULATED</v>
      </c>
      <c r="R99" s="55" t="str">
        <f>IF(CHOOSE(uxbWorks!$B$7,AI99,AN99)=0,"",CHOOSE(uxbWorks!$B$7,AI99,AN99))</f>
        <v/>
      </c>
      <c r="W99" s="56" t="str">
        <f t="shared" si="7"/>
        <v xml:space="preserve">  Total vehicles / 1000 inhabitants</v>
      </c>
      <c r="X99" s="56" t="str">
        <f t="shared" si="9"/>
        <v>CALCULATED INDICATORS</v>
      </c>
      <c r="Y99" s="56" t="str">
        <f t="shared" si="8"/>
        <v>CALCULATED INDICATORS »</v>
      </c>
      <c r="AA99" s="98"/>
      <c r="AB99" s="98" t="s">
        <v>511</v>
      </c>
      <c r="AC99" s="55" t="e">
        <f>IF($D99=0,"",MATCH($F99,tblIndiDefs!$A$2:$A$89,0))</f>
        <v>#N/A</v>
      </c>
      <c r="AE99" s="113" t="s">
        <v>511</v>
      </c>
      <c r="AF99" s="113" t="s">
        <v>515</v>
      </c>
      <c r="AG99" s="113" t="s">
        <v>91</v>
      </c>
      <c r="AH99" s="113"/>
      <c r="AI99" s="113"/>
      <c r="AJ99" s="113" t="s">
        <v>3015</v>
      </c>
      <c r="AK99" s="113" t="s">
        <v>514</v>
      </c>
      <c r="AL99" s="113" t="s">
        <v>92</v>
      </c>
      <c r="AM99" s="113"/>
      <c r="AN99" s="113"/>
    </row>
    <row r="100" spans="1:40" x14ac:dyDescent="0.2">
      <c r="A100" s="49">
        <v>99</v>
      </c>
      <c r="B100" s="49" t="s">
        <v>289</v>
      </c>
      <c r="C100" s="49" t="s">
        <v>283</v>
      </c>
      <c r="D100" s="49">
        <v>1</v>
      </c>
      <c r="E100" s="49">
        <v>1</v>
      </c>
      <c r="F100" s="49" t="s">
        <v>225</v>
      </c>
      <c r="G100" s="1">
        <v>1</v>
      </c>
      <c r="H100" s="49" t="s">
        <v>70</v>
      </c>
      <c r="I100" s="49">
        <v>1E-3</v>
      </c>
      <c r="L100" s="49" t="s">
        <v>42</v>
      </c>
      <c r="O100" s="55" t="str">
        <f>CHOOSE(uxbWorks!$B$7,AE100,AJ100)</f>
        <v>Heavy vehicles / 1000 inhabitants</v>
      </c>
      <c r="P100" s="55" t="str">
        <f>CHOOSE(uxbWorks!$B$7,AF100,AK100)</f>
        <v>vehicles/1,000 inhabitants</v>
      </c>
      <c r="Q100" s="55" t="str">
        <f>CHOOSE(uxbWorks!$B$7,AG100,AL100)</f>
        <v>CALCULATED</v>
      </c>
      <c r="R100" s="55" t="str">
        <f>IF(CHOOSE(uxbWorks!$B$7,AI100,AN100)=0,"",CHOOSE(uxbWorks!$B$7,AI100,AN100))</f>
        <v/>
      </c>
      <c r="W100" s="56" t="str">
        <f t="shared" si="7"/>
        <v xml:space="preserve">  Heavy vehicles / 1000 inhabitants</v>
      </c>
      <c r="X100" s="56" t="str">
        <f t="shared" si="9"/>
        <v>CALCULATED INDICATORS</v>
      </c>
      <c r="Y100" s="56" t="str">
        <f t="shared" si="8"/>
        <v>CALCULATED INDICATORS »</v>
      </c>
      <c r="AA100" s="98"/>
      <c r="AB100" s="98" t="s">
        <v>512</v>
      </c>
      <c r="AC100" s="55" t="e">
        <f>IF($D100=0,"",MATCH($F100,tblIndiDefs!$A$2:$A$89,0))</f>
        <v>#N/A</v>
      </c>
      <c r="AE100" s="113" t="s">
        <v>512</v>
      </c>
      <c r="AF100" s="113" t="s">
        <v>515</v>
      </c>
      <c r="AG100" s="113" t="s">
        <v>91</v>
      </c>
      <c r="AH100" s="113"/>
      <c r="AI100" s="113"/>
      <c r="AJ100" s="113" t="s">
        <v>3016</v>
      </c>
      <c r="AK100" s="113" t="s">
        <v>514</v>
      </c>
      <c r="AL100" s="113" t="s">
        <v>92</v>
      </c>
      <c r="AM100" s="113"/>
      <c r="AN100" s="113"/>
    </row>
    <row r="101" spans="1:40" x14ac:dyDescent="0.2">
      <c r="A101" s="49">
        <v>100</v>
      </c>
      <c r="B101" s="49" t="s">
        <v>290</v>
      </c>
      <c r="C101" s="49" t="s">
        <v>283</v>
      </c>
      <c r="D101" s="49">
        <v>1</v>
      </c>
      <c r="E101" s="49">
        <v>1</v>
      </c>
      <c r="F101" s="49" t="s">
        <v>225</v>
      </c>
      <c r="G101" s="1">
        <v>2</v>
      </c>
      <c r="H101" s="49" t="s">
        <v>326</v>
      </c>
      <c r="I101" s="49">
        <v>1E-3</v>
      </c>
      <c r="L101" s="49" t="s">
        <v>42</v>
      </c>
      <c r="O101" s="55" t="str">
        <f>CHOOSE(uxbWorks!$B$7,AE101,AJ101)</f>
        <v>Diesel oil consumption / capita</v>
      </c>
      <c r="P101" s="55" t="str">
        <f>CHOOSE(uxbWorks!$B$7,AF101,AK101)</f>
        <v>barrels/capita/year</v>
      </c>
      <c r="Q101" s="55" t="str">
        <f>CHOOSE(uxbWorks!$B$7,AG101,AL101)</f>
        <v>CALCULATED</v>
      </c>
      <c r="R101" s="55" t="str">
        <f>IF(CHOOSE(uxbWorks!$B$7,AI101,AN101)=0,"",CHOOSE(uxbWorks!$B$7,AI101,AN101))</f>
        <v/>
      </c>
      <c r="W101" s="56" t="str">
        <f t="shared" si="7"/>
        <v xml:space="preserve">  Diesel oil consumption / capita</v>
      </c>
      <c r="X101" s="56" t="str">
        <f t="shared" si="9"/>
        <v>CALCULATED INDICATORS</v>
      </c>
      <c r="Y101" s="56" t="str">
        <f t="shared" si="8"/>
        <v>CALCULATED INDICATORS »</v>
      </c>
      <c r="AA101" s="54"/>
      <c r="AB101" s="54" t="s">
        <v>302</v>
      </c>
      <c r="AC101" s="55" t="e">
        <f>IF($D101=0,"",MATCH($F101,tblIndiDefs!$A$2:$A$89,0))</f>
        <v>#N/A</v>
      </c>
      <c r="AE101" s="111" t="s">
        <v>302</v>
      </c>
      <c r="AF101" s="111" t="s">
        <v>2</v>
      </c>
      <c r="AG101" s="111" t="s">
        <v>91</v>
      </c>
      <c r="AH101" s="111"/>
      <c r="AI101" s="111"/>
      <c r="AJ101" s="113" t="s">
        <v>3017</v>
      </c>
      <c r="AK101" s="111" t="s">
        <v>112</v>
      </c>
      <c r="AL101" s="111" t="s">
        <v>92</v>
      </c>
      <c r="AM101" s="111"/>
      <c r="AN101" s="111"/>
    </row>
    <row r="102" spans="1:40" x14ac:dyDescent="0.2">
      <c r="A102" s="49">
        <v>101</v>
      </c>
      <c r="B102" s="49" t="s">
        <v>291</v>
      </c>
      <c r="C102" s="49" t="s">
        <v>283</v>
      </c>
      <c r="D102" s="49">
        <v>1</v>
      </c>
      <c r="E102" s="49">
        <v>1</v>
      </c>
      <c r="F102" s="49" t="s">
        <v>225</v>
      </c>
      <c r="G102" s="1">
        <v>2</v>
      </c>
      <c r="H102" s="49" t="s">
        <v>327</v>
      </c>
      <c r="I102" s="49">
        <v>1E-3</v>
      </c>
      <c r="L102" s="49" t="s">
        <v>42</v>
      </c>
      <c r="O102" s="55" t="str">
        <f>CHOOSE(uxbWorks!$B$7,AE102,AJ102)</f>
        <v>Gasoline consumption / capita</v>
      </c>
      <c r="P102" s="55" t="str">
        <f>CHOOSE(uxbWorks!$B$7,AF102,AK102)</f>
        <v>barrels/capita/year</v>
      </c>
      <c r="Q102" s="55" t="str">
        <f>CHOOSE(uxbWorks!$B$7,AG102,AL102)</f>
        <v>CALCULATED</v>
      </c>
      <c r="R102" s="55" t="str">
        <f>IF(CHOOSE(uxbWorks!$B$7,AI102,AN102)=0,"",CHOOSE(uxbWorks!$B$7,AI102,AN102))</f>
        <v/>
      </c>
      <c r="W102" s="56" t="str">
        <f t="shared" si="7"/>
        <v xml:space="preserve">  Gasoline consumption / capita</v>
      </c>
      <c r="X102" s="56" t="str">
        <f t="shared" si="9"/>
        <v>CALCULATED INDICATORS</v>
      </c>
      <c r="Y102" s="56" t="str">
        <f t="shared" si="8"/>
        <v>CALCULATED INDICATORS »</v>
      </c>
      <c r="AA102" s="54"/>
      <c r="AB102" s="54" t="s">
        <v>303</v>
      </c>
      <c r="AC102" s="55" t="e">
        <f>IF($D102=0,"",MATCH($F102,tblIndiDefs!$A$2:$A$89,0))</f>
        <v>#N/A</v>
      </c>
      <c r="AE102" s="111" t="s">
        <v>303</v>
      </c>
      <c r="AF102" s="111" t="s">
        <v>2</v>
      </c>
      <c r="AG102" s="111" t="s">
        <v>91</v>
      </c>
      <c r="AH102" s="111"/>
      <c r="AI102" s="111"/>
      <c r="AJ102" s="113" t="s">
        <v>3013</v>
      </c>
      <c r="AK102" s="111" t="s">
        <v>112</v>
      </c>
      <c r="AL102" s="111" t="s">
        <v>92</v>
      </c>
      <c r="AM102" s="111"/>
      <c r="AN102" s="111"/>
    </row>
    <row r="103" spans="1:40" x14ac:dyDescent="0.2">
      <c r="A103" s="49">
        <v>102</v>
      </c>
      <c r="B103" s="49" t="s">
        <v>292</v>
      </c>
      <c r="C103" s="49" t="s">
        <v>283</v>
      </c>
      <c r="D103" s="49">
        <v>1</v>
      </c>
      <c r="E103" s="49">
        <v>1</v>
      </c>
      <c r="F103" s="49" t="s">
        <v>225</v>
      </c>
      <c r="G103" s="1">
        <v>2</v>
      </c>
      <c r="H103" s="49" t="s">
        <v>59</v>
      </c>
      <c r="I103" s="49">
        <v>1</v>
      </c>
      <c r="L103" s="49" t="s">
        <v>44</v>
      </c>
      <c r="O103" s="55" t="str">
        <f>CHOOSE(uxbWorks!$B$7,AE103,AJ103)</f>
        <v>Road density (area)</v>
      </c>
      <c r="P103" s="55" t="str">
        <f>CHOOSE(uxbWorks!$B$7,AF103,AK103)</f>
        <v>km/km2</v>
      </c>
      <c r="Q103" s="55" t="str">
        <f>CHOOSE(uxbWorks!$B$7,AG103,AL103)</f>
        <v>CALCULATED</v>
      </c>
      <c r="R103" s="55" t="str">
        <f>IF(CHOOSE(uxbWorks!$B$7,AI103,AN103)=0,"",CHOOSE(uxbWorks!$B$7,AI103,AN103))</f>
        <v/>
      </c>
      <c r="W103" s="56" t="str">
        <f t="shared" si="7"/>
        <v xml:space="preserve">  Road density (area)</v>
      </c>
      <c r="X103" s="56" t="str">
        <f t="shared" si="9"/>
        <v>CALCULATED INDICATORS</v>
      </c>
      <c r="Y103" s="56" t="str">
        <f t="shared" si="8"/>
        <v>CALCULATED INDICATORS »</v>
      </c>
      <c r="AA103" s="54"/>
      <c r="AB103" s="54" t="s">
        <v>304</v>
      </c>
      <c r="AC103" s="55" t="e">
        <f>IF($D103=0,"",MATCH($F103,tblIndiDefs!$A$2:$A$89,0))</f>
        <v>#N/A</v>
      </c>
      <c r="AE103" s="111" t="s">
        <v>304</v>
      </c>
      <c r="AF103" s="111" t="s">
        <v>305</v>
      </c>
      <c r="AG103" s="111" t="s">
        <v>91</v>
      </c>
      <c r="AH103" s="111"/>
      <c r="AI103" s="111"/>
      <c r="AJ103" s="113" t="s">
        <v>3014</v>
      </c>
      <c r="AK103" s="111" t="s">
        <v>305</v>
      </c>
      <c r="AL103" s="111" t="s">
        <v>92</v>
      </c>
      <c r="AM103" s="111"/>
      <c r="AN103" s="111"/>
    </row>
    <row r="104" spans="1:40" x14ac:dyDescent="0.2">
      <c r="A104" s="49">
        <v>103</v>
      </c>
      <c r="B104" s="49" t="s">
        <v>293</v>
      </c>
      <c r="C104" s="49" t="s">
        <v>283</v>
      </c>
      <c r="D104" s="49">
        <v>1</v>
      </c>
      <c r="E104" s="49">
        <v>1</v>
      </c>
      <c r="F104" s="49" t="s">
        <v>225</v>
      </c>
      <c r="G104" s="1">
        <v>1</v>
      </c>
      <c r="H104" s="49" t="s">
        <v>59</v>
      </c>
      <c r="I104" s="49">
        <v>1E-3</v>
      </c>
      <c r="L104" s="49" t="s">
        <v>42</v>
      </c>
      <c r="O104" s="55" t="str">
        <f>CHOOSE(uxbWorks!$B$7,AE104,AJ104)</f>
        <v>Road density (population)</v>
      </c>
      <c r="P104" s="55" t="str">
        <f>CHOOSE(uxbWorks!$B$7,AF104,AK104)</f>
        <v>km/1,000 inhabitants</v>
      </c>
      <c r="Q104" s="55" t="str">
        <f>CHOOSE(uxbWorks!$B$7,AG104,AL104)</f>
        <v>CALCULATED</v>
      </c>
      <c r="R104" s="55" t="str">
        <f>IF(CHOOSE(uxbWorks!$B$7,AI104,AN104)=0,"",CHOOSE(uxbWorks!$B$7,AI104,AN104))</f>
        <v/>
      </c>
      <c r="W104" s="56" t="str">
        <f t="shared" si="7"/>
        <v xml:space="preserve">  Road density (population)</v>
      </c>
      <c r="X104" s="56" t="str">
        <f t="shared" si="9"/>
        <v>CALCULATED INDICATORS</v>
      </c>
      <c r="Y104" s="56" t="str">
        <f t="shared" si="8"/>
        <v>CALCULATED INDICATORS »</v>
      </c>
      <c r="AA104" s="54"/>
      <c r="AB104" s="54" t="s">
        <v>306</v>
      </c>
      <c r="AC104" s="55" t="e">
        <f>IF($D104=0,"",MATCH($F104,tblIndiDefs!$A$2:$A$89,0))</f>
        <v>#N/A</v>
      </c>
      <c r="AE104" s="111" t="s">
        <v>306</v>
      </c>
      <c r="AF104" s="111" t="s">
        <v>516</v>
      </c>
      <c r="AG104" s="111" t="s">
        <v>91</v>
      </c>
      <c r="AH104" s="111"/>
      <c r="AI104" s="111"/>
      <c r="AJ104" s="113" t="s">
        <v>3055</v>
      </c>
      <c r="AK104" s="111" t="s">
        <v>513</v>
      </c>
      <c r="AL104" s="111" t="s">
        <v>92</v>
      </c>
      <c r="AM104" s="111"/>
      <c r="AN104" s="111"/>
    </row>
    <row r="105" spans="1:40" x14ac:dyDescent="0.2">
      <c r="A105" s="49">
        <v>104</v>
      </c>
      <c r="B105" s="49" t="s">
        <v>294</v>
      </c>
      <c r="C105" s="49" t="s">
        <v>283</v>
      </c>
      <c r="D105" s="49">
        <v>1</v>
      </c>
      <c r="E105" s="49">
        <v>1</v>
      </c>
      <c r="F105" s="49" t="s">
        <v>225</v>
      </c>
      <c r="G105" s="1">
        <v>3</v>
      </c>
      <c r="H105" s="49" t="s">
        <v>364</v>
      </c>
      <c r="I105" s="49">
        <f>1/1000000</f>
        <v>9.9999999999999995E-7</v>
      </c>
      <c r="L105" s="99" t="s">
        <v>344</v>
      </c>
      <c r="O105" s="55" t="str">
        <f>CHOOSE(uxbWorks!$B$7,AE105,AJ105)</f>
        <v>Rail traffic density</v>
      </c>
      <c r="P105" s="55" t="str">
        <f>CHOOSE(uxbWorks!$B$7,AF105,AK105)</f>
        <v>million t-km/km</v>
      </c>
      <c r="Q105" s="55" t="str">
        <f>CHOOSE(uxbWorks!$B$7,AG105,AL105)</f>
        <v>CALCULATED</v>
      </c>
      <c r="R105" s="55" t="str">
        <f>IF(CHOOSE(uxbWorks!$B$7,AI105,AN105)=0,"",CHOOSE(uxbWorks!$B$7,AI105,AN105))</f>
        <v/>
      </c>
      <c r="W105" s="56" t="str">
        <f t="shared" si="7"/>
        <v xml:space="preserve">  Rail traffic density</v>
      </c>
      <c r="X105" s="56" t="str">
        <f t="shared" si="9"/>
        <v>CALCULATED INDICATORS</v>
      </c>
      <c r="Y105" s="56" t="str">
        <f t="shared" si="8"/>
        <v>CALCULATED INDICATORS »</v>
      </c>
      <c r="AA105" s="54"/>
      <c r="AB105" s="54" t="s">
        <v>93</v>
      </c>
      <c r="AC105" s="55" t="e">
        <f>IF($D105=0,"",MATCH($F105,tblIndiDefs!$A$2:$A$89,0))</f>
        <v>#N/A</v>
      </c>
      <c r="AE105" s="113" t="s">
        <v>3020</v>
      </c>
      <c r="AF105" s="113" t="s">
        <v>3022</v>
      </c>
      <c r="AG105" s="111" t="s">
        <v>91</v>
      </c>
      <c r="AH105" s="111"/>
      <c r="AI105" s="111"/>
      <c r="AJ105" s="113" t="s">
        <v>3021</v>
      </c>
      <c r="AK105" s="113" t="s">
        <v>3023</v>
      </c>
      <c r="AL105" s="111" t="s">
        <v>92</v>
      </c>
      <c r="AM105" s="111"/>
      <c r="AN105" s="111"/>
    </row>
    <row r="106" spans="1:40" x14ac:dyDescent="0.2">
      <c r="A106" s="49">
        <v>105</v>
      </c>
      <c r="B106" s="99" t="s">
        <v>295</v>
      </c>
      <c r="C106" s="49" t="s">
        <v>283</v>
      </c>
      <c r="D106" s="49">
        <v>1</v>
      </c>
      <c r="E106" s="49">
        <v>1</v>
      </c>
      <c r="F106" s="49" t="s">
        <v>225</v>
      </c>
      <c r="G106" s="1">
        <v>1</v>
      </c>
      <c r="H106" s="49" t="s">
        <v>70</v>
      </c>
      <c r="I106" s="49">
        <v>1</v>
      </c>
      <c r="L106" s="49" t="s">
        <v>76</v>
      </c>
      <c r="O106" s="55" t="str">
        <f>CHOOSE(uxbWorks!$B$7,AE106,AJ106)</f>
        <v>Number of Trucks / number of trailers</v>
      </c>
      <c r="P106" s="55" t="str">
        <f>CHOOSE(uxbWorks!$B$7,AF106,AK106)</f>
        <v>#</v>
      </c>
      <c r="Q106" s="55" t="str">
        <f>CHOOSE(uxbWorks!$B$7,AG106,AL106)</f>
        <v>CALCULATED</v>
      </c>
      <c r="R106" s="55" t="str">
        <f>IF(CHOOSE(uxbWorks!$B$7,AI106,AN106)=0,"",CHOOSE(uxbWorks!$B$7,AI106,AN106))</f>
        <v/>
      </c>
      <c r="W106" s="56" t="str">
        <f t="shared" si="7"/>
        <v xml:space="preserve">  Number of Trucks / number of trailers</v>
      </c>
      <c r="X106" s="56" t="str">
        <f t="shared" si="9"/>
        <v>CALCULATED INDICATORS</v>
      </c>
      <c r="Y106" s="56" t="str">
        <f t="shared" si="8"/>
        <v>CALCULATED INDICATORS »</v>
      </c>
      <c r="AA106" s="54"/>
      <c r="AB106" s="54" t="s">
        <v>94</v>
      </c>
      <c r="AC106" s="55" t="e">
        <f>IF($D106=0,"",MATCH($F106,tblIndiDefs!$A$2:$A$89,0))</f>
        <v>#N/A</v>
      </c>
      <c r="AE106" s="113" t="s">
        <v>3019</v>
      </c>
      <c r="AF106" s="111" t="s">
        <v>43</v>
      </c>
      <c r="AG106" s="111" t="s">
        <v>91</v>
      </c>
      <c r="AH106" s="111"/>
      <c r="AI106" s="111"/>
      <c r="AJ106" s="113" t="s">
        <v>3018</v>
      </c>
      <c r="AK106" s="111" t="s">
        <v>43</v>
      </c>
      <c r="AL106" s="111" t="s">
        <v>92</v>
      </c>
      <c r="AM106" s="111"/>
      <c r="AN106" s="111"/>
    </row>
    <row r="107" spans="1:40" s="62" customFormat="1" x14ac:dyDescent="0.2">
      <c r="O107" s="63"/>
      <c r="P107" s="63"/>
      <c r="Q107" s="63"/>
      <c r="R107" s="63" t="str">
        <f>IF(CHOOSE(uxbWorks!$B$7,AI107,AN107)=0,"",CHOOSE(uxbWorks!$B$7,AI107,AN107))</f>
        <v/>
      </c>
      <c r="S107" s="63"/>
      <c r="T107" s="63"/>
      <c r="U107" s="63"/>
      <c r="W107" s="64" t="str">
        <f t="shared" si="7"/>
        <v/>
      </c>
      <c r="X107" s="64" t="str">
        <f t="shared" si="9"/>
        <v/>
      </c>
      <c r="Y107" s="62" t="str">
        <f t="shared" si="8"/>
        <v/>
      </c>
      <c r="AA107" s="65"/>
      <c r="AB107" s="65"/>
      <c r="AC107" s="63" t="str">
        <f>IF($D107=0,"",MATCH($F107,tblIndiDefs!$A$2:$A$89,0))</f>
        <v/>
      </c>
      <c r="AE107" s="65"/>
      <c r="AF107" s="65"/>
      <c r="AG107" s="65"/>
      <c r="AH107" s="65"/>
      <c r="AI107" s="65"/>
      <c r="AJ107" s="65"/>
      <c r="AK107" s="65"/>
      <c r="AL107" s="65"/>
      <c r="AM107" s="65"/>
      <c r="AN107" s="65" t="str">
        <f>IF($AC107="","",INDEX(tblIndiDefs!K$2:K$197,$AC107))</f>
        <v/>
      </c>
    </row>
  </sheetData>
  <phoneticPr fontId="12" type="noConversion"/>
  <pageMargins left="0.7" right="0.7" top="0.75" bottom="0.75" header="0.3" footer="0.3"/>
  <pageSetup orientation="portrait" r:id="rId1"/>
  <headerFooter>
    <oddHeader>&amp;LAnuario de Transporte de Carga y Logística 2014, BID</oddHeader>
    <oddFooter>&amp;LObservatorio Regional de Transporte de Carga y Logistica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3"/>
  <sheetViews>
    <sheetView showGridLines="0" showRowColHeaders="0" workbookViewId="0"/>
  </sheetViews>
  <sheetFormatPr defaultColWidth="9.140625" defaultRowHeight="11.25" x14ac:dyDescent="0.2"/>
  <cols>
    <col min="1" max="1" width="6.85546875" style="1" bestFit="1" customWidth="1"/>
    <col min="2" max="16384" width="9.140625" style="1"/>
  </cols>
  <sheetData>
    <row r="1" spans="1:2" x14ac:dyDescent="0.2">
      <c r="A1" s="1" t="s">
        <v>422</v>
      </c>
      <c r="B1" s="1" t="s">
        <v>423</v>
      </c>
    </row>
    <row r="2" spans="1:2" x14ac:dyDescent="0.2">
      <c r="A2" s="1">
        <v>1</v>
      </c>
      <c r="B2" s="1" t="s">
        <v>424</v>
      </c>
    </row>
    <row r="3" spans="1:2" x14ac:dyDescent="0.2">
      <c r="A3" s="1">
        <v>2</v>
      </c>
      <c r="B3" s="1" t="s">
        <v>425</v>
      </c>
    </row>
  </sheetData>
  <phoneticPr fontId="12" type="noConversion"/>
  <pageMargins left="0.7" right="0.7" top="0.75" bottom="0.75" header="0.3" footer="0.3"/>
  <pageSetup orientation="portrait" r:id="rId1"/>
  <headerFooter>
    <oddHeader>&amp;LAnuario de Transporte de Carga y Logística 2014, BID</oddHeader>
    <oddFooter>&amp;LObservatorio Regional de Transporte de Carga y Logistica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1:N40"/>
  <sheetViews>
    <sheetView showGridLines="0" showRowColHeaders="0" workbookViewId="0"/>
  </sheetViews>
  <sheetFormatPr defaultColWidth="9.140625" defaultRowHeight="15" x14ac:dyDescent="0.25"/>
  <sheetData>
    <row r="1" spans="2:14" ht="14.45" x14ac:dyDescent="0.3">
      <c r="B1" t="s">
        <v>164</v>
      </c>
      <c r="D1" t="s">
        <v>165</v>
      </c>
      <c r="E1" t="s">
        <v>166</v>
      </c>
      <c r="F1" t="s">
        <v>167</v>
      </c>
    </row>
    <row r="2" spans="2:14" ht="14.45" x14ac:dyDescent="0.3">
      <c r="B2">
        <v>0</v>
      </c>
      <c r="C2" t="s">
        <v>168</v>
      </c>
      <c r="D2">
        <v>204</v>
      </c>
      <c r="E2">
        <v>204</v>
      </c>
      <c r="F2">
        <v>204</v>
      </c>
      <c r="G2" s="30"/>
      <c r="I2" t="s">
        <v>433</v>
      </c>
    </row>
    <row r="3" spans="2:14" ht="14.45" x14ac:dyDescent="0.3">
      <c r="B3">
        <v>1</v>
      </c>
      <c r="C3" t="s">
        <v>169</v>
      </c>
      <c r="D3">
        <v>253</v>
      </c>
      <c r="E3">
        <v>204</v>
      </c>
      <c r="F3">
        <v>138</v>
      </c>
      <c r="G3" s="74"/>
      <c r="L3">
        <v>254</v>
      </c>
      <c r="M3">
        <v>240</v>
      </c>
      <c r="N3">
        <v>217</v>
      </c>
    </row>
    <row r="4" spans="2:14" ht="14.45" x14ac:dyDescent="0.3">
      <c r="B4">
        <v>2</v>
      </c>
      <c r="D4">
        <v>252</v>
      </c>
      <c r="E4">
        <v>141</v>
      </c>
      <c r="F4">
        <v>89</v>
      </c>
      <c r="G4" s="36"/>
      <c r="L4">
        <v>253</v>
      </c>
      <c r="M4">
        <v>204</v>
      </c>
      <c r="N4">
        <v>138</v>
      </c>
    </row>
    <row r="5" spans="2:14" ht="14.45" x14ac:dyDescent="0.3">
      <c r="B5">
        <v>3</v>
      </c>
      <c r="D5">
        <v>227</v>
      </c>
      <c r="E5">
        <v>54</v>
      </c>
      <c r="F5">
        <v>71</v>
      </c>
      <c r="G5" s="75"/>
      <c r="L5">
        <v>252</v>
      </c>
      <c r="M5">
        <v>141</v>
      </c>
      <c r="N5">
        <v>89</v>
      </c>
    </row>
    <row r="6" spans="2:14" ht="14.45" x14ac:dyDescent="0.3">
      <c r="B6">
        <v>4</v>
      </c>
      <c r="C6" t="s">
        <v>170</v>
      </c>
      <c r="D6">
        <v>179</v>
      </c>
      <c r="E6">
        <v>0</v>
      </c>
      <c r="F6">
        <v>0</v>
      </c>
      <c r="G6" s="27"/>
      <c r="L6">
        <v>215</v>
      </c>
      <c r="M6">
        <v>48</v>
      </c>
      <c r="N6">
        <v>31</v>
      </c>
    </row>
    <row r="7" spans="2:14" ht="14.45" x14ac:dyDescent="0.3">
      <c r="D7">
        <v>141</v>
      </c>
      <c r="E7">
        <v>180</v>
      </c>
      <c r="F7">
        <v>227</v>
      </c>
      <c r="G7" s="34"/>
      <c r="I7" t="s">
        <v>171</v>
      </c>
    </row>
    <row r="10" spans="2:14" ht="14.45" x14ac:dyDescent="0.3">
      <c r="G10" s="30"/>
      <c r="I10" t="s">
        <v>433</v>
      </c>
    </row>
    <row r="11" spans="2:14" ht="14.45" x14ac:dyDescent="0.3">
      <c r="G11" s="35"/>
    </row>
    <row r="12" spans="2:14" ht="14.45" x14ac:dyDescent="0.3">
      <c r="G12" s="28"/>
    </row>
    <row r="13" spans="2:14" ht="14.45" x14ac:dyDescent="0.3">
      <c r="G13" s="30"/>
      <c r="I13" t="s">
        <v>172</v>
      </c>
    </row>
    <row r="14" spans="2:14" ht="14.45" x14ac:dyDescent="0.3">
      <c r="G14" s="32"/>
    </row>
    <row r="15" spans="2:14" ht="14.45" x14ac:dyDescent="0.3">
      <c r="G15" s="36"/>
    </row>
    <row r="22" spans="2:8" ht="14.45" x14ac:dyDescent="0.3">
      <c r="B22" t="s">
        <v>146</v>
      </c>
      <c r="D22" t="s">
        <v>114</v>
      </c>
      <c r="E22" t="s">
        <v>115</v>
      </c>
      <c r="F22" t="s">
        <v>116</v>
      </c>
      <c r="G22" s="33"/>
      <c r="H22" s="78" t="s">
        <v>150</v>
      </c>
    </row>
    <row r="23" spans="2:8" ht="14.45" x14ac:dyDescent="0.3">
      <c r="B23" t="s">
        <v>146</v>
      </c>
      <c r="D23" t="s">
        <v>117</v>
      </c>
      <c r="E23" t="s">
        <v>118</v>
      </c>
      <c r="F23" t="s">
        <v>119</v>
      </c>
      <c r="G23" s="47"/>
      <c r="H23" s="79" t="s">
        <v>150</v>
      </c>
    </row>
    <row r="24" spans="2:8" ht="14.45" x14ac:dyDescent="0.3">
      <c r="B24" t="s">
        <v>146</v>
      </c>
      <c r="D24" t="s">
        <v>120</v>
      </c>
      <c r="E24" t="s">
        <v>121</v>
      </c>
      <c r="F24" t="s">
        <v>122</v>
      </c>
      <c r="G24" s="72"/>
      <c r="H24" s="80" t="s">
        <v>150</v>
      </c>
    </row>
    <row r="25" spans="2:8" x14ac:dyDescent="0.25">
      <c r="B25" t="s">
        <v>145</v>
      </c>
      <c r="D25" t="s">
        <v>123</v>
      </c>
      <c r="E25" t="s">
        <v>124</v>
      </c>
      <c r="F25" t="s">
        <v>125</v>
      </c>
      <c r="G25" s="77"/>
      <c r="H25" s="81" t="s">
        <v>150</v>
      </c>
    </row>
    <row r="26" spans="2:8" x14ac:dyDescent="0.25">
      <c r="B26" t="s">
        <v>144</v>
      </c>
      <c r="D26" t="s">
        <v>126</v>
      </c>
      <c r="E26" t="s">
        <v>127</v>
      </c>
      <c r="F26" t="s">
        <v>128</v>
      </c>
      <c r="G26" s="76"/>
      <c r="H26" s="82" t="s">
        <v>150</v>
      </c>
    </row>
    <row r="27" spans="2:8" x14ac:dyDescent="0.25">
      <c r="B27" t="s">
        <v>143</v>
      </c>
      <c r="D27" t="s">
        <v>129</v>
      </c>
      <c r="E27" t="s">
        <v>130</v>
      </c>
      <c r="F27" t="s">
        <v>131</v>
      </c>
      <c r="G27" s="31"/>
      <c r="H27" s="83" t="s">
        <v>150</v>
      </c>
    </row>
    <row r="28" spans="2:8" x14ac:dyDescent="0.25">
      <c r="B28" t="s">
        <v>142</v>
      </c>
      <c r="D28" t="s">
        <v>132</v>
      </c>
      <c r="E28" t="s">
        <v>133</v>
      </c>
      <c r="F28" t="s">
        <v>134</v>
      </c>
      <c r="G28" s="70"/>
      <c r="H28" s="71" t="s">
        <v>149</v>
      </c>
    </row>
    <row r="30" spans="2:8" x14ac:dyDescent="0.25">
      <c r="B30" t="s">
        <v>138</v>
      </c>
      <c r="D30" t="s">
        <v>135</v>
      </c>
      <c r="E30" t="s">
        <v>136</v>
      </c>
      <c r="F30" t="s">
        <v>137</v>
      </c>
      <c r="G30" s="84"/>
      <c r="H30" s="85" t="s">
        <v>151</v>
      </c>
    </row>
    <row r="31" spans="2:8" x14ac:dyDescent="0.25">
      <c r="C31" t="s">
        <v>141</v>
      </c>
      <c r="D31">
        <v>238</v>
      </c>
      <c r="E31">
        <v>236</v>
      </c>
      <c r="F31">
        <v>225</v>
      </c>
    </row>
    <row r="33" spans="2:8" x14ac:dyDescent="0.25">
      <c r="B33" t="s">
        <v>139</v>
      </c>
      <c r="D33">
        <v>79</v>
      </c>
      <c r="E33">
        <v>129</v>
      </c>
      <c r="F33">
        <v>189</v>
      </c>
      <c r="G33" s="86"/>
      <c r="H33" s="87" t="s">
        <v>152</v>
      </c>
    </row>
    <row r="36" spans="2:8" x14ac:dyDescent="0.25">
      <c r="B36" t="s">
        <v>140</v>
      </c>
      <c r="D36">
        <v>113</v>
      </c>
      <c r="E36">
        <v>114</v>
      </c>
      <c r="F36">
        <v>99</v>
      </c>
      <c r="G36" s="88"/>
      <c r="H36" s="89" t="s">
        <v>153</v>
      </c>
    </row>
    <row r="37" spans="2:8" x14ac:dyDescent="0.25">
      <c r="B37" t="s">
        <v>154</v>
      </c>
      <c r="D37">
        <v>162</v>
      </c>
      <c r="E37">
        <v>162</v>
      </c>
      <c r="F37">
        <v>152</v>
      </c>
      <c r="G37" s="90"/>
      <c r="H37" s="91" t="s">
        <v>155</v>
      </c>
    </row>
    <row r="39" spans="2:8" x14ac:dyDescent="0.25">
      <c r="B39" t="s">
        <v>3009</v>
      </c>
      <c r="C39" t="s">
        <v>3011</v>
      </c>
      <c r="D39">
        <v>245</v>
      </c>
      <c r="E39">
        <v>242</v>
      </c>
      <c r="F39">
        <v>235</v>
      </c>
    </row>
    <row r="40" spans="2:8" x14ac:dyDescent="0.25">
      <c r="C40" t="s">
        <v>3010</v>
      </c>
      <c r="D40">
        <v>213</v>
      </c>
      <c r="E40">
        <v>205</v>
      </c>
      <c r="F40">
        <v>184</v>
      </c>
    </row>
  </sheetData>
  <phoneticPr fontId="12" type="noConversion"/>
  <pageMargins left="0.7" right="0.7" top="0.75" bottom="0.75" header="0.3" footer="0.3"/>
  <pageSetup orientation="portrait" r:id="rId1"/>
  <headerFooter>
    <oddHeader>&amp;LAnuario de Transporte de Carga y Logística 2014, BID</oddHeader>
    <oddFooter>&amp;LObservatorio Regional de Transporte de Carga y Logistica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89"/>
  <sheetViews>
    <sheetView topLeftCell="A52" workbookViewId="0">
      <selection activeCell="G84" sqref="G84"/>
    </sheetView>
  </sheetViews>
  <sheetFormatPr defaultColWidth="9.140625" defaultRowHeight="15" x14ac:dyDescent="0.25"/>
  <sheetData>
    <row r="1" spans="1:11" ht="14.45" x14ac:dyDescent="0.3">
      <c r="A1" t="s">
        <v>1264</v>
      </c>
      <c r="B1" t="s">
        <v>36</v>
      </c>
      <c r="C1" t="s">
        <v>37</v>
      </c>
      <c r="D1" t="s">
        <v>269</v>
      </c>
      <c r="E1" t="s">
        <v>716</v>
      </c>
      <c r="F1" t="s">
        <v>717</v>
      </c>
      <c r="G1" t="s">
        <v>1265</v>
      </c>
      <c r="H1" t="s">
        <v>1266</v>
      </c>
      <c r="I1" t="s">
        <v>1267</v>
      </c>
      <c r="J1" t="s">
        <v>1268</v>
      </c>
      <c r="K1" t="s">
        <v>1269</v>
      </c>
    </row>
    <row r="2" spans="1:11" x14ac:dyDescent="0.25">
      <c r="A2">
        <v>1</v>
      </c>
      <c r="B2" t="s">
        <v>3138</v>
      </c>
      <c r="C2" t="s">
        <v>3139</v>
      </c>
      <c r="D2" t="s">
        <v>40</v>
      </c>
      <c r="F2" t="s">
        <v>3140</v>
      </c>
      <c r="G2" t="s">
        <v>3141</v>
      </c>
      <c r="H2" t="s">
        <v>3139</v>
      </c>
      <c r="I2" t="s">
        <v>428</v>
      </c>
      <c r="K2" t="s">
        <v>3142</v>
      </c>
    </row>
    <row r="3" spans="1:11" x14ac:dyDescent="0.25">
      <c r="A3">
        <v>2</v>
      </c>
      <c r="B3" t="s">
        <v>718</v>
      </c>
      <c r="C3" t="s">
        <v>3143</v>
      </c>
      <c r="D3" t="s">
        <v>40</v>
      </c>
      <c r="F3" t="s">
        <v>3144</v>
      </c>
      <c r="G3" t="s">
        <v>3145</v>
      </c>
      <c r="H3" t="s">
        <v>3146</v>
      </c>
      <c r="I3" t="s">
        <v>428</v>
      </c>
      <c r="K3" t="s">
        <v>3147</v>
      </c>
    </row>
    <row r="4" spans="1:11" x14ac:dyDescent="0.25">
      <c r="A4">
        <v>3</v>
      </c>
      <c r="B4" t="s">
        <v>719</v>
      </c>
      <c r="C4" t="s">
        <v>3148</v>
      </c>
      <c r="D4" t="s">
        <v>40</v>
      </c>
      <c r="F4" t="s">
        <v>3149</v>
      </c>
      <c r="G4" t="s">
        <v>3150</v>
      </c>
      <c r="H4" t="s">
        <v>3151</v>
      </c>
      <c r="I4" t="s">
        <v>428</v>
      </c>
      <c r="K4" t="s">
        <v>3152</v>
      </c>
    </row>
    <row r="5" spans="1:11" x14ac:dyDescent="0.25">
      <c r="A5">
        <v>4</v>
      </c>
      <c r="B5" t="s">
        <v>720</v>
      </c>
      <c r="C5" t="s">
        <v>3153</v>
      </c>
      <c r="D5" t="s">
        <v>40</v>
      </c>
      <c r="F5" t="s">
        <v>3154</v>
      </c>
      <c r="G5" t="s">
        <v>3155</v>
      </c>
      <c r="H5" t="s">
        <v>3156</v>
      </c>
      <c r="I5" t="s">
        <v>428</v>
      </c>
      <c r="K5" t="s">
        <v>3157</v>
      </c>
    </row>
    <row r="6" spans="1:11" ht="14.45" x14ac:dyDescent="0.3">
      <c r="A6">
        <v>5</v>
      </c>
      <c r="B6" t="s">
        <v>47</v>
      </c>
      <c r="C6" t="s">
        <v>3153</v>
      </c>
      <c r="D6" t="s">
        <v>40</v>
      </c>
      <c r="F6" t="s">
        <v>3158</v>
      </c>
      <c r="G6" t="s">
        <v>3159</v>
      </c>
      <c r="H6" t="s">
        <v>3156</v>
      </c>
      <c r="I6" t="s">
        <v>428</v>
      </c>
      <c r="K6" t="s">
        <v>3160</v>
      </c>
    </row>
    <row r="7" spans="1:11" x14ac:dyDescent="0.25">
      <c r="A7">
        <v>6</v>
      </c>
      <c r="B7" t="s">
        <v>721</v>
      </c>
      <c r="C7" t="s">
        <v>3153</v>
      </c>
      <c r="D7" t="s">
        <v>40</v>
      </c>
      <c r="F7" t="s">
        <v>3161</v>
      </c>
      <c r="G7" t="s">
        <v>3162</v>
      </c>
      <c r="H7" t="s">
        <v>3156</v>
      </c>
      <c r="I7" t="s">
        <v>428</v>
      </c>
      <c r="K7" t="s">
        <v>3163</v>
      </c>
    </row>
    <row r="8" spans="1:11" x14ac:dyDescent="0.25">
      <c r="A8">
        <v>7</v>
      </c>
      <c r="B8" t="s">
        <v>722</v>
      </c>
      <c r="C8" t="s">
        <v>3153</v>
      </c>
      <c r="D8" t="s">
        <v>40</v>
      </c>
      <c r="F8" t="s">
        <v>3164</v>
      </c>
      <c r="G8" t="s">
        <v>3165</v>
      </c>
      <c r="H8" t="s">
        <v>3156</v>
      </c>
      <c r="I8" t="s">
        <v>428</v>
      </c>
      <c r="K8" t="s">
        <v>3166</v>
      </c>
    </row>
    <row r="9" spans="1:11" ht="14.45" x14ac:dyDescent="0.3">
      <c r="A9">
        <v>8</v>
      </c>
      <c r="B9" t="s">
        <v>3167</v>
      </c>
      <c r="C9" t="s">
        <v>3153</v>
      </c>
      <c r="D9" t="s">
        <v>40</v>
      </c>
      <c r="F9" t="s">
        <v>3168</v>
      </c>
      <c r="G9" t="s">
        <v>3169</v>
      </c>
      <c r="H9" t="s">
        <v>3156</v>
      </c>
      <c r="I9" t="s">
        <v>428</v>
      </c>
      <c r="K9" t="s">
        <v>3170</v>
      </c>
    </row>
    <row r="10" spans="1:11" ht="14.45" x14ac:dyDescent="0.3">
      <c r="A10">
        <v>9</v>
      </c>
      <c r="B10" t="s">
        <v>3171</v>
      </c>
      <c r="C10" t="s">
        <v>73</v>
      </c>
      <c r="D10" t="s">
        <v>40</v>
      </c>
      <c r="F10" t="s">
        <v>3172</v>
      </c>
      <c r="G10" t="s">
        <v>3173</v>
      </c>
      <c r="H10" t="s">
        <v>73</v>
      </c>
      <c r="I10" t="s">
        <v>428</v>
      </c>
      <c r="K10" t="s">
        <v>3174</v>
      </c>
    </row>
    <row r="11" spans="1:11" ht="14.45" x14ac:dyDescent="0.3">
      <c r="A11">
        <v>10</v>
      </c>
      <c r="B11" t="s">
        <v>3175</v>
      </c>
      <c r="C11" t="s">
        <v>3153</v>
      </c>
      <c r="D11" t="s">
        <v>40</v>
      </c>
      <c r="F11" t="s">
        <v>3176</v>
      </c>
      <c r="G11" t="s">
        <v>3177</v>
      </c>
      <c r="H11" t="s">
        <v>3156</v>
      </c>
      <c r="I11" t="s">
        <v>428</v>
      </c>
      <c r="K11" t="s">
        <v>3178</v>
      </c>
    </row>
    <row r="12" spans="1:11" ht="14.45" x14ac:dyDescent="0.3">
      <c r="A12">
        <v>11</v>
      </c>
      <c r="B12" t="s">
        <v>3179</v>
      </c>
      <c r="C12" t="s">
        <v>3180</v>
      </c>
      <c r="D12" t="s">
        <v>40</v>
      </c>
      <c r="F12" t="s">
        <v>3181</v>
      </c>
      <c r="G12" t="s">
        <v>3182</v>
      </c>
      <c r="H12" t="s">
        <v>73</v>
      </c>
      <c r="I12" t="s">
        <v>428</v>
      </c>
      <c r="K12" t="s">
        <v>3183</v>
      </c>
    </row>
    <row r="13" spans="1:11" ht="14.45" x14ac:dyDescent="0.3">
      <c r="A13">
        <v>12</v>
      </c>
      <c r="B13" t="s">
        <v>723</v>
      </c>
      <c r="C13" t="s">
        <v>60</v>
      </c>
      <c r="D13" t="s">
        <v>3115</v>
      </c>
      <c r="F13" t="s">
        <v>3184</v>
      </c>
      <c r="G13" t="s">
        <v>3185</v>
      </c>
      <c r="H13" t="s">
        <v>60</v>
      </c>
      <c r="I13" t="s">
        <v>429</v>
      </c>
      <c r="K13" t="s">
        <v>3186</v>
      </c>
    </row>
    <row r="14" spans="1:11" x14ac:dyDescent="0.25">
      <c r="A14">
        <v>13</v>
      </c>
      <c r="B14" t="s">
        <v>3187</v>
      </c>
      <c r="C14" t="s">
        <v>60</v>
      </c>
      <c r="D14" t="s">
        <v>3115</v>
      </c>
      <c r="F14" t="s">
        <v>3188</v>
      </c>
      <c r="G14" t="s">
        <v>3189</v>
      </c>
      <c r="H14" t="s">
        <v>60</v>
      </c>
      <c r="I14" t="s">
        <v>429</v>
      </c>
      <c r="K14" t="s">
        <v>3190</v>
      </c>
    </row>
    <row r="15" spans="1:11" x14ac:dyDescent="0.25">
      <c r="A15">
        <v>14</v>
      </c>
      <c r="B15" t="s">
        <v>64</v>
      </c>
      <c r="C15" t="s">
        <v>60</v>
      </c>
      <c r="D15" t="s">
        <v>3115</v>
      </c>
      <c r="F15" t="s">
        <v>3188</v>
      </c>
      <c r="G15" t="s">
        <v>3191</v>
      </c>
      <c r="H15" t="s">
        <v>60</v>
      </c>
      <c r="I15" t="s">
        <v>429</v>
      </c>
      <c r="K15" t="s">
        <v>3190</v>
      </c>
    </row>
    <row r="16" spans="1:11" x14ac:dyDescent="0.25">
      <c r="A16">
        <v>15</v>
      </c>
      <c r="B16" t="s">
        <v>66</v>
      </c>
      <c r="C16" t="s">
        <v>60</v>
      </c>
      <c r="D16" t="s">
        <v>3115</v>
      </c>
      <c r="F16" t="s">
        <v>3188</v>
      </c>
      <c r="G16" t="s">
        <v>3192</v>
      </c>
      <c r="H16" t="s">
        <v>60</v>
      </c>
      <c r="I16" t="s">
        <v>429</v>
      </c>
      <c r="K16" t="s">
        <v>3190</v>
      </c>
    </row>
    <row r="17" spans="1:11" x14ac:dyDescent="0.25">
      <c r="A17">
        <v>16</v>
      </c>
      <c r="B17" t="s">
        <v>68</v>
      </c>
      <c r="C17" t="s">
        <v>60</v>
      </c>
      <c r="D17" t="s">
        <v>3115</v>
      </c>
      <c r="F17" t="s">
        <v>3188</v>
      </c>
      <c r="G17" t="s">
        <v>3193</v>
      </c>
      <c r="H17" t="s">
        <v>60</v>
      </c>
      <c r="I17" t="s">
        <v>429</v>
      </c>
      <c r="K17" t="s">
        <v>3190</v>
      </c>
    </row>
    <row r="18" spans="1:11" x14ac:dyDescent="0.25">
      <c r="A18">
        <v>17</v>
      </c>
      <c r="B18" t="s">
        <v>724</v>
      </c>
      <c r="C18" t="s">
        <v>3194</v>
      </c>
      <c r="D18" t="s">
        <v>3115</v>
      </c>
      <c r="F18" t="s">
        <v>3195</v>
      </c>
      <c r="G18" t="s">
        <v>3196</v>
      </c>
      <c r="H18" t="s">
        <v>3197</v>
      </c>
      <c r="I18" t="s">
        <v>429</v>
      </c>
      <c r="K18" t="s">
        <v>3198</v>
      </c>
    </row>
    <row r="19" spans="1:11" x14ac:dyDescent="0.25">
      <c r="A19">
        <v>18</v>
      </c>
      <c r="B19" t="s">
        <v>725</v>
      </c>
      <c r="C19" t="s">
        <v>3199</v>
      </c>
      <c r="D19" t="s">
        <v>3115</v>
      </c>
      <c r="F19" t="s">
        <v>3200</v>
      </c>
      <c r="G19" t="s">
        <v>3201</v>
      </c>
      <c r="H19" t="s">
        <v>3202</v>
      </c>
      <c r="I19" t="s">
        <v>429</v>
      </c>
      <c r="K19" t="s">
        <v>3203</v>
      </c>
    </row>
    <row r="20" spans="1:11" x14ac:dyDescent="0.25">
      <c r="A20">
        <v>19</v>
      </c>
      <c r="B20" t="s">
        <v>3204</v>
      </c>
      <c r="C20" t="s">
        <v>3199</v>
      </c>
      <c r="D20" t="s">
        <v>3115</v>
      </c>
      <c r="F20" t="s">
        <v>3205</v>
      </c>
      <c r="G20" t="s">
        <v>3206</v>
      </c>
      <c r="H20" t="s">
        <v>3202</v>
      </c>
      <c r="I20" t="s">
        <v>429</v>
      </c>
      <c r="K20" t="s">
        <v>3207</v>
      </c>
    </row>
    <row r="21" spans="1:11" x14ac:dyDescent="0.25">
      <c r="A21">
        <v>20</v>
      </c>
      <c r="B21" t="s">
        <v>3208</v>
      </c>
      <c r="C21" t="s">
        <v>3199</v>
      </c>
      <c r="D21" t="s">
        <v>3115</v>
      </c>
      <c r="F21" t="s">
        <v>3209</v>
      </c>
      <c r="G21" t="s">
        <v>3210</v>
      </c>
      <c r="H21" t="s">
        <v>3202</v>
      </c>
      <c r="I21" t="s">
        <v>429</v>
      </c>
      <c r="K21" t="s">
        <v>3211</v>
      </c>
    </row>
    <row r="22" spans="1:11" x14ac:dyDescent="0.25">
      <c r="A22">
        <v>22</v>
      </c>
      <c r="B22" t="s">
        <v>75</v>
      </c>
      <c r="C22" t="s">
        <v>3212</v>
      </c>
      <c r="D22" t="s">
        <v>3115</v>
      </c>
      <c r="F22" t="s">
        <v>3213</v>
      </c>
      <c r="G22" t="s">
        <v>3214</v>
      </c>
      <c r="H22" t="s">
        <v>3215</v>
      </c>
      <c r="I22" t="s">
        <v>429</v>
      </c>
      <c r="K22" t="s">
        <v>3216</v>
      </c>
    </row>
    <row r="23" spans="1:11" x14ac:dyDescent="0.25">
      <c r="A23">
        <v>23</v>
      </c>
      <c r="B23" t="s">
        <v>77</v>
      </c>
      <c r="C23" t="s">
        <v>43</v>
      </c>
      <c r="D23" t="s">
        <v>3115</v>
      </c>
      <c r="F23" t="s">
        <v>3217</v>
      </c>
      <c r="G23" t="s">
        <v>3218</v>
      </c>
      <c r="H23" t="s">
        <v>43</v>
      </c>
      <c r="I23" t="s">
        <v>429</v>
      </c>
      <c r="K23" t="s">
        <v>3219</v>
      </c>
    </row>
    <row r="24" spans="1:11" x14ac:dyDescent="0.25">
      <c r="A24">
        <v>24</v>
      </c>
      <c r="B24" t="s">
        <v>79</v>
      </c>
      <c r="C24" t="s">
        <v>3199</v>
      </c>
      <c r="D24" t="s">
        <v>3115</v>
      </c>
      <c r="F24" t="s">
        <v>3220</v>
      </c>
      <c r="G24" t="s">
        <v>3221</v>
      </c>
      <c r="H24" t="s">
        <v>3222</v>
      </c>
      <c r="I24" t="s">
        <v>429</v>
      </c>
      <c r="K24" t="s">
        <v>3223</v>
      </c>
    </row>
    <row r="25" spans="1:11" x14ac:dyDescent="0.25">
      <c r="A25">
        <v>25</v>
      </c>
      <c r="B25" t="s">
        <v>81</v>
      </c>
      <c r="C25" t="s">
        <v>3224</v>
      </c>
      <c r="D25" t="s">
        <v>3115</v>
      </c>
      <c r="F25" t="s">
        <v>81</v>
      </c>
      <c r="G25" t="s">
        <v>3225</v>
      </c>
      <c r="H25" t="s">
        <v>3226</v>
      </c>
      <c r="I25" t="s">
        <v>429</v>
      </c>
      <c r="K25" t="s">
        <v>3227</v>
      </c>
    </row>
    <row r="26" spans="1:11" x14ac:dyDescent="0.25">
      <c r="A26">
        <v>26</v>
      </c>
      <c r="B26" t="s">
        <v>3228</v>
      </c>
      <c r="C26" t="s">
        <v>3224</v>
      </c>
      <c r="D26" t="s">
        <v>3115</v>
      </c>
      <c r="F26" t="s">
        <v>3229</v>
      </c>
      <c r="G26" t="s">
        <v>3230</v>
      </c>
      <c r="H26" t="s">
        <v>3226</v>
      </c>
      <c r="I26" t="s">
        <v>429</v>
      </c>
      <c r="K26" t="s">
        <v>3231</v>
      </c>
    </row>
    <row r="27" spans="1:11" x14ac:dyDescent="0.25">
      <c r="A27">
        <v>27</v>
      </c>
      <c r="B27" t="s">
        <v>728</v>
      </c>
      <c r="C27" t="s">
        <v>3199</v>
      </c>
      <c r="D27" t="s">
        <v>3115</v>
      </c>
      <c r="F27" t="s">
        <v>728</v>
      </c>
      <c r="G27" t="s">
        <v>3232</v>
      </c>
      <c r="H27" t="s">
        <v>3202</v>
      </c>
      <c r="I27" t="s">
        <v>429</v>
      </c>
      <c r="K27" t="s">
        <v>3233</v>
      </c>
    </row>
    <row r="28" spans="1:11" x14ac:dyDescent="0.25">
      <c r="A28">
        <v>28</v>
      </c>
      <c r="B28" t="s">
        <v>3234</v>
      </c>
      <c r="C28" t="s">
        <v>3235</v>
      </c>
      <c r="D28" t="s">
        <v>3115</v>
      </c>
      <c r="F28" t="s">
        <v>729</v>
      </c>
      <c r="G28" t="s">
        <v>3236</v>
      </c>
      <c r="H28" t="s">
        <v>3237</v>
      </c>
      <c r="I28" t="s">
        <v>429</v>
      </c>
      <c r="K28" t="s">
        <v>3238</v>
      </c>
    </row>
    <row r="29" spans="1:11" ht="14.45" x14ac:dyDescent="0.3">
      <c r="A29">
        <v>29</v>
      </c>
      <c r="B29" t="s">
        <v>730</v>
      </c>
      <c r="C29" t="s">
        <v>3239</v>
      </c>
      <c r="D29" t="s">
        <v>3115</v>
      </c>
      <c r="F29" t="s">
        <v>730</v>
      </c>
      <c r="G29" t="s">
        <v>3240</v>
      </c>
      <c r="H29" t="s">
        <v>3241</v>
      </c>
      <c r="I29" t="s">
        <v>429</v>
      </c>
      <c r="K29" t="s">
        <v>3242</v>
      </c>
    </row>
    <row r="30" spans="1:11" ht="14.45" x14ac:dyDescent="0.3">
      <c r="A30">
        <v>30</v>
      </c>
      <c r="B30" t="s">
        <v>3243</v>
      </c>
      <c r="C30" t="s">
        <v>3239</v>
      </c>
      <c r="D30" t="s">
        <v>3115</v>
      </c>
      <c r="F30" t="s">
        <v>3243</v>
      </c>
      <c r="G30" t="s">
        <v>3244</v>
      </c>
      <c r="H30" t="s">
        <v>3241</v>
      </c>
      <c r="I30" t="s">
        <v>429</v>
      </c>
      <c r="K30" t="s">
        <v>3245</v>
      </c>
    </row>
    <row r="31" spans="1:11" x14ac:dyDescent="0.25">
      <c r="A31">
        <v>31</v>
      </c>
      <c r="B31" t="s">
        <v>3246</v>
      </c>
      <c r="C31" t="s">
        <v>3247</v>
      </c>
      <c r="D31" t="s">
        <v>3115</v>
      </c>
      <c r="F31" t="s">
        <v>3248</v>
      </c>
      <c r="G31" t="s">
        <v>3249</v>
      </c>
      <c r="H31" t="s">
        <v>3250</v>
      </c>
      <c r="I31" t="s">
        <v>429</v>
      </c>
      <c r="K31" t="s">
        <v>3251</v>
      </c>
    </row>
    <row r="32" spans="1:11" ht="14.45" x14ac:dyDescent="0.3">
      <c r="A32">
        <v>32</v>
      </c>
      <c r="B32" t="s">
        <v>3252</v>
      </c>
      <c r="C32" t="s">
        <v>3247</v>
      </c>
      <c r="D32" t="s">
        <v>3115</v>
      </c>
      <c r="F32" t="s">
        <v>3253</v>
      </c>
      <c r="G32" t="s">
        <v>3254</v>
      </c>
      <c r="H32" t="s">
        <v>3250</v>
      </c>
      <c r="I32" t="s">
        <v>429</v>
      </c>
      <c r="K32" t="s">
        <v>3255</v>
      </c>
    </row>
    <row r="33" spans="1:11" x14ac:dyDescent="0.25">
      <c r="A33">
        <v>33</v>
      </c>
      <c r="B33" t="s">
        <v>3256</v>
      </c>
      <c r="C33" t="s">
        <v>3180</v>
      </c>
      <c r="D33" t="s">
        <v>3115</v>
      </c>
      <c r="F33" t="s">
        <v>3257</v>
      </c>
      <c r="G33" t="s">
        <v>3258</v>
      </c>
      <c r="H33" t="s">
        <v>73</v>
      </c>
      <c r="I33" t="s">
        <v>429</v>
      </c>
      <c r="K33" t="s">
        <v>3259</v>
      </c>
    </row>
    <row r="34" spans="1:11" x14ac:dyDescent="0.25">
      <c r="A34">
        <v>34</v>
      </c>
      <c r="B34" t="s">
        <v>732</v>
      </c>
      <c r="C34" t="s">
        <v>3260</v>
      </c>
      <c r="D34" t="s">
        <v>3115</v>
      </c>
      <c r="F34" t="s">
        <v>3261</v>
      </c>
      <c r="G34" t="s">
        <v>3262</v>
      </c>
      <c r="H34" t="s">
        <v>3263</v>
      </c>
      <c r="I34" t="s">
        <v>429</v>
      </c>
      <c r="K34" t="s">
        <v>3264</v>
      </c>
    </row>
    <row r="35" spans="1:11" x14ac:dyDescent="0.25">
      <c r="A35">
        <v>35</v>
      </c>
      <c r="B35" t="s">
        <v>733</v>
      </c>
      <c r="C35" t="s">
        <v>3180</v>
      </c>
      <c r="D35" t="s">
        <v>3115</v>
      </c>
      <c r="F35" t="s">
        <v>3265</v>
      </c>
      <c r="G35" t="s">
        <v>3266</v>
      </c>
      <c r="H35" t="s">
        <v>73</v>
      </c>
      <c r="I35" t="s">
        <v>429</v>
      </c>
      <c r="K35" t="s">
        <v>3267</v>
      </c>
    </row>
    <row r="36" spans="1:11" x14ac:dyDescent="0.25">
      <c r="A36">
        <v>36</v>
      </c>
      <c r="B36" t="s">
        <v>336</v>
      </c>
      <c r="C36" t="s">
        <v>60</v>
      </c>
      <c r="D36" t="s">
        <v>3115</v>
      </c>
      <c r="F36" t="s">
        <v>3268</v>
      </c>
      <c r="G36" t="s">
        <v>3269</v>
      </c>
      <c r="H36" t="s">
        <v>60</v>
      </c>
      <c r="I36" t="s">
        <v>429</v>
      </c>
      <c r="K36" t="s">
        <v>3270</v>
      </c>
    </row>
    <row r="37" spans="1:11" x14ac:dyDescent="0.25">
      <c r="A37">
        <v>37</v>
      </c>
      <c r="B37" t="s">
        <v>3271</v>
      </c>
      <c r="C37" t="s">
        <v>3272</v>
      </c>
      <c r="D37" t="s">
        <v>3115</v>
      </c>
      <c r="F37" t="s">
        <v>3273</v>
      </c>
      <c r="G37" t="s">
        <v>3274</v>
      </c>
      <c r="H37" t="s">
        <v>3275</v>
      </c>
      <c r="I37" t="s">
        <v>429</v>
      </c>
      <c r="K37" t="s">
        <v>3276</v>
      </c>
    </row>
    <row r="38" spans="1:11" x14ac:dyDescent="0.25">
      <c r="A38">
        <v>39</v>
      </c>
      <c r="B38" t="s">
        <v>735</v>
      </c>
      <c r="C38" t="s">
        <v>3277</v>
      </c>
      <c r="D38" t="s">
        <v>3115</v>
      </c>
      <c r="F38" t="s">
        <v>3278</v>
      </c>
      <c r="G38" t="s">
        <v>3279</v>
      </c>
      <c r="H38" t="s">
        <v>3280</v>
      </c>
      <c r="I38" t="s">
        <v>429</v>
      </c>
      <c r="K38" t="s">
        <v>3281</v>
      </c>
    </row>
    <row r="39" spans="1:11" x14ac:dyDescent="0.25">
      <c r="A39">
        <v>40</v>
      </c>
      <c r="B39" t="s">
        <v>340</v>
      </c>
      <c r="C39" t="s">
        <v>3139</v>
      </c>
      <c r="D39" t="s">
        <v>3115</v>
      </c>
      <c r="F39" t="s">
        <v>3282</v>
      </c>
      <c r="G39" t="s">
        <v>3283</v>
      </c>
      <c r="H39" t="s">
        <v>3139</v>
      </c>
      <c r="I39" t="s">
        <v>429</v>
      </c>
      <c r="K39" t="s">
        <v>3284</v>
      </c>
    </row>
    <row r="40" spans="1:11" ht="14.45" x14ac:dyDescent="0.3">
      <c r="A40">
        <v>42</v>
      </c>
      <c r="B40" t="s">
        <v>736</v>
      </c>
      <c r="C40" t="s">
        <v>3285</v>
      </c>
      <c r="D40" t="s">
        <v>3115</v>
      </c>
      <c r="F40" t="s">
        <v>3286</v>
      </c>
      <c r="G40" t="s">
        <v>3287</v>
      </c>
      <c r="H40" t="s">
        <v>3288</v>
      </c>
      <c r="I40" t="s">
        <v>429</v>
      </c>
      <c r="K40" t="s">
        <v>3289</v>
      </c>
    </row>
    <row r="41" spans="1:11" x14ac:dyDescent="0.25">
      <c r="A41">
        <v>43</v>
      </c>
      <c r="B41" t="s">
        <v>737</v>
      </c>
      <c r="C41" t="s">
        <v>60</v>
      </c>
      <c r="D41" t="s">
        <v>3116</v>
      </c>
      <c r="F41" t="s">
        <v>3290</v>
      </c>
      <c r="G41" t="s">
        <v>3291</v>
      </c>
      <c r="H41" t="s">
        <v>60</v>
      </c>
      <c r="I41" t="s">
        <v>430</v>
      </c>
      <c r="K41" t="s">
        <v>3292</v>
      </c>
    </row>
    <row r="42" spans="1:11" x14ac:dyDescent="0.25">
      <c r="A42">
        <v>44</v>
      </c>
      <c r="B42" t="s">
        <v>346</v>
      </c>
      <c r="C42" t="s">
        <v>60</v>
      </c>
      <c r="D42" t="s">
        <v>3116</v>
      </c>
      <c r="F42" t="s">
        <v>3293</v>
      </c>
      <c r="G42" t="s">
        <v>3294</v>
      </c>
      <c r="H42" t="s">
        <v>60</v>
      </c>
      <c r="I42" t="s">
        <v>430</v>
      </c>
      <c r="K42" t="s">
        <v>3295</v>
      </c>
    </row>
    <row r="43" spans="1:11" x14ac:dyDescent="0.25">
      <c r="A43">
        <v>45</v>
      </c>
      <c r="B43" t="s">
        <v>348</v>
      </c>
      <c r="C43" t="s">
        <v>60</v>
      </c>
      <c r="D43" t="s">
        <v>3116</v>
      </c>
      <c r="F43" t="s">
        <v>3296</v>
      </c>
      <c r="G43" t="s">
        <v>3297</v>
      </c>
      <c r="H43" t="s">
        <v>60</v>
      </c>
      <c r="I43" t="s">
        <v>430</v>
      </c>
      <c r="K43" t="s">
        <v>3298</v>
      </c>
    </row>
    <row r="44" spans="1:11" x14ac:dyDescent="0.25">
      <c r="A44">
        <v>46</v>
      </c>
      <c r="B44" t="s">
        <v>350</v>
      </c>
      <c r="C44" t="s">
        <v>3299</v>
      </c>
      <c r="D44" t="s">
        <v>3116</v>
      </c>
      <c r="F44" t="s">
        <v>3300</v>
      </c>
      <c r="G44" t="s">
        <v>3301</v>
      </c>
      <c r="H44" t="s">
        <v>3302</v>
      </c>
      <c r="I44" t="s">
        <v>430</v>
      </c>
      <c r="K44" t="s">
        <v>3303</v>
      </c>
    </row>
    <row r="45" spans="1:11" x14ac:dyDescent="0.25">
      <c r="A45">
        <v>47</v>
      </c>
      <c r="B45" t="s">
        <v>738</v>
      </c>
      <c r="C45" t="s">
        <v>3299</v>
      </c>
      <c r="D45" t="s">
        <v>3116</v>
      </c>
      <c r="F45" t="s">
        <v>3304</v>
      </c>
      <c r="G45" t="s">
        <v>3305</v>
      </c>
      <c r="H45" t="s">
        <v>3302</v>
      </c>
      <c r="I45" t="s">
        <v>430</v>
      </c>
      <c r="K45" t="s">
        <v>3306</v>
      </c>
    </row>
    <row r="46" spans="1:11" x14ac:dyDescent="0.25">
      <c r="A46">
        <v>48</v>
      </c>
      <c r="B46" t="s">
        <v>353</v>
      </c>
      <c r="C46" t="s">
        <v>3307</v>
      </c>
      <c r="D46" t="s">
        <v>3116</v>
      </c>
      <c r="F46" t="s">
        <v>3308</v>
      </c>
      <c r="G46" t="s">
        <v>3309</v>
      </c>
      <c r="H46" t="s">
        <v>3310</v>
      </c>
      <c r="I46" t="s">
        <v>430</v>
      </c>
      <c r="K46" t="s">
        <v>3311</v>
      </c>
    </row>
    <row r="47" spans="1:11" x14ac:dyDescent="0.25">
      <c r="A47">
        <v>49</v>
      </c>
      <c r="B47" t="s">
        <v>355</v>
      </c>
      <c r="C47" t="s">
        <v>3312</v>
      </c>
      <c r="D47" t="s">
        <v>3116</v>
      </c>
      <c r="F47" t="s">
        <v>3313</v>
      </c>
      <c r="G47" t="s">
        <v>3314</v>
      </c>
      <c r="H47" t="s">
        <v>3315</v>
      </c>
      <c r="I47" t="s">
        <v>430</v>
      </c>
      <c r="K47" t="s">
        <v>3316</v>
      </c>
    </row>
    <row r="48" spans="1:11" x14ac:dyDescent="0.25">
      <c r="A48">
        <v>50</v>
      </c>
      <c r="B48" t="s">
        <v>357</v>
      </c>
      <c r="C48" t="s">
        <v>73</v>
      </c>
      <c r="D48" t="s">
        <v>3116</v>
      </c>
      <c r="F48" t="s">
        <v>3317</v>
      </c>
      <c r="G48" t="s">
        <v>3318</v>
      </c>
      <c r="H48" t="s">
        <v>73</v>
      </c>
      <c r="I48" t="s">
        <v>430</v>
      </c>
      <c r="K48" t="s">
        <v>3319</v>
      </c>
    </row>
    <row r="49" spans="1:11" x14ac:dyDescent="0.25">
      <c r="A49">
        <v>52</v>
      </c>
      <c r="B49" t="s">
        <v>739</v>
      </c>
      <c r="C49" t="s">
        <v>3320</v>
      </c>
      <c r="D49" t="s">
        <v>3116</v>
      </c>
      <c r="F49" t="s">
        <v>3321</v>
      </c>
      <c r="G49" t="s">
        <v>3322</v>
      </c>
      <c r="H49" t="s">
        <v>3226</v>
      </c>
      <c r="I49" t="s">
        <v>430</v>
      </c>
      <c r="K49" t="s">
        <v>3323</v>
      </c>
    </row>
    <row r="50" spans="1:11" ht="14.45" x14ac:dyDescent="0.3">
      <c r="A50">
        <v>53</v>
      </c>
      <c r="B50" t="s">
        <v>3324</v>
      </c>
      <c r="C50" t="s">
        <v>3325</v>
      </c>
      <c r="D50" t="s">
        <v>3116</v>
      </c>
      <c r="F50" t="s">
        <v>3326</v>
      </c>
      <c r="G50" t="s">
        <v>3327</v>
      </c>
      <c r="H50" t="s">
        <v>3237</v>
      </c>
      <c r="I50" t="s">
        <v>430</v>
      </c>
      <c r="K50" t="s">
        <v>3328</v>
      </c>
    </row>
    <row r="51" spans="1:11" ht="14.45" x14ac:dyDescent="0.3">
      <c r="A51">
        <v>54</v>
      </c>
      <c r="B51" t="s">
        <v>3329</v>
      </c>
      <c r="C51" t="s">
        <v>3330</v>
      </c>
      <c r="D51" t="s">
        <v>3116</v>
      </c>
      <c r="F51" t="s">
        <v>3331</v>
      </c>
      <c r="G51" t="s">
        <v>3332</v>
      </c>
      <c r="H51" t="s">
        <v>3330</v>
      </c>
      <c r="I51" t="s">
        <v>430</v>
      </c>
      <c r="K51" t="s">
        <v>3333</v>
      </c>
    </row>
    <row r="52" spans="1:11" x14ac:dyDescent="0.25">
      <c r="A52">
        <v>55</v>
      </c>
      <c r="B52" t="s">
        <v>3334</v>
      </c>
      <c r="C52" t="s">
        <v>3335</v>
      </c>
      <c r="D52" t="s">
        <v>3116</v>
      </c>
      <c r="F52" t="s">
        <v>3336</v>
      </c>
      <c r="G52" t="s">
        <v>3337</v>
      </c>
      <c r="H52" t="s">
        <v>3335</v>
      </c>
      <c r="I52" t="s">
        <v>430</v>
      </c>
      <c r="K52" t="s">
        <v>3338</v>
      </c>
    </row>
    <row r="53" spans="1:11" x14ac:dyDescent="0.25">
      <c r="A53">
        <v>56</v>
      </c>
      <c r="B53" t="s">
        <v>3339</v>
      </c>
      <c r="C53" t="s">
        <v>3180</v>
      </c>
      <c r="D53" t="s">
        <v>3116</v>
      </c>
      <c r="F53" t="s">
        <v>3340</v>
      </c>
      <c r="G53" t="s">
        <v>3341</v>
      </c>
      <c r="H53" t="s">
        <v>73</v>
      </c>
      <c r="I53" t="s">
        <v>430</v>
      </c>
      <c r="K53" t="s">
        <v>3342</v>
      </c>
    </row>
    <row r="54" spans="1:11" ht="14.45" x14ac:dyDescent="0.3">
      <c r="A54">
        <v>57</v>
      </c>
      <c r="B54" t="s">
        <v>3343</v>
      </c>
      <c r="C54" t="s">
        <v>3260</v>
      </c>
      <c r="D54" t="s">
        <v>3116</v>
      </c>
      <c r="F54" t="s">
        <v>3344</v>
      </c>
      <c r="G54" t="s">
        <v>3345</v>
      </c>
      <c r="H54" t="s">
        <v>3263</v>
      </c>
      <c r="I54" t="s">
        <v>430</v>
      </c>
      <c r="K54" t="s">
        <v>3346</v>
      </c>
    </row>
    <row r="55" spans="1:11" ht="14.45" x14ac:dyDescent="0.3">
      <c r="A55">
        <v>58</v>
      </c>
      <c r="B55" t="s">
        <v>3347</v>
      </c>
      <c r="C55" t="s">
        <v>3180</v>
      </c>
      <c r="D55" t="s">
        <v>3116</v>
      </c>
      <c r="F55" t="s">
        <v>3348</v>
      </c>
      <c r="G55" t="s">
        <v>3349</v>
      </c>
      <c r="H55" t="s">
        <v>73</v>
      </c>
      <c r="I55" t="s">
        <v>430</v>
      </c>
      <c r="K55" t="s">
        <v>3350</v>
      </c>
    </row>
    <row r="56" spans="1:11" x14ac:dyDescent="0.25">
      <c r="A56">
        <v>59</v>
      </c>
      <c r="B56" t="s">
        <v>3351</v>
      </c>
      <c r="C56" t="s">
        <v>3352</v>
      </c>
      <c r="D56" t="s">
        <v>3116</v>
      </c>
      <c r="F56" t="s">
        <v>3353</v>
      </c>
      <c r="G56" t="s">
        <v>3354</v>
      </c>
      <c r="H56" t="s">
        <v>3355</v>
      </c>
      <c r="I56" t="s">
        <v>430</v>
      </c>
      <c r="K56" t="s">
        <v>3356</v>
      </c>
    </row>
    <row r="57" spans="1:11" x14ac:dyDescent="0.25">
      <c r="A57">
        <v>60</v>
      </c>
      <c r="B57" t="s">
        <v>746</v>
      </c>
      <c r="C57" t="s">
        <v>3352</v>
      </c>
      <c r="D57" t="s">
        <v>3116</v>
      </c>
      <c r="F57" t="s">
        <v>3357</v>
      </c>
      <c r="G57" t="s">
        <v>3358</v>
      </c>
      <c r="H57" t="s">
        <v>3355</v>
      </c>
      <c r="I57" t="s">
        <v>430</v>
      </c>
      <c r="K57" t="s">
        <v>3359</v>
      </c>
    </row>
    <row r="58" spans="1:11" x14ac:dyDescent="0.25">
      <c r="A58">
        <v>61</v>
      </c>
      <c r="B58" t="s">
        <v>747</v>
      </c>
      <c r="C58" t="s">
        <v>3360</v>
      </c>
      <c r="D58" t="s">
        <v>3116</v>
      </c>
      <c r="F58" t="s">
        <v>3361</v>
      </c>
      <c r="G58" t="s">
        <v>3362</v>
      </c>
      <c r="H58" t="s">
        <v>3360</v>
      </c>
      <c r="I58" t="s">
        <v>430</v>
      </c>
      <c r="K58" t="s">
        <v>3363</v>
      </c>
    </row>
    <row r="59" spans="1:11" x14ac:dyDescent="0.25">
      <c r="A59">
        <v>62</v>
      </c>
      <c r="B59" t="s">
        <v>748</v>
      </c>
      <c r="C59" t="s">
        <v>3364</v>
      </c>
      <c r="D59" t="s">
        <v>1270</v>
      </c>
      <c r="F59" t="s">
        <v>3365</v>
      </c>
      <c r="G59" t="s">
        <v>3366</v>
      </c>
      <c r="H59" t="s">
        <v>3367</v>
      </c>
      <c r="I59" t="s">
        <v>749</v>
      </c>
      <c r="K59" t="s">
        <v>3368</v>
      </c>
    </row>
    <row r="60" spans="1:11" x14ac:dyDescent="0.25">
      <c r="A60">
        <v>63</v>
      </c>
      <c r="B60" t="s">
        <v>3369</v>
      </c>
      <c r="C60" t="s">
        <v>3370</v>
      </c>
      <c r="D60" t="s">
        <v>1270</v>
      </c>
      <c r="F60" t="s">
        <v>3371</v>
      </c>
      <c r="G60" t="s">
        <v>3372</v>
      </c>
      <c r="H60" t="s">
        <v>3373</v>
      </c>
      <c r="I60" t="s">
        <v>749</v>
      </c>
      <c r="K60" t="s">
        <v>3374</v>
      </c>
    </row>
    <row r="61" spans="1:11" x14ac:dyDescent="0.25">
      <c r="A61">
        <v>64</v>
      </c>
      <c r="B61" t="s">
        <v>3375</v>
      </c>
      <c r="C61" t="s">
        <v>3376</v>
      </c>
      <c r="D61" t="s">
        <v>1270</v>
      </c>
      <c r="F61" t="s">
        <v>3377</v>
      </c>
      <c r="G61" t="s">
        <v>3378</v>
      </c>
      <c r="H61" t="s">
        <v>3379</v>
      </c>
      <c r="I61" t="s">
        <v>749</v>
      </c>
      <c r="K61" t="s">
        <v>3380</v>
      </c>
    </row>
    <row r="62" spans="1:11" x14ac:dyDescent="0.25">
      <c r="A62">
        <v>65</v>
      </c>
      <c r="B62" t="s">
        <v>3381</v>
      </c>
      <c r="C62" t="s">
        <v>3382</v>
      </c>
      <c r="D62" t="s">
        <v>1270</v>
      </c>
      <c r="F62" t="s">
        <v>3383</v>
      </c>
      <c r="G62" t="s">
        <v>3384</v>
      </c>
      <c r="H62" t="s">
        <v>3385</v>
      </c>
      <c r="I62" t="s">
        <v>749</v>
      </c>
      <c r="K62" t="s">
        <v>3386</v>
      </c>
    </row>
    <row r="63" spans="1:11" x14ac:dyDescent="0.25">
      <c r="A63">
        <v>66</v>
      </c>
      <c r="B63" t="s">
        <v>3387</v>
      </c>
      <c r="C63" t="s">
        <v>3180</v>
      </c>
      <c r="D63" t="s">
        <v>1270</v>
      </c>
      <c r="F63" t="s">
        <v>3388</v>
      </c>
      <c r="G63" t="s">
        <v>3389</v>
      </c>
      <c r="H63" t="s">
        <v>73</v>
      </c>
      <c r="I63" t="s">
        <v>749</v>
      </c>
      <c r="K63" t="s">
        <v>3390</v>
      </c>
    </row>
    <row r="64" spans="1:11" x14ac:dyDescent="0.25">
      <c r="A64">
        <v>67</v>
      </c>
      <c r="B64" t="s">
        <v>3391</v>
      </c>
      <c r="C64" t="s">
        <v>3180</v>
      </c>
      <c r="D64" t="s">
        <v>1270</v>
      </c>
      <c r="F64" t="s">
        <v>3392</v>
      </c>
      <c r="G64" t="s">
        <v>3393</v>
      </c>
      <c r="H64" t="s">
        <v>73</v>
      </c>
      <c r="I64" t="s">
        <v>749</v>
      </c>
      <c r="K64" t="s">
        <v>3394</v>
      </c>
    </row>
    <row r="65" spans="1:11" x14ac:dyDescent="0.25">
      <c r="A65">
        <v>68</v>
      </c>
      <c r="B65" t="s">
        <v>752</v>
      </c>
      <c r="C65" t="s">
        <v>3260</v>
      </c>
      <c r="D65" t="s">
        <v>1270</v>
      </c>
      <c r="F65" t="s">
        <v>3395</v>
      </c>
      <c r="G65" t="s">
        <v>3396</v>
      </c>
      <c r="H65" t="s">
        <v>3263</v>
      </c>
      <c r="I65" t="s">
        <v>749</v>
      </c>
      <c r="K65" t="s">
        <v>3397</v>
      </c>
    </row>
    <row r="66" spans="1:11" x14ac:dyDescent="0.25">
      <c r="A66">
        <v>69</v>
      </c>
      <c r="B66" t="s">
        <v>383</v>
      </c>
      <c r="C66" t="s">
        <v>3398</v>
      </c>
      <c r="D66" t="s">
        <v>1271</v>
      </c>
      <c r="F66" t="s">
        <v>3399</v>
      </c>
      <c r="G66" t="s">
        <v>3400</v>
      </c>
      <c r="H66" t="s">
        <v>3401</v>
      </c>
      <c r="I66" t="s">
        <v>88</v>
      </c>
      <c r="K66" t="s">
        <v>3402</v>
      </c>
    </row>
    <row r="67" spans="1:11" x14ac:dyDescent="0.25">
      <c r="A67">
        <v>70</v>
      </c>
      <c r="B67" t="s">
        <v>385</v>
      </c>
      <c r="C67" t="s">
        <v>43</v>
      </c>
      <c r="D67" t="s">
        <v>1271</v>
      </c>
      <c r="F67" t="s">
        <v>3403</v>
      </c>
      <c r="G67" t="s">
        <v>3404</v>
      </c>
      <c r="H67" t="s">
        <v>43</v>
      </c>
      <c r="I67" t="s">
        <v>88</v>
      </c>
      <c r="K67" t="s">
        <v>3405</v>
      </c>
    </row>
    <row r="68" spans="1:11" x14ac:dyDescent="0.25">
      <c r="A68">
        <v>71</v>
      </c>
      <c r="B68" t="s">
        <v>3406</v>
      </c>
      <c r="C68" t="s">
        <v>3407</v>
      </c>
      <c r="D68" t="s">
        <v>1271</v>
      </c>
      <c r="F68" t="s">
        <v>3408</v>
      </c>
      <c r="G68" t="s">
        <v>3409</v>
      </c>
      <c r="H68" t="s">
        <v>3410</v>
      </c>
      <c r="I68" t="s">
        <v>88</v>
      </c>
      <c r="K68" t="s">
        <v>3411</v>
      </c>
    </row>
    <row r="69" spans="1:11" x14ac:dyDescent="0.25">
      <c r="A69">
        <v>72</v>
      </c>
      <c r="B69" t="s">
        <v>3412</v>
      </c>
      <c r="C69" t="s">
        <v>3382</v>
      </c>
      <c r="D69" t="s">
        <v>1271</v>
      </c>
      <c r="F69" t="s">
        <v>3413</v>
      </c>
      <c r="G69" t="s">
        <v>3414</v>
      </c>
      <c r="H69" t="s">
        <v>3385</v>
      </c>
      <c r="I69" t="s">
        <v>88</v>
      </c>
      <c r="K69" t="s">
        <v>3415</v>
      </c>
    </row>
    <row r="70" spans="1:11" x14ac:dyDescent="0.25">
      <c r="A70">
        <v>73</v>
      </c>
      <c r="B70" t="s">
        <v>391</v>
      </c>
      <c r="C70" t="s">
        <v>3416</v>
      </c>
      <c r="D70" t="s">
        <v>1271</v>
      </c>
      <c r="F70" t="s">
        <v>3417</v>
      </c>
      <c r="G70" t="s">
        <v>3418</v>
      </c>
      <c r="H70" t="s">
        <v>3419</v>
      </c>
      <c r="I70" t="s">
        <v>88</v>
      </c>
      <c r="K70" t="s">
        <v>3420</v>
      </c>
    </row>
    <row r="71" spans="1:11" x14ac:dyDescent="0.25">
      <c r="A71">
        <v>74</v>
      </c>
      <c r="B71" t="s">
        <v>393</v>
      </c>
      <c r="C71" t="s">
        <v>3180</v>
      </c>
      <c r="D71" t="s">
        <v>1271</v>
      </c>
      <c r="F71" t="s">
        <v>3421</v>
      </c>
      <c r="G71" t="s">
        <v>3422</v>
      </c>
      <c r="H71" t="s">
        <v>73</v>
      </c>
      <c r="I71" t="s">
        <v>88</v>
      </c>
      <c r="K71" t="s">
        <v>3423</v>
      </c>
    </row>
    <row r="72" spans="1:11" x14ac:dyDescent="0.25">
      <c r="A72">
        <v>75</v>
      </c>
      <c r="B72" t="s">
        <v>3424</v>
      </c>
      <c r="C72" t="s">
        <v>3180</v>
      </c>
      <c r="D72" t="s">
        <v>1271</v>
      </c>
      <c r="F72" t="s">
        <v>3425</v>
      </c>
      <c r="G72" t="s">
        <v>3426</v>
      </c>
      <c r="H72" t="s">
        <v>73</v>
      </c>
      <c r="I72" t="s">
        <v>88</v>
      </c>
      <c r="K72" t="s">
        <v>3427</v>
      </c>
    </row>
    <row r="73" spans="1:11" x14ac:dyDescent="0.25">
      <c r="A73">
        <v>76</v>
      </c>
      <c r="B73" t="s">
        <v>3428</v>
      </c>
      <c r="C73" t="s">
        <v>3180</v>
      </c>
      <c r="D73" t="s">
        <v>1271</v>
      </c>
      <c r="F73" t="s">
        <v>3429</v>
      </c>
      <c r="G73" t="s">
        <v>3430</v>
      </c>
      <c r="H73" t="s">
        <v>73</v>
      </c>
      <c r="I73" t="s">
        <v>88</v>
      </c>
      <c r="K73" t="s">
        <v>3431</v>
      </c>
    </row>
    <row r="74" spans="1:11" x14ac:dyDescent="0.25">
      <c r="A74">
        <v>77</v>
      </c>
      <c r="B74" t="s">
        <v>3432</v>
      </c>
      <c r="C74" t="s">
        <v>3180</v>
      </c>
      <c r="D74" t="s">
        <v>1271</v>
      </c>
      <c r="F74" t="s">
        <v>3433</v>
      </c>
      <c r="G74" t="s">
        <v>3434</v>
      </c>
      <c r="H74" t="s">
        <v>73</v>
      </c>
      <c r="I74" t="s">
        <v>88</v>
      </c>
      <c r="K74" t="s">
        <v>3435</v>
      </c>
    </row>
    <row r="75" spans="1:11" x14ac:dyDescent="0.25">
      <c r="A75">
        <v>78</v>
      </c>
      <c r="B75" t="s">
        <v>3436</v>
      </c>
      <c r="C75" t="s">
        <v>3437</v>
      </c>
      <c r="D75" t="s">
        <v>1271</v>
      </c>
      <c r="F75" t="s">
        <v>3438</v>
      </c>
      <c r="G75" t="s">
        <v>3439</v>
      </c>
      <c r="H75" t="s">
        <v>3437</v>
      </c>
      <c r="I75" t="s">
        <v>88</v>
      </c>
      <c r="K75" t="s">
        <v>3440</v>
      </c>
    </row>
    <row r="76" spans="1:11" x14ac:dyDescent="0.25">
      <c r="A76">
        <v>79</v>
      </c>
      <c r="B76" t="s">
        <v>3441</v>
      </c>
      <c r="C76" t="s">
        <v>3180</v>
      </c>
      <c r="D76" t="s">
        <v>1271</v>
      </c>
      <c r="F76" t="s">
        <v>3442</v>
      </c>
      <c r="G76" t="s">
        <v>3443</v>
      </c>
      <c r="H76" t="s">
        <v>73</v>
      </c>
      <c r="I76" t="s">
        <v>88</v>
      </c>
      <c r="K76" t="s">
        <v>3444</v>
      </c>
    </row>
    <row r="77" spans="1:11" x14ac:dyDescent="0.25">
      <c r="A77">
        <v>80</v>
      </c>
      <c r="B77" t="s">
        <v>3445</v>
      </c>
      <c r="C77" t="s">
        <v>3180</v>
      </c>
      <c r="D77" t="s">
        <v>1271</v>
      </c>
      <c r="F77" t="s">
        <v>3446</v>
      </c>
      <c r="G77" t="s">
        <v>3447</v>
      </c>
      <c r="H77" t="s">
        <v>73</v>
      </c>
      <c r="I77" t="s">
        <v>88</v>
      </c>
      <c r="K77" t="s">
        <v>3448</v>
      </c>
    </row>
    <row r="78" spans="1:11" x14ac:dyDescent="0.25">
      <c r="A78">
        <v>82</v>
      </c>
      <c r="B78" t="s">
        <v>3449</v>
      </c>
      <c r="C78" t="s">
        <v>3360</v>
      </c>
      <c r="D78" t="s">
        <v>1271</v>
      </c>
      <c r="F78" t="s">
        <v>3450</v>
      </c>
      <c r="G78" t="s">
        <v>3451</v>
      </c>
      <c r="H78" t="s">
        <v>3360</v>
      </c>
      <c r="I78" t="s">
        <v>88</v>
      </c>
      <c r="K78" t="s">
        <v>3452</v>
      </c>
    </row>
    <row r="79" spans="1:11" x14ac:dyDescent="0.25">
      <c r="A79">
        <v>83</v>
      </c>
      <c r="B79" t="s">
        <v>755</v>
      </c>
      <c r="C79" t="s">
        <v>3453</v>
      </c>
      <c r="D79" t="s">
        <v>1271</v>
      </c>
      <c r="F79" t="s">
        <v>3454</v>
      </c>
      <c r="G79" t="s">
        <v>3455</v>
      </c>
      <c r="H79" t="s">
        <v>3453</v>
      </c>
      <c r="I79" t="s">
        <v>88</v>
      </c>
      <c r="K79" t="s">
        <v>3456</v>
      </c>
    </row>
    <row r="80" spans="1:11" x14ac:dyDescent="0.25">
      <c r="A80">
        <v>88</v>
      </c>
      <c r="B80" t="s">
        <v>410</v>
      </c>
      <c r="C80" t="s">
        <v>3382</v>
      </c>
      <c r="D80" t="s">
        <v>3117</v>
      </c>
      <c r="F80" t="s">
        <v>3457</v>
      </c>
      <c r="G80" t="s">
        <v>3458</v>
      </c>
      <c r="H80" t="s">
        <v>3385</v>
      </c>
      <c r="I80" t="s">
        <v>3459</v>
      </c>
      <c r="K80" t="s">
        <v>3460</v>
      </c>
    </row>
    <row r="81" spans="1:11" x14ac:dyDescent="0.25">
      <c r="A81">
        <v>89</v>
      </c>
      <c r="B81" t="s">
        <v>756</v>
      </c>
      <c r="C81" t="s">
        <v>3382</v>
      </c>
      <c r="D81" t="s">
        <v>3117</v>
      </c>
      <c r="F81" t="s">
        <v>3461</v>
      </c>
      <c r="G81" t="s">
        <v>3462</v>
      </c>
      <c r="H81" t="s">
        <v>3385</v>
      </c>
      <c r="I81" t="s">
        <v>3459</v>
      </c>
      <c r="K81" t="s">
        <v>3463</v>
      </c>
    </row>
    <row r="82" spans="1:11" x14ac:dyDescent="0.25">
      <c r="A82">
        <v>93</v>
      </c>
      <c r="B82" t="s">
        <v>757</v>
      </c>
      <c r="C82" t="s">
        <v>43</v>
      </c>
      <c r="D82" t="s">
        <v>3117</v>
      </c>
      <c r="F82" t="s">
        <v>3464</v>
      </c>
      <c r="G82" t="s">
        <v>3465</v>
      </c>
      <c r="H82" t="s">
        <v>43</v>
      </c>
      <c r="I82" t="s">
        <v>3459</v>
      </c>
      <c r="K82" t="s">
        <v>3466</v>
      </c>
    </row>
    <row r="83" spans="1:11" x14ac:dyDescent="0.25">
      <c r="A83">
        <v>94</v>
      </c>
      <c r="B83" t="s">
        <v>3499</v>
      </c>
      <c r="C83" t="s">
        <v>43</v>
      </c>
      <c r="D83" t="s">
        <v>3117</v>
      </c>
      <c r="F83" t="s">
        <v>3467</v>
      </c>
      <c r="G83" t="s">
        <v>3500</v>
      </c>
      <c r="H83" t="s">
        <v>43</v>
      </c>
      <c r="I83" t="s">
        <v>3459</v>
      </c>
      <c r="K83" t="s">
        <v>3468</v>
      </c>
    </row>
    <row r="84" spans="1:11" x14ac:dyDescent="0.25">
      <c r="A84">
        <v>95</v>
      </c>
      <c r="B84" t="s">
        <v>708</v>
      </c>
      <c r="C84" t="s">
        <v>3139</v>
      </c>
      <c r="D84" t="s">
        <v>3117</v>
      </c>
      <c r="F84" t="s">
        <v>3469</v>
      </c>
      <c r="G84" t="s">
        <v>3470</v>
      </c>
      <c r="H84" t="s">
        <v>3139</v>
      </c>
      <c r="I84" t="s">
        <v>88</v>
      </c>
      <c r="K84" t="s">
        <v>3471</v>
      </c>
    </row>
    <row r="85" spans="1:11" x14ac:dyDescent="0.25">
      <c r="A85">
        <v>96</v>
      </c>
      <c r="B85" t="s">
        <v>710</v>
      </c>
      <c r="C85" t="s">
        <v>3472</v>
      </c>
      <c r="D85" t="s">
        <v>3117</v>
      </c>
      <c r="F85" t="s">
        <v>3473</v>
      </c>
      <c r="G85" t="s">
        <v>3474</v>
      </c>
      <c r="H85" t="s">
        <v>3475</v>
      </c>
      <c r="I85" t="s">
        <v>88</v>
      </c>
      <c r="K85" t="s">
        <v>3476</v>
      </c>
    </row>
    <row r="86" spans="1:11" x14ac:dyDescent="0.25">
      <c r="A86">
        <v>97</v>
      </c>
      <c r="B86" t="s">
        <v>3477</v>
      </c>
      <c r="C86" t="s">
        <v>3478</v>
      </c>
      <c r="D86" t="s">
        <v>3117</v>
      </c>
      <c r="F86" t="s">
        <v>3479</v>
      </c>
      <c r="G86" t="s">
        <v>3480</v>
      </c>
      <c r="H86" t="s">
        <v>3481</v>
      </c>
      <c r="I86" t="s">
        <v>88</v>
      </c>
      <c r="K86" t="s">
        <v>3482</v>
      </c>
    </row>
    <row r="87" spans="1:11" x14ac:dyDescent="0.25">
      <c r="A87">
        <v>98</v>
      </c>
      <c r="B87" t="s">
        <v>714</v>
      </c>
      <c r="C87" t="s">
        <v>3483</v>
      </c>
      <c r="D87" t="s">
        <v>3117</v>
      </c>
      <c r="F87" t="s">
        <v>3484</v>
      </c>
      <c r="G87" t="s">
        <v>3485</v>
      </c>
      <c r="H87" t="s">
        <v>3486</v>
      </c>
      <c r="I87" t="s">
        <v>88</v>
      </c>
      <c r="K87" t="s">
        <v>3487</v>
      </c>
    </row>
    <row r="88" spans="1:11" x14ac:dyDescent="0.25">
      <c r="A88">
        <v>99</v>
      </c>
      <c r="B88" t="s">
        <v>554</v>
      </c>
      <c r="C88" t="s">
        <v>43</v>
      </c>
      <c r="D88" t="s">
        <v>3117</v>
      </c>
      <c r="F88" t="s">
        <v>3488</v>
      </c>
      <c r="G88" t="s">
        <v>3489</v>
      </c>
      <c r="H88" t="s">
        <v>43</v>
      </c>
      <c r="I88" t="s">
        <v>3459</v>
      </c>
      <c r="K88" t="s">
        <v>3490</v>
      </c>
    </row>
    <row r="89" spans="1:11" x14ac:dyDescent="0.25">
      <c r="A89">
        <v>100</v>
      </c>
      <c r="B89" t="s">
        <v>555</v>
      </c>
      <c r="C89" t="s">
        <v>43</v>
      </c>
      <c r="D89" t="s">
        <v>3117</v>
      </c>
      <c r="F89" t="s">
        <v>3491</v>
      </c>
      <c r="G89" t="s">
        <v>3492</v>
      </c>
      <c r="H89" t="s">
        <v>43</v>
      </c>
      <c r="I89" t="s">
        <v>3459</v>
      </c>
      <c r="K89" t="s">
        <v>3493</v>
      </c>
    </row>
  </sheetData>
  <pageMargins left="0.7" right="0.7" top="0.75" bottom="0.75" header="0.3" footer="0.3"/>
  <pageSetup orientation="portrait" r:id="rId1"/>
  <headerFooter>
    <oddHeader>&amp;LAnuario de Transporte de Carga y Logística 2014, BID</oddHeader>
    <oddFooter>&amp;LObservatorio Regional de Transporte de Carga y Logistica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item1.xml><?xml version="1.0" encoding="utf-8"?>
<?mso-contentType ?>
<SharedContentType xmlns="Microsoft.SharePoint.Taxonomy.ContentTypeSync" SourceId="ae61f9b1-e23d-4f49-b3d7-56b991556c4b" ContentTypeId="0x010100ACF722E9F6B0B149B0CD8BE2560A6672" PreviousValue="false"/>
</file>

<file path=customXml/item2.xml><?xml version="1.0" encoding="utf-8"?>
<?mso-contentType ?>
<SharedContentType xmlns="Microsoft.SharePoint.Taxonomy.ContentTypeSync" SourceId="ae61f9b1-e23d-4f49-b3d7-56b991556c4b" ContentTypeId="0x010100ACF722E9F6B0B149B0CD8BE2560A667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Project_x0020_Document_x0020_Type xmlns="cdc7663a-08f0-4737-9e8c-148ce897a09c" xsi:nil="true"/>
    <Record_x0020_Number xmlns="cdc7663a-08f0-4737-9e8c-148ce897a09c">R0002948848</Record_x0020_Number>
    <Key_x0020_Document xmlns="cdc7663a-08f0-4737-9e8c-148ce897a09c">false</Key_x0020_Document>
    <Division_x0020_or_x0020_Unit xmlns="cdc7663a-08f0-4737-9e8c-148ce897a09c">INE/TSP</Division_x0020_or_x0020_Unit>
    <Other_x0020_Author xmlns="cdc7663a-08f0-4737-9e8c-148ce897a09c" xsi:nil="true"/>
    <IDBDocs_x0020_Number xmlns="cdc7663a-08f0-4737-9e8c-148ce897a09c">39556482</IDBDocs_x0020_Number>
    <Document_x0020_Author xmlns="cdc7663a-08f0-4737-9e8c-148ce897a09c">Camilo Javier, Anna Isabel</Document_x0020_Author>
    <Operation_x0020_Type xmlns="cdc7663a-08f0-4737-9e8c-148ce897a09c" xsi:nil="true"/>
    <TaxCatchAll xmlns="cdc7663a-08f0-4737-9e8c-148ce897a09c"/>
    <Fiscal_x0020_Year_x0020_IDB xmlns="cdc7663a-08f0-4737-9e8c-148ce897a09c">2015</Fiscal_x0020_Year_x0020_IDB>
    <Project_x0020_Number xmlns="cdc7663a-08f0-4737-9e8c-148ce897a09c">RG-T1897</Project_x0020_Number>
    <Package_x0020_Code xmlns="cdc7663a-08f0-4737-9e8c-148ce897a09c" xsi:nil="true"/>
    <Migration_x0020_Info xmlns="cdc7663a-08f0-4737-9e8c-148ce897a09c">MS EXCELTECHSTTechnical StudiesMANAGERManager0N</Migration_x0020_Info>
    <Approval_x0020_Number xmlns="cdc7663a-08f0-4737-9e8c-148ce897a09c" xsi:nil="true"/>
    <Business_x0020_Area xmlns="cdc7663a-08f0-4737-9e8c-148ce897a09c" xsi:nil="true"/>
    <SISCOR_x0020_Number xmlns="cdc7663a-08f0-4737-9e8c-148ce897a09c" xsi:nil="true"/>
    <Identifier xmlns="cdc7663a-08f0-4737-9e8c-148ce897a09c"> MAIN DOC</Identifier>
    <Document_x0020_Language_x0020_IDB xmlns="cdc7663a-08f0-4737-9e8c-148ce897a09c">English</Document_x0020_Language_x0020_IDB>
    <Phase xmlns="cdc7663a-08f0-4737-9e8c-148ce897a09c" xsi:nil="true"/>
    <Access_x0020_to_x0020_Information_x00a0_Policy xmlns="cdc7663a-08f0-4737-9e8c-148ce897a09c">Public</Access_x0020_to_x0020_Information_x00a0_Policy>
    <b26cdb1da78c4bb4b1c1bac2f6ac5911 xmlns="cdc7663a-08f0-4737-9e8c-148ce897a09c">
      <Terms xmlns="http://schemas.microsoft.com/office/infopath/2007/PartnerControls"/>
    </b26cdb1da78c4bb4b1c1bac2f6ac5911>
    <ic46d7e087fd4a108fb86518ca413cc6 xmlns="cdc7663a-08f0-4737-9e8c-148ce897a09c">
      <Terms xmlns="http://schemas.microsoft.com/office/infopath/2007/PartnerControls"/>
    </ic46d7e087fd4a108fb86518ca413cc6>
    <e46fe2894295491da65140ffd2369f49 xmlns="cdc7663a-08f0-4737-9e8c-148ce897a09c">
      <Terms xmlns="http://schemas.microsoft.com/office/infopath/2007/PartnerControls"/>
    </e46fe2894295491da65140ffd2369f49>
    <b2ec7cfb18674cb8803df6b262e8b107 xmlns="cdc7663a-08f0-4737-9e8c-148ce897a09c">
      <Terms xmlns="http://schemas.microsoft.com/office/infopath/2007/PartnerControls"/>
    </b2ec7cfb18674cb8803df6b262e8b107>
    <g511464f9e53401d84b16fa9b379a574 xmlns="cdc7663a-08f0-4737-9e8c-148ce897a09c">
      <Terms xmlns="http://schemas.microsoft.com/office/infopath/2007/PartnerControls"/>
    </g511464f9e53401d84b16fa9b379a574>
    <Related_x0020_SisCor_x0020_Number xmlns="cdc7663a-08f0-4737-9e8c-148ce897a09c" xsi:nil="true"/>
    <nddeef1749674d76abdbe4b239a70bc6 xmlns="cdc7663a-08f0-4737-9e8c-148ce897a09c">
      <Terms xmlns="http://schemas.microsoft.com/office/infopath/2007/PartnerControls"/>
    </nddeef1749674d76abdbe4b239a70bc6>
    <_dlc_DocId xmlns="cdc7663a-08f0-4737-9e8c-148ce897a09c">EZSHARE-424797092-41815</_dlc_DocId>
    <From_x003a_ xmlns="cdc7663a-08f0-4737-9e8c-148ce897a09c" xsi:nil="true"/>
    <To_x003a_ xmlns="cdc7663a-08f0-4737-9e8c-148ce897a09c" xsi:nil="true"/>
    <_dlc_DocIdUrl xmlns="cdc7663a-08f0-4737-9e8c-148ce897a09c">
      <Url>https://idbg.sharepoint.com/teams/EZ-RG-TCP/RG-T1897/_layouts/15/DocIdRedir.aspx?ID=EZSHARE-424797092-41815</Url>
      <Description>EZSHARE-424797092-41815</Description>
    </_dlc_DocIdUrl>
  </documentManagement>
</p:properties>
</file>

<file path=customXml/item6.xml><?xml version="1.0" encoding="utf-8"?>
<ct:contentTypeSchema xmlns:ct="http://schemas.microsoft.com/office/2006/metadata/contentType" xmlns:ma="http://schemas.microsoft.com/office/2006/metadata/properties/metaAttributes" ct:_="" ma:_="" ma:contentTypeName="ez-Operations" ma:contentTypeID="0x010100ACF722E9F6B0B149B0CD8BE2560A667200FCA483CF2173914AA173DA3C286B2CB2" ma:contentTypeVersion="1187" ma:contentTypeDescription="The base project type from which other project content types inherit their information." ma:contentTypeScope="" ma:versionID="d0c62fcf62ff7bb8a195a2364849ee4f">
  <xsd:schema xmlns:xsd="http://www.w3.org/2001/XMLSchema" xmlns:xs="http://www.w3.org/2001/XMLSchema" xmlns:p="http://schemas.microsoft.com/office/2006/metadata/properties" xmlns:ns2="cdc7663a-08f0-4737-9e8c-148ce897a09c" targetNamespace="http://schemas.microsoft.com/office/2006/metadata/properties" ma:root="true" ma:fieldsID="c088abeffe89ebfc144d2ebfdf70b57f"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b26cdb1da78c4bb4b1c1bac2f6ac5911" minOccurs="0"/>
                <xsd:element ref="ns2:TaxCatchAll" minOccurs="0"/>
                <xsd:element ref="ns2:TaxCatchAllLabel" minOccurs="0"/>
                <xsd:element ref="ns2:Project_x0020_Number"/>
                <xsd:element ref="ns2:Access_x0020_to_x0020_Information_x00a0_Policy"/>
                <xsd:element ref="ns2:Document_x0020_Author" minOccurs="0"/>
                <xsd:element ref="ns2:Other_x0020_Author" minOccurs="0"/>
                <xsd:element ref="ns2:Approval_x0020_Number" minOccurs="0"/>
                <xsd:element ref="ns2:g511464f9e53401d84b16fa9b379a574" minOccurs="0"/>
                <xsd:element ref="ns2:Division_x0020_or_x0020_Unit" minOccurs="0"/>
                <xsd:element ref="ns2:Document_x0020_Language_x0020_IDB" minOccurs="0"/>
                <xsd:element ref="ns2:From_x003a_" minOccurs="0"/>
                <xsd:element ref="ns2:To_x003a_" minOccurs="0"/>
                <xsd:element ref="ns2:Identifier" minOccurs="0"/>
                <xsd:element ref="ns2:Fiscal_x0020_Year_x0020_IDB" minOccurs="0"/>
                <xsd:element ref="ns2:ic46d7e087fd4a108fb86518ca413cc6" minOccurs="0"/>
                <xsd:element ref="ns2:nddeef1749674d76abdbe4b239a70bc6" minOccurs="0"/>
                <xsd:element ref="ns2:b2ec7cfb18674cb8803df6b262e8b107" minOccurs="0"/>
                <xsd:element ref="ns2:Phase" minOccurs="0"/>
                <xsd:element ref="ns2:Key_x0020_Document" minOccurs="0"/>
                <xsd:element ref="ns2:Business_x0020_Area" minOccurs="0"/>
                <xsd:element ref="ns2:Project_x0020_Document_x0020_Type" minOccurs="0"/>
                <xsd:element ref="ns2:Operation_x0020_Type" minOccurs="0"/>
                <xsd:element ref="ns2:Package_x0020_Code" minOccurs="0"/>
                <xsd:element ref="ns2:e46fe2894295491da65140ffd2369f49" minOccurs="0"/>
                <xsd:element ref="ns2:SISCOR_x0020_Number" minOccurs="0"/>
                <xsd:element ref="ns2:IDBDocs_x0020_Number" minOccurs="0"/>
                <xsd:element ref="ns2:Migration_x0020_Info" minOccurs="0"/>
                <xsd:element ref="ns2:Record_x0020_Number" minOccurs="0"/>
                <xsd:element ref="ns2:Related_x0020_SisCor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b26cdb1da78c4bb4b1c1bac2f6ac5911" ma:index="11"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21e8572-655e-4c0d-bfdb-c52ee7bb5839}" ma:internalName="TaxCatchAll" ma:showField="CatchAllData"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21e8572-655e-4c0d-bfdb-c52ee7bb5839}" ma:internalName="TaxCatchAllLabel" ma:readOnly="true" ma:showField="CatchAllDataLabel"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Project_x0020_Number" ma:index="15" ma:displayName="Project Number" ma:default="RG-T1897" ma:internalName="Project_x0020_Number">
      <xsd:simpleType>
        <xsd:restriction base="dms:Text">
          <xsd:maxLength value="255"/>
        </xsd:restriction>
      </xsd:simpleType>
    </xsd:element>
    <xsd:element name="Access_x0020_to_x0020_Information_x00a0_Policy" ma:index="16"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Document_x0020_Author" ma:index="17" nillable="true" ma:displayName="Document Author" ma:internalName="Document_x0020_Author">
      <xsd:simpleType>
        <xsd:restriction base="dms:Text">
          <xsd:maxLength value="255"/>
        </xsd:restriction>
      </xsd:simpleType>
    </xsd:element>
    <xsd:element name="Other_x0020_Author" ma:index="18" nillable="true" ma:displayName="Other Author" ma:internalName="Other_x0020_Author">
      <xsd:simpleType>
        <xsd:restriction base="dms:Text">
          <xsd:maxLength value="255"/>
        </xsd:restriction>
      </xsd:simpleType>
    </xsd:element>
    <xsd:element name="Approval_x0020_Number" ma:index="19" nillable="true" ma:displayName="Approval Number" ma:internalName="Approval_x0020_Number">
      <xsd:simpleType>
        <xsd:restriction base="dms:Text">
          <xsd:maxLength value="255"/>
        </xsd:restriction>
      </xsd:simpleType>
    </xsd:element>
    <xsd:element name="g511464f9e53401d84b16fa9b379a574" ma:index="20"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Division_x0020_or_x0020_Unit" ma:index="22" nillable="true" ma:displayName="Division or Unit" ma:internalName="Division_x0020_or_x0020_Unit">
      <xsd:simpleType>
        <xsd:restriction base="dms:Text">
          <xsd:maxLength value="255"/>
        </xsd:restriction>
      </xsd:simpleType>
    </xsd:element>
    <xsd:element name="Document_x0020_Language_x0020_IDB" ma:index="23" nillable="true" ma:displayName="Document Language IDB" ma:format="Dropdown" ma:internalName="Document_x0020_Language_x0020_IDB">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From_x003a_" ma:index="24" nillable="true" ma:displayName="From:" ma:description="Sender name from email message" ma:internalName="From_x003A_">
      <xsd:simpleType>
        <xsd:restriction base="dms:Text">
          <xsd:maxLength value="255"/>
        </xsd:restriction>
      </xsd:simpleType>
    </xsd:element>
    <xsd:element name="To_x003a_" ma:index="25" nillable="true" ma:displayName="To:" ma:description="Addressee names from email message&#10;" ma:internalName="To_x003A_">
      <xsd:simpleType>
        <xsd:restriction base="dms:Text">
          <xsd:maxLength value="255"/>
        </xsd:restriction>
      </xsd:simpleType>
    </xsd:element>
    <xsd:element name="Identifier" ma:index="26" nillable="true" ma:displayName="Identifier" ma:internalName="Identifier">
      <xsd:simpleType>
        <xsd:restriction base="dms:Text">
          <xsd:maxLength value="255"/>
        </xsd:restriction>
      </xsd:simpleType>
    </xsd:element>
    <xsd:element name="Fiscal_x0020_Year_x0020_IDB" ma:index="27" nillable="true" ma:displayName="Fiscal Year IDB" ma:internalName="Fiscal_x0020_Year_x0020_IDB">
      <xsd:simpleType>
        <xsd:restriction base="dms:Text">
          <xsd:maxLength value="255"/>
        </xsd:restriction>
      </xsd:simpleType>
    </xsd:element>
    <xsd:element name="ic46d7e087fd4a108fb86518ca413cc6" ma:index="28"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nddeef1749674d76abdbe4b239a70bc6" ma:index="30"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32"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Phase" ma:index="34" nillable="true" ma:displayName="Phase" ma:internalName="Phase">
      <xsd:simpleType>
        <xsd:restriction base="dms:Text">
          <xsd:maxLength value="255"/>
        </xsd:restriction>
      </xsd:simpleType>
    </xsd:element>
    <xsd:element name="Key_x0020_Document" ma:index="35" nillable="true" ma:displayName="Key Document" ma:default="0" ma:internalName="Key_x0020_Document">
      <xsd:simpleType>
        <xsd:restriction base="dms:Boolean"/>
      </xsd:simpleType>
    </xsd:element>
    <xsd:element name="Business_x0020_Area" ma:index="36" nillable="true" ma:displayName="Business Area" ma:internalName="Business_x0020_Area">
      <xsd:simpleType>
        <xsd:restriction base="dms:Text">
          <xsd:maxLength value="255"/>
        </xsd:restriction>
      </xsd:simpleType>
    </xsd:element>
    <xsd:element name="Project_x0020_Document_x0020_Type" ma:index="37" nillable="true" ma:displayName="Project Document Type" ma:internalName="Project_x0020_Document_x0020_Type">
      <xsd:simpleType>
        <xsd:restriction base="dms:Text">
          <xsd:maxLength value="255"/>
        </xsd:restriction>
      </xsd:simpleType>
    </xsd:element>
    <xsd:element name="Operation_x0020_Type" ma:index="38" nillable="true" ma:displayName="Operation Type" ma:internalName="Operation_x0020_Type">
      <xsd:simpleType>
        <xsd:restriction base="dms:Text">
          <xsd:maxLength value="255"/>
        </xsd:restriction>
      </xsd:simpleType>
    </xsd:element>
    <xsd:element name="Package_x0020_Code" ma:index="39" nillable="true" ma:displayName="Package Code" ma:internalName="Package_x0020_Code">
      <xsd:simpleType>
        <xsd:restriction base="dms:Text">
          <xsd:maxLength value="255"/>
        </xsd:restriction>
      </xsd:simpleType>
    </xsd:element>
    <xsd:element name="e46fe2894295491da65140ffd2369f49" ma:index="40" nillable="true" ma:taxonomy="true" ma:internalName="e46fe2894295491da65140ffd2369f49" ma:taxonomyFieldName="Function_x0020_Operations_x0020_IDB" ma:displayName="Function Operations IDB"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SISCOR_x0020_Number" ma:index="42" nillable="true" ma:displayName="SISCOR Number" ma:internalName="SISCOR_x0020_Number">
      <xsd:simpleType>
        <xsd:restriction base="dms:Text">
          <xsd:maxLength value="255"/>
        </xsd:restriction>
      </xsd:simpleType>
    </xsd:element>
    <xsd:element name="IDBDocs_x0020_Number" ma:index="43" nillable="true" ma:displayName="IDBDocs Number" ma:internalName="IDBDocs_x0020_Number">
      <xsd:simpleType>
        <xsd:restriction base="dms:Text">
          <xsd:maxLength value="255"/>
        </xsd:restriction>
      </xsd:simpleType>
    </xsd:element>
    <xsd:element name="Migration_x0020_Info" ma:index="44" nillable="true" ma:displayName="Migration Info" ma:internalName="Migration_x0020_Info">
      <xsd:simpleType>
        <xsd:restriction base="dms:Note"/>
      </xsd:simpleType>
    </xsd:element>
    <xsd:element name="Record_x0020_Number" ma:index="45" nillable="true" ma:displayName="Record Number" ma:internalName="Record_x0020_Number">
      <xsd:simpleType>
        <xsd:restriction base="dms:Text">
          <xsd:maxLength value="255"/>
        </xsd:restriction>
      </xsd:simpleType>
    </xsd:element>
    <xsd:element name="Related_x0020_SisCor_x0020_Number" ma:index="46" nillable="true" ma:displayName="Related SisCor Number" ma:internalName="Related_x0020_SisCor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ct:contentTypeSchema xmlns:ct="http://schemas.microsoft.com/office/2006/metadata/contentType" xmlns:ma="http://schemas.microsoft.com/office/2006/metadata/properties/metaAttributes" ct:_="" ma:_="" ma:contentTypeName="ez-Operations" ma:contentTypeID="0x010100ACF722E9F6B0B149B0CD8BE2560A667200FCA483CF2173914AA173DA3C286B2CB2" ma:contentTypeVersion="2840" ma:contentTypeDescription="The base project type from which other project content types inherit their information." ma:contentTypeScope="" ma:versionID="9ffd847a1bb944fd8cbb0e2634cef1f2">
  <xsd:schema xmlns:xsd="http://www.w3.org/2001/XMLSchema" xmlns:xs="http://www.w3.org/2001/XMLSchema" xmlns:p="http://schemas.microsoft.com/office/2006/metadata/properties" xmlns:ns2="cdc7663a-08f0-4737-9e8c-148ce897a09c" targetNamespace="http://schemas.microsoft.com/office/2006/metadata/properties" ma:root="true" ma:fieldsID="9824962175d40f12f34444e4e4a26c8d"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b26cdb1da78c4bb4b1c1bac2f6ac5911" minOccurs="0"/>
                <xsd:element ref="ns2:TaxCatchAll" minOccurs="0"/>
                <xsd:element ref="ns2:TaxCatchAllLabel" minOccurs="0"/>
                <xsd:element ref="ns2:Project_x0020_Number"/>
                <xsd:element ref="ns2:Access_x0020_to_x0020_Information_x00a0_Policy"/>
                <xsd:element ref="ns2:Document_x0020_Author" minOccurs="0"/>
                <xsd:element ref="ns2:Other_x0020_Author" minOccurs="0"/>
                <xsd:element ref="ns2:Approval_x0020_Number" minOccurs="0"/>
                <xsd:element ref="ns2:g511464f9e53401d84b16fa9b379a574" minOccurs="0"/>
                <xsd:element ref="ns2:Division_x0020_or_x0020_Unit" minOccurs="0"/>
                <xsd:element ref="ns2:Document_x0020_Language_x0020_IDB" minOccurs="0"/>
                <xsd:element ref="ns2:From_x003a_" minOccurs="0"/>
                <xsd:element ref="ns2:To_x003a_" minOccurs="0"/>
                <xsd:element ref="ns2:Identifier" minOccurs="0"/>
                <xsd:element ref="ns2:Fiscal_x0020_Year_x0020_IDB" minOccurs="0"/>
                <xsd:element ref="ns2:ic46d7e087fd4a108fb86518ca413cc6" minOccurs="0"/>
                <xsd:element ref="ns2:nddeef1749674d76abdbe4b239a70bc6" minOccurs="0"/>
                <xsd:element ref="ns2:b2ec7cfb18674cb8803df6b262e8b107" minOccurs="0"/>
                <xsd:element ref="ns2:Phase" minOccurs="0"/>
                <xsd:element ref="ns2:Key_x0020_Document" minOccurs="0"/>
                <xsd:element ref="ns2:Business_x0020_Area" minOccurs="0"/>
                <xsd:element ref="ns2:Project_x0020_Document_x0020_Type" minOccurs="0"/>
                <xsd:element ref="ns2:Operation_x0020_Type" minOccurs="0"/>
                <xsd:element ref="ns2:Package_x0020_Code" minOccurs="0"/>
                <xsd:element ref="ns2:e46fe2894295491da65140ffd2369f49" minOccurs="0"/>
                <xsd:element ref="ns2:SISCOR_x0020_Number" minOccurs="0"/>
                <xsd:element ref="ns2:IDBDocs_x0020_Number" minOccurs="0"/>
                <xsd:element ref="ns2:Migration_x0020_Info" minOccurs="0"/>
                <xsd:element ref="ns2:Record_x0020_Number" minOccurs="0"/>
                <xsd:element ref="ns2:Related_x0020_SisCor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b26cdb1da78c4bb4b1c1bac2f6ac5911" ma:index="11"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21e8572-655e-4c0d-bfdb-c52ee7bb5839}" ma:internalName="TaxCatchAll" ma:showField="CatchAllData"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21e8572-655e-4c0d-bfdb-c52ee7bb5839}" ma:internalName="TaxCatchAllLabel" ma:readOnly="true" ma:showField="CatchAllDataLabel"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Project_x0020_Number" ma:index="15" ma:displayName="Project Number" ma:default="RG-T1897" ma:internalName="Project_x0020_Number">
      <xsd:simpleType>
        <xsd:restriction base="dms:Text">
          <xsd:maxLength value="255"/>
        </xsd:restriction>
      </xsd:simpleType>
    </xsd:element>
    <xsd:element name="Access_x0020_to_x0020_Information_x00a0_Policy" ma:index="16"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Document_x0020_Author" ma:index="17" nillable="true" ma:displayName="Document Author" ma:internalName="Document_x0020_Author">
      <xsd:simpleType>
        <xsd:restriction base="dms:Text">
          <xsd:maxLength value="255"/>
        </xsd:restriction>
      </xsd:simpleType>
    </xsd:element>
    <xsd:element name="Other_x0020_Author" ma:index="18" nillable="true" ma:displayName="Other Author" ma:internalName="Other_x0020_Author">
      <xsd:simpleType>
        <xsd:restriction base="dms:Text">
          <xsd:maxLength value="255"/>
        </xsd:restriction>
      </xsd:simpleType>
    </xsd:element>
    <xsd:element name="Approval_x0020_Number" ma:index="19" nillable="true" ma:displayName="Approval Number" ma:internalName="Approval_x0020_Number">
      <xsd:simpleType>
        <xsd:restriction base="dms:Text">
          <xsd:maxLength value="255"/>
        </xsd:restriction>
      </xsd:simpleType>
    </xsd:element>
    <xsd:element name="g511464f9e53401d84b16fa9b379a574" ma:index="20"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Division_x0020_or_x0020_Unit" ma:index="22" nillable="true" ma:displayName="Division or Unit" ma:internalName="Division_x0020_or_x0020_Unit">
      <xsd:simpleType>
        <xsd:restriction base="dms:Text">
          <xsd:maxLength value="255"/>
        </xsd:restriction>
      </xsd:simpleType>
    </xsd:element>
    <xsd:element name="Document_x0020_Language_x0020_IDB" ma:index="23" nillable="true" ma:displayName="Document Language IDB" ma:format="Dropdown" ma:internalName="Document_x0020_Language_x0020_IDB">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From_x003a_" ma:index="24" nillable="true" ma:displayName="From:" ma:description="Sender name from email message" ma:internalName="From_x003A_">
      <xsd:simpleType>
        <xsd:restriction base="dms:Text">
          <xsd:maxLength value="255"/>
        </xsd:restriction>
      </xsd:simpleType>
    </xsd:element>
    <xsd:element name="To_x003a_" ma:index="25" nillable="true" ma:displayName="To:" ma:description="Addressee names from email message&#10;" ma:internalName="To_x003A_">
      <xsd:simpleType>
        <xsd:restriction base="dms:Text">
          <xsd:maxLength value="255"/>
        </xsd:restriction>
      </xsd:simpleType>
    </xsd:element>
    <xsd:element name="Identifier" ma:index="26" nillable="true" ma:displayName="Identifier" ma:internalName="Identifier">
      <xsd:simpleType>
        <xsd:restriction base="dms:Text">
          <xsd:maxLength value="255"/>
        </xsd:restriction>
      </xsd:simpleType>
    </xsd:element>
    <xsd:element name="Fiscal_x0020_Year_x0020_IDB" ma:index="27" nillable="true" ma:displayName="Fiscal Year IDB" ma:internalName="Fiscal_x0020_Year_x0020_IDB">
      <xsd:simpleType>
        <xsd:restriction base="dms:Text">
          <xsd:maxLength value="255"/>
        </xsd:restriction>
      </xsd:simpleType>
    </xsd:element>
    <xsd:element name="ic46d7e087fd4a108fb86518ca413cc6" ma:index="28"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nddeef1749674d76abdbe4b239a70bc6" ma:index="30"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32"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Phase" ma:index="34" nillable="true" ma:displayName="Phase" ma:internalName="Phase">
      <xsd:simpleType>
        <xsd:restriction base="dms:Text">
          <xsd:maxLength value="255"/>
        </xsd:restriction>
      </xsd:simpleType>
    </xsd:element>
    <xsd:element name="Key_x0020_Document" ma:index="35" nillable="true" ma:displayName="Key Document" ma:default="0" ma:internalName="Key_x0020_Document">
      <xsd:simpleType>
        <xsd:restriction base="dms:Boolean"/>
      </xsd:simpleType>
    </xsd:element>
    <xsd:element name="Business_x0020_Area" ma:index="36" nillable="true" ma:displayName="Business Area" ma:internalName="Business_x0020_Area">
      <xsd:simpleType>
        <xsd:restriction base="dms:Text">
          <xsd:maxLength value="255"/>
        </xsd:restriction>
      </xsd:simpleType>
    </xsd:element>
    <xsd:element name="Project_x0020_Document_x0020_Type" ma:index="37" nillable="true" ma:displayName="Project Document Type" ma:internalName="Project_x0020_Document_x0020_Type">
      <xsd:simpleType>
        <xsd:restriction base="dms:Text">
          <xsd:maxLength value="255"/>
        </xsd:restriction>
      </xsd:simpleType>
    </xsd:element>
    <xsd:element name="Operation_x0020_Type" ma:index="38" nillable="true" ma:displayName="Operation Type" ma:internalName="Operation_x0020_Type">
      <xsd:simpleType>
        <xsd:restriction base="dms:Text">
          <xsd:maxLength value="255"/>
        </xsd:restriction>
      </xsd:simpleType>
    </xsd:element>
    <xsd:element name="Package_x0020_Code" ma:index="39" nillable="true" ma:displayName="Package Code" ma:internalName="Package_x0020_Code">
      <xsd:simpleType>
        <xsd:restriction base="dms:Text">
          <xsd:maxLength value="255"/>
        </xsd:restriction>
      </xsd:simpleType>
    </xsd:element>
    <xsd:element name="e46fe2894295491da65140ffd2369f49" ma:index="40" nillable="true" ma:taxonomy="true" ma:internalName="e46fe2894295491da65140ffd2369f49" ma:taxonomyFieldName="Function_x0020_Operations_x0020_IDB" ma:displayName="Function Operations IDB"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SISCOR_x0020_Number" ma:index="42" nillable="true" ma:displayName="SISCOR Number" ma:internalName="SISCOR_x0020_Number">
      <xsd:simpleType>
        <xsd:restriction base="dms:Text">
          <xsd:maxLength value="255"/>
        </xsd:restriction>
      </xsd:simpleType>
    </xsd:element>
    <xsd:element name="IDBDocs_x0020_Number" ma:index="43" nillable="true" ma:displayName="IDBDocs Number" ma:internalName="IDBDocs_x0020_Number">
      <xsd:simpleType>
        <xsd:restriction base="dms:Text">
          <xsd:maxLength value="255"/>
        </xsd:restriction>
      </xsd:simpleType>
    </xsd:element>
    <xsd:element name="Migration_x0020_Info" ma:index="44" nillable="true" ma:displayName="Migration Info" ma:internalName="Migration_x0020_Info">
      <xsd:simpleType>
        <xsd:restriction base="dms:Note"/>
      </xsd:simpleType>
    </xsd:element>
    <xsd:element name="Record_x0020_Number" ma:index="45" nillable="true" ma:displayName="Record Number" ma:internalName="Record_x0020_Number">
      <xsd:simpleType>
        <xsd:restriction base="dms:Text">
          <xsd:maxLength value="255"/>
        </xsd:restriction>
      </xsd:simpleType>
    </xsd:element>
    <xsd:element name="Related_x0020_SisCor_x0020_Number" ma:index="46" nillable="true" ma:displayName="Related SisCor Number" ma:internalName="Related_x0020_SisCor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8"?>
<?mso-contentType ?>
<FormUrls xmlns="http://schemas.microsoft.com/sharepoint/v3/contenttype/forms/url">
  <Display>_catalogs/masterpage/ECMForms/OperationsCT/View.aspx</Display>
  <Edit>_catalogs/masterpage/ECMForms/OperationsCT/Edit.aspx</Edit>
</FormUrls>
</file>

<file path=customXml/itemProps1.xml><?xml version="1.0" encoding="utf-8"?>
<ds:datastoreItem xmlns:ds="http://schemas.openxmlformats.org/officeDocument/2006/customXml" ds:itemID="{609190C1-591D-4C02-B1B5-7CA1D94F32D4}"/>
</file>

<file path=customXml/itemProps2.xml><?xml version="1.0" encoding="utf-8"?>
<ds:datastoreItem xmlns:ds="http://schemas.openxmlformats.org/officeDocument/2006/customXml" ds:itemID="{AF2C960F-EFB3-41FE-B22F-949774EBF42E}"/>
</file>

<file path=customXml/itemProps3.xml><?xml version="1.0" encoding="utf-8"?>
<ds:datastoreItem xmlns:ds="http://schemas.openxmlformats.org/officeDocument/2006/customXml" ds:itemID="{44D36229-2893-472E-A063-7811F7FAD056}"/>
</file>

<file path=customXml/itemProps4.xml><?xml version="1.0" encoding="utf-8"?>
<ds:datastoreItem xmlns:ds="http://schemas.openxmlformats.org/officeDocument/2006/customXml" ds:itemID="{01254E50-30F0-450C-9D7D-005D2614291C}"/>
</file>

<file path=customXml/itemProps5.xml><?xml version="1.0" encoding="utf-8"?>
<ds:datastoreItem xmlns:ds="http://schemas.openxmlformats.org/officeDocument/2006/customXml" ds:itemID="{3BF82890-06E8-46B0-8746-3F9E5E2D92B7}"/>
</file>

<file path=customXml/itemProps6.xml><?xml version="1.0" encoding="utf-8"?>
<ds:datastoreItem xmlns:ds="http://schemas.openxmlformats.org/officeDocument/2006/customXml" ds:itemID="{F9A95938-C2B4-4F2C-8445-0AD0EB3E770F}"/>
</file>

<file path=customXml/itemProps7.xml><?xml version="1.0" encoding="utf-8"?>
<ds:datastoreItem xmlns:ds="http://schemas.openxmlformats.org/officeDocument/2006/customXml" ds:itemID="{DE456313-481B-448D-A956-33B015811C0E}"/>
</file>

<file path=customXml/itemProps8.xml><?xml version="1.0" encoding="utf-8"?>
<ds:datastoreItem xmlns:ds="http://schemas.openxmlformats.org/officeDocument/2006/customXml" ds:itemID="{E1909CE0-1EB8-476C-9450-EC9DD96152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Home</vt:lpstr>
      <vt:lpstr>Indicator_Ranking</vt:lpstr>
      <vt:lpstr>Tables</vt:lpstr>
      <vt:lpstr>Country_Summary</vt:lpstr>
      <vt:lpstr>Country_Datasheet</vt:lpstr>
      <vt:lpstr>Scatterplot</vt:lpstr>
      <vt:lpstr>Methodology</vt:lpstr>
      <vt:lpstr>Data_Availability</vt:lpstr>
      <vt:lpstr>Country_Datasheet!Print_Area</vt:lpstr>
      <vt:lpstr>Country_Summary!Print_Area</vt:lpstr>
      <vt:lpstr>Data_Availability!Print_Area</vt:lpstr>
      <vt:lpstr>Home!Print_Area</vt:lpstr>
      <vt:lpstr>Indicator_Ranking!Print_Area</vt:lpstr>
      <vt:lpstr>Scatterplot!Print_Area</vt:lpstr>
      <vt:lpstr>Tables!Print_Area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Freight and Logistics Yearbook Data Base</dc:title>
  <dc:creator>PABLOGU@iadb.org</dc:creator>
  <cp:lastModifiedBy>Test</cp:lastModifiedBy>
  <cp:lastPrinted>2014-07-09T10:43:42Z</cp:lastPrinted>
  <dcterms:created xsi:type="dcterms:W3CDTF">2012-09-17T14:27:02Z</dcterms:created>
  <dcterms:modified xsi:type="dcterms:W3CDTF">2015-04-08T18:40:25Z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Sub_x002d_Sector">
    <vt:lpwstr/>
  </property>
  <property fmtid="{D5CDD505-2E9C-101B-9397-08002B2CF9AE}" pid="4" name="ContentTypeId">
    <vt:lpwstr>0x010100ACF722E9F6B0B149B0CD8BE2560A667200FCA483CF2173914AA173DA3C286B2CB2</vt:lpwstr>
  </property>
  <property fmtid="{D5CDD505-2E9C-101B-9397-08002B2CF9AE}" pid="5" name="TaxKeywordTaxHTField">
    <vt:lpwstr/>
  </property>
  <property fmtid="{D5CDD505-2E9C-101B-9397-08002B2CF9AE}" pid="6" name="Series Operations IDB">
    <vt:lpwstr>5;#Unclassified|a6dff32e-d477-44cd-a56b-85efe9e0a56c</vt:lpwstr>
  </property>
  <property fmtid="{D5CDD505-2E9C-101B-9397-08002B2CF9AE}" pid="7" name="Sub-Sector">
    <vt:lpwstr/>
  </property>
  <property fmtid="{D5CDD505-2E9C-101B-9397-08002B2CF9AE}" pid="8" name="Country">
    <vt:lpwstr/>
  </property>
  <property fmtid="{D5CDD505-2E9C-101B-9397-08002B2CF9AE}" pid="9" name="Fund IDB">
    <vt:lpwstr/>
  </property>
  <property fmtid="{D5CDD505-2E9C-101B-9397-08002B2CF9AE}" pid="10" name="Series_x0020_Operations_x0020_IDB">
    <vt:lpwstr>5;#Unclassified|a6dff32e-d477-44cd-a56b-85efe9e0a56c</vt:lpwstr>
  </property>
  <property fmtid="{D5CDD505-2E9C-101B-9397-08002B2CF9AE}" pid="11" name="To:">
    <vt:lpwstr/>
  </property>
  <property fmtid="{D5CDD505-2E9C-101B-9397-08002B2CF9AE}" pid="12" name="From:">
    <vt:lpwstr/>
  </property>
  <property fmtid="{D5CDD505-2E9C-101B-9397-08002B2CF9AE}" pid="13" name="Sector IDB">
    <vt:lpwstr/>
  </property>
  <property fmtid="{D5CDD505-2E9C-101B-9397-08002B2CF9AE}" pid="14" name="Function Operations IDB">
    <vt:lpwstr/>
  </property>
  <property fmtid="{D5CDD505-2E9C-101B-9397-08002B2CF9AE}" pid="16" name="Disclosure Activity">
    <vt:lpwstr>Technical Studies</vt:lpwstr>
  </property>
  <property fmtid="{D5CDD505-2E9C-101B-9397-08002B2CF9AE}" pid="20" name="Webtopic">
    <vt:lpwstr>Ports and Airports;Highways and Roads;Transportation</vt:lpwstr>
  </property>
  <property fmtid="{D5CDD505-2E9C-101B-9397-08002B2CF9AE}" pid="22" name="Disclosed">
    <vt:bool>true</vt:bool>
  </property>
  <property fmtid="{D5CDD505-2E9C-101B-9397-08002B2CF9AE}" pid="26" name="_dlc_DocIdItemGuid">
    <vt:lpwstr>67d56ff3-6feb-48e3-a197-1ec6b2406792</vt:lpwstr>
  </property>
</Properties>
</file>