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bg.sharepoint.com/sites/SCLLMK_BiggersharebiggerPie/Shared Documents/Labor Cost Technical Note/To upload/"/>
    </mc:Choice>
  </mc:AlternateContent>
  <xr:revisionPtr revIDLastSave="1191" documentId="8_{320FAF80-7E17-4BC4-8528-B225DE3C311B}" xr6:coauthVersionLast="47" xr6:coauthVersionMax="47" xr10:uidLastSave="{90FD0BC7-EB59-4C30-A711-C63A8B09C86B}"/>
  <bookViews>
    <workbookView xWindow="-110" yWindow="-110" windowWidth="17020" windowHeight="10000" tabRatio="794" xr2:uid="{00000000-000D-0000-FFFF-FFFF00000000}"/>
  </bookViews>
  <sheets>
    <sheet name="ARG" sheetId="13" r:id="rId1"/>
    <sheet name="BOL" sheetId="5" r:id="rId2"/>
    <sheet name="BRA" sheetId="14" r:id="rId3"/>
    <sheet name="CHL" sheetId="6" r:id="rId4"/>
    <sheet name="COL" sheetId="1" r:id="rId5"/>
    <sheet name="CRI" sheetId="15" r:id="rId6"/>
    <sheet name="DOM" sheetId="19" r:id="rId7"/>
    <sheet name="ECU" sheetId="10" r:id="rId8"/>
    <sheet name="GTM" sheetId="11" r:id="rId9"/>
    <sheet name="HND" sheetId="12" r:id="rId10"/>
    <sheet name="JAM" sheetId="21" r:id="rId11"/>
    <sheet name="MEX" sheetId="9" r:id="rId12"/>
    <sheet name="NIC" sheetId="4" state="hidden" r:id="rId13"/>
    <sheet name="PAN" sheetId="16" r:id="rId14"/>
    <sheet name="PRY" sheetId="17" r:id="rId15"/>
    <sheet name="PER" sheetId="7" r:id="rId16"/>
    <sheet name="SLV" sheetId="18" r:id="rId17"/>
    <sheet name="URY" sheetId="8" r:id="rId18"/>
    <sheet name="VEN" sheetId="20" r:id="rId19"/>
    <sheet name="TTO" sheetId="28" r:id="rId20"/>
    <sheet name="Resumen" sheetId="22" state="hidden" r:id="rId21"/>
    <sheet name="2.7" sheetId="23" state="hidden" r:id="rId22"/>
    <sheet name="2.8" sheetId="24" state="hidden" r:id="rId23"/>
    <sheet name="2.9" sheetId="25" state="hidden" r:id="rId24"/>
    <sheet name="2.10" sheetId="26" state="hidden" r:id="rId25"/>
    <sheet name="4.5" sheetId="27" state="hidden" r:id="rId26"/>
  </sheets>
  <definedNames>
    <definedName name="_xlnm.Database">#REF!</definedName>
    <definedName name="ep_summ" localSheetId="19">#REF!</definedName>
    <definedName name="ep_summ">#REF!</definedName>
    <definedName name="gdp">#REF!</definedName>
    <definedName name="look_cd3">#REF!</definedName>
    <definedName name="look_epl1b">#REF!</definedName>
    <definedName name="look_epl2a1">#REF!</definedName>
    <definedName name="look_epl2a2">#REF!</definedName>
    <definedName name="look_epl2a3">#REF!</definedName>
    <definedName name="look_epl2b1">#REF!</definedName>
    <definedName name="look_epl2b2">#REF!</definedName>
    <definedName name="look_epl2b3">#REF!</definedName>
    <definedName name="look_epl3b">#REF!</definedName>
    <definedName name="look_epl3c">#REF!</definedName>
    <definedName name="look_epl3e">#REF!</definedName>
    <definedName name="look_ft2">#REF!</definedName>
    <definedName name="look_ft3">#REF!</definedName>
    <definedName name="look_twa3">#REF!</definedName>
    <definedName name="matriz">#REF!</definedName>
    <definedName name="oecd">#REF!</definedName>
    <definedName name="ser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2" l="1"/>
  <c r="G26" i="12"/>
  <c r="H25" i="1"/>
  <c r="G25" i="1"/>
  <c r="M30" i="9" l="1"/>
  <c r="L30" i="9"/>
  <c r="J28" i="9"/>
  <c r="F16" i="9"/>
  <c r="L27" i="9"/>
  <c r="I20" i="9" l="1"/>
  <c r="I28" i="9"/>
  <c r="I27" i="9"/>
  <c r="I19" i="9"/>
  <c r="H25" i="20" l="1"/>
  <c r="G25" i="20"/>
  <c r="G25" i="7"/>
  <c r="H25" i="16"/>
  <c r="G25" i="16"/>
  <c r="E26" i="9"/>
  <c r="G25" i="21"/>
  <c r="H25" i="21"/>
  <c r="C21" i="12" l="1"/>
  <c r="H25" i="15"/>
  <c r="H25" i="14" l="1"/>
  <c r="G25" i="14"/>
  <c r="G25" i="5"/>
  <c r="H25" i="5"/>
  <c r="G26" i="13" l="1"/>
  <c r="C19" i="21"/>
  <c r="C18" i="11" l="1"/>
  <c r="C18" i="5"/>
  <c r="C20" i="14" l="1"/>
  <c r="C18" i="14"/>
  <c r="C19" i="14" l="1"/>
  <c r="C19" i="19" l="1"/>
  <c r="C15" i="28" l="1"/>
  <c r="C20" i="18" l="1"/>
  <c r="C18" i="18"/>
  <c r="C16" i="10"/>
  <c r="I29" i="9" l="1"/>
  <c r="I26" i="9"/>
  <c r="L29" i="9" l="1"/>
  <c r="L26" i="9"/>
  <c r="M26" i="9"/>
  <c r="C11" i="5" l="1"/>
  <c r="C11" i="13" l="1"/>
  <c r="D39" i="4"/>
  <c r="D37" i="4"/>
  <c r="D36" i="4"/>
  <c r="C16" i="17" l="1"/>
  <c r="C17" i="17" s="1"/>
  <c r="G25" i="10"/>
  <c r="H26" i="13"/>
  <c r="G25" i="6"/>
  <c r="H25" i="10"/>
  <c r="G25" i="15"/>
  <c r="H25" i="18" l="1"/>
  <c r="M29" i="9"/>
  <c r="J29" i="9"/>
  <c r="J26" i="9"/>
  <c r="H23" i="4"/>
  <c r="D37" i="9"/>
  <c r="C16" i="12" l="1"/>
  <c r="C11" i="21"/>
  <c r="C18" i="4" l="1"/>
  <c r="C19" i="4" s="1"/>
  <c r="C17" i="4"/>
  <c r="I30" i="9"/>
  <c r="C20" i="9" l="1"/>
  <c r="D38" i="10"/>
  <c r="B20" i="28" l="1"/>
  <c r="C20" i="20"/>
  <c r="B20" i="20"/>
  <c r="B20" i="16"/>
  <c r="B19" i="4"/>
  <c r="B19" i="21"/>
  <c r="B20" i="21"/>
  <c r="B21" i="9"/>
  <c r="B20" i="6"/>
  <c r="B19" i="6"/>
  <c r="B20" i="8"/>
  <c r="B20" i="18"/>
  <c r="B20" i="7"/>
  <c r="B20" i="17"/>
  <c r="B20" i="19"/>
  <c r="C19" i="12"/>
  <c r="C20" i="12" l="1"/>
  <c r="C17" i="9" l="1"/>
  <c r="G24" i="9" l="1"/>
  <c r="C36" i="28" l="1"/>
  <c r="C11" i="28" l="1"/>
  <c r="C11" i="12" l="1"/>
  <c r="C19" i="13" l="1"/>
  <c r="C11" i="17" l="1"/>
  <c r="H25" i="7" l="1"/>
  <c r="C19" i="7"/>
  <c r="H25" i="6" l="1"/>
  <c r="C19" i="6"/>
  <c r="C11" i="7"/>
  <c r="C9" i="4"/>
  <c r="C10" i="4" s="1"/>
  <c r="G25" i="18" l="1"/>
  <c r="C19" i="18"/>
  <c r="C19" i="8"/>
  <c r="C19" i="17"/>
  <c r="C19" i="16"/>
  <c r="C19" i="11"/>
  <c r="C20" i="11" s="1"/>
  <c r="C19" i="10" l="1"/>
  <c r="C19" i="15" l="1"/>
  <c r="J30" i="9" l="1"/>
  <c r="C19" i="5"/>
  <c r="C20" i="5" s="1"/>
  <c r="C16" i="5"/>
  <c r="C17" i="5" l="1"/>
  <c r="C16" i="13"/>
  <c r="D35" i="5" l="1"/>
  <c r="D36" i="5"/>
  <c r="D37" i="5"/>
  <c r="D38" i="5"/>
  <c r="C23" i="19"/>
  <c r="B37" i="20"/>
  <c r="B36" i="20"/>
  <c r="B35" i="20"/>
  <c r="B34" i="20"/>
  <c r="B36" i="8"/>
  <c r="B35" i="8"/>
  <c r="B34" i="8"/>
  <c r="B33" i="8"/>
  <c r="B36" i="28"/>
  <c r="B35" i="28"/>
  <c r="B34" i="28"/>
  <c r="B33" i="28"/>
  <c r="B38" i="7"/>
  <c r="B37" i="7"/>
  <c r="B36" i="7"/>
  <c r="B35" i="7"/>
  <c r="B40" i="17"/>
  <c r="B39" i="17"/>
  <c r="B38" i="17"/>
  <c r="B37" i="17"/>
  <c r="B43" i="16"/>
  <c r="B42" i="16"/>
  <c r="B41" i="16"/>
  <c r="B40" i="16"/>
  <c r="B39" i="4"/>
  <c r="B38" i="4"/>
  <c r="B37" i="4"/>
  <c r="B36" i="4"/>
  <c r="B40" i="9"/>
  <c r="B39" i="9"/>
  <c r="B38" i="9"/>
  <c r="B37" i="9"/>
  <c r="B39" i="21"/>
  <c r="B38" i="21"/>
  <c r="B37" i="21"/>
  <c r="B36" i="21"/>
  <c r="B43" i="12"/>
  <c r="B42" i="12"/>
  <c r="B41" i="12"/>
  <c r="B40" i="12"/>
  <c r="B36" i="11"/>
  <c r="B35" i="11"/>
  <c r="B34" i="11"/>
  <c r="B33" i="11"/>
  <c r="B38" i="18"/>
  <c r="B37" i="18"/>
  <c r="B36" i="18"/>
  <c r="B35" i="18"/>
  <c r="B38" i="10"/>
  <c r="B37" i="10"/>
  <c r="B36" i="10"/>
  <c r="B35" i="10"/>
  <c r="B37" i="19"/>
  <c r="B36" i="19"/>
  <c r="B35" i="19"/>
  <c r="B34" i="19"/>
  <c r="B40" i="15"/>
  <c r="B39" i="15"/>
  <c r="B38" i="15"/>
  <c r="B37" i="15"/>
  <c r="B42" i="1"/>
  <c r="B41" i="1"/>
  <c r="B40" i="1"/>
  <c r="B39" i="1"/>
  <c r="B38" i="6"/>
  <c r="B37" i="6"/>
  <c r="B36" i="6"/>
  <c r="B35" i="6"/>
  <c r="B42" i="14"/>
  <c r="B41" i="14"/>
  <c r="B40" i="14"/>
  <c r="B39" i="14"/>
  <c r="B38" i="5"/>
  <c r="B37" i="5"/>
  <c r="B36" i="5"/>
  <c r="B35" i="5"/>
  <c r="B19" i="20"/>
  <c r="B18" i="20"/>
  <c r="B17" i="20"/>
  <c r="B16" i="20"/>
  <c r="B15" i="20"/>
  <c r="A15" i="20"/>
  <c r="B19" i="8"/>
  <c r="B18" i="8"/>
  <c r="B17" i="8"/>
  <c r="B16" i="8"/>
  <c r="B15" i="8"/>
  <c r="A15" i="8"/>
  <c r="B19" i="28"/>
  <c r="B18" i="28"/>
  <c r="B17" i="28"/>
  <c r="B16" i="28"/>
  <c r="B15" i="28"/>
  <c r="A15" i="28"/>
  <c r="B19" i="7"/>
  <c r="B18" i="7"/>
  <c r="B17" i="7"/>
  <c r="B16" i="7"/>
  <c r="B15" i="7"/>
  <c r="A15" i="7"/>
  <c r="B19" i="17"/>
  <c r="B18" i="17"/>
  <c r="B17" i="17"/>
  <c r="B16" i="17"/>
  <c r="B15" i="17"/>
  <c r="A15" i="17"/>
  <c r="B19" i="16"/>
  <c r="B18" i="16"/>
  <c r="B17" i="16"/>
  <c r="B16" i="16"/>
  <c r="B15" i="16"/>
  <c r="A15" i="16"/>
  <c r="B18" i="4"/>
  <c r="B17" i="4"/>
  <c r="B16" i="4"/>
  <c r="B15" i="4"/>
  <c r="B14" i="4"/>
  <c r="A14" i="4"/>
  <c r="B20" i="9"/>
  <c r="B19" i="9"/>
  <c r="B18" i="9"/>
  <c r="B17" i="9"/>
  <c r="B16" i="9"/>
  <c r="A16" i="9"/>
  <c r="B18" i="21"/>
  <c r="B17" i="21"/>
  <c r="B16" i="21"/>
  <c r="B15" i="21"/>
  <c r="A15" i="21"/>
  <c r="B19" i="12"/>
  <c r="B18" i="12"/>
  <c r="B17" i="12"/>
  <c r="B16" i="12"/>
  <c r="B15" i="12"/>
  <c r="A15" i="12"/>
  <c r="B19" i="11"/>
  <c r="B18" i="11"/>
  <c r="B17" i="11"/>
  <c r="B16" i="11"/>
  <c r="B15" i="11"/>
  <c r="A15" i="11"/>
  <c r="B19" i="18"/>
  <c r="B18" i="18"/>
  <c r="B17" i="18"/>
  <c r="B16" i="18"/>
  <c r="B15" i="18"/>
  <c r="A15" i="18"/>
  <c r="B19" i="10"/>
  <c r="B18" i="10"/>
  <c r="B17" i="10"/>
  <c r="B16" i="10"/>
  <c r="B15" i="10"/>
  <c r="A15" i="10"/>
  <c r="B19" i="19"/>
  <c r="B18" i="19"/>
  <c r="B17" i="19"/>
  <c r="B16" i="19"/>
  <c r="B15" i="19"/>
  <c r="A15" i="19"/>
  <c r="B19" i="15"/>
  <c r="B18" i="15"/>
  <c r="B17" i="15"/>
  <c r="B16" i="15"/>
  <c r="B15" i="15"/>
  <c r="A15" i="15"/>
  <c r="B19" i="1"/>
  <c r="B18" i="1"/>
  <c r="B17" i="1"/>
  <c r="B16" i="1"/>
  <c r="B15" i="1"/>
  <c r="A15" i="1"/>
  <c r="B18" i="6"/>
  <c r="B17" i="6"/>
  <c r="B16" i="6"/>
  <c r="B15" i="6"/>
  <c r="A15" i="6"/>
  <c r="B19" i="14"/>
  <c r="B18" i="14"/>
  <c r="B17" i="14"/>
  <c r="B16" i="14"/>
  <c r="B15" i="14"/>
  <c r="A15" i="14"/>
  <c r="B19" i="5"/>
  <c r="B18" i="5"/>
  <c r="B17" i="5"/>
  <c r="B16" i="5"/>
  <c r="B15" i="5"/>
  <c r="A15" i="5"/>
  <c r="A25" i="20"/>
  <c r="A25" i="8"/>
  <c r="A25" i="28"/>
  <c r="A25" i="7"/>
  <c r="A25" i="17"/>
  <c r="A25" i="16"/>
  <c r="A23" i="4"/>
  <c r="A26" i="9"/>
  <c r="A25" i="21"/>
  <c r="A26" i="12"/>
  <c r="A25" i="11"/>
  <c r="A25" i="18"/>
  <c r="A25" i="10"/>
  <c r="A25" i="19"/>
  <c r="A25" i="15"/>
  <c r="A25" i="1"/>
  <c r="A25" i="6"/>
  <c r="B27" i="14"/>
  <c r="B26" i="14"/>
  <c r="B25" i="14"/>
  <c r="A25" i="14"/>
  <c r="A25" i="5"/>
  <c r="B25" i="5"/>
  <c r="H24" i="20"/>
  <c r="G24" i="20"/>
  <c r="G23" i="20"/>
  <c r="F23" i="20"/>
  <c r="E23" i="20"/>
  <c r="D23" i="20"/>
  <c r="C23" i="20"/>
  <c r="B23" i="20"/>
  <c r="H24" i="8"/>
  <c r="G24" i="8"/>
  <c r="G23" i="8"/>
  <c r="F23" i="8"/>
  <c r="E23" i="8"/>
  <c r="D23" i="8"/>
  <c r="C23" i="8"/>
  <c r="B23" i="8"/>
  <c r="H24" i="28"/>
  <c r="G24" i="28"/>
  <c r="G23" i="28"/>
  <c r="F23" i="28"/>
  <c r="E23" i="28"/>
  <c r="D23" i="28"/>
  <c r="C23" i="28"/>
  <c r="B23" i="28"/>
  <c r="H24" i="7"/>
  <c r="G24" i="7"/>
  <c r="G23" i="7"/>
  <c r="F23" i="7"/>
  <c r="E23" i="7"/>
  <c r="D23" i="7"/>
  <c r="C23" i="7"/>
  <c r="B23" i="7"/>
  <c r="H24" i="17"/>
  <c r="G24" i="17"/>
  <c r="G23" i="17"/>
  <c r="F23" i="17"/>
  <c r="E23" i="17"/>
  <c r="D23" i="17"/>
  <c r="C23" i="17"/>
  <c r="B23" i="17"/>
  <c r="H24" i="16"/>
  <c r="G24" i="16"/>
  <c r="G23" i="16"/>
  <c r="F23" i="16"/>
  <c r="E23" i="16"/>
  <c r="D23" i="16"/>
  <c r="C23" i="16"/>
  <c r="B23" i="16"/>
  <c r="H22" i="4"/>
  <c r="G22" i="4"/>
  <c r="G21" i="4"/>
  <c r="F21" i="4"/>
  <c r="E21" i="4"/>
  <c r="D21" i="4"/>
  <c r="C21" i="4"/>
  <c r="B21" i="4"/>
  <c r="H25" i="9"/>
  <c r="G25" i="9"/>
  <c r="F24" i="9"/>
  <c r="E24" i="9"/>
  <c r="D24" i="9"/>
  <c r="C24" i="9"/>
  <c r="B24" i="9"/>
  <c r="H24" i="21"/>
  <c r="G24" i="21"/>
  <c r="G23" i="21"/>
  <c r="F23" i="21"/>
  <c r="E23" i="21"/>
  <c r="D23" i="21"/>
  <c r="C23" i="21"/>
  <c r="B23" i="21"/>
  <c r="H25" i="12"/>
  <c r="G25" i="12"/>
  <c r="G24" i="12"/>
  <c r="F24" i="12"/>
  <c r="E24" i="12"/>
  <c r="D24" i="12"/>
  <c r="C24" i="12"/>
  <c r="B24" i="12"/>
  <c r="H24" i="11"/>
  <c r="G24" i="11"/>
  <c r="G23" i="11"/>
  <c r="F23" i="11"/>
  <c r="E23" i="11"/>
  <c r="D23" i="11"/>
  <c r="C23" i="11"/>
  <c r="B23" i="11"/>
  <c r="H24" i="18"/>
  <c r="G24" i="18"/>
  <c r="G23" i="18"/>
  <c r="F23" i="18"/>
  <c r="E23" i="18"/>
  <c r="D23" i="18"/>
  <c r="C23" i="18"/>
  <c r="B23" i="18"/>
  <c r="H24" i="10"/>
  <c r="G24" i="10"/>
  <c r="G23" i="10"/>
  <c r="F23" i="10"/>
  <c r="E23" i="10"/>
  <c r="D23" i="10"/>
  <c r="C23" i="10"/>
  <c r="B23" i="10"/>
  <c r="H24" i="19"/>
  <c r="G24" i="19"/>
  <c r="G23" i="19"/>
  <c r="F23" i="19"/>
  <c r="E23" i="19"/>
  <c r="D23" i="19"/>
  <c r="B23" i="19"/>
  <c r="H24" i="15"/>
  <c r="G24" i="15"/>
  <c r="G23" i="15"/>
  <c r="F23" i="15"/>
  <c r="E23" i="15"/>
  <c r="D23" i="15"/>
  <c r="C23" i="15"/>
  <c r="B23" i="15"/>
  <c r="H24" i="1"/>
  <c r="G24" i="1"/>
  <c r="G23" i="1"/>
  <c r="F23" i="1"/>
  <c r="E23" i="1"/>
  <c r="D23" i="1"/>
  <c r="C23" i="1"/>
  <c r="B23" i="1"/>
  <c r="H24" i="6"/>
  <c r="G24" i="6"/>
  <c r="G23" i="6"/>
  <c r="F23" i="6"/>
  <c r="E23" i="6"/>
  <c r="D23" i="6"/>
  <c r="C23" i="6"/>
  <c r="B23" i="6"/>
  <c r="H24" i="14"/>
  <c r="G24" i="14"/>
  <c r="G23" i="14"/>
  <c r="F23" i="14"/>
  <c r="E23" i="14"/>
  <c r="D23" i="14"/>
  <c r="C23" i="14"/>
  <c r="B23" i="14"/>
  <c r="B29" i="5"/>
  <c r="B28" i="5"/>
  <c r="H24" i="5"/>
  <c r="G24" i="5"/>
  <c r="G23" i="5"/>
  <c r="F23" i="5"/>
  <c r="E23" i="5"/>
  <c r="D23" i="5"/>
  <c r="C23" i="5"/>
  <c r="B23" i="5"/>
  <c r="E11" i="20"/>
  <c r="D11" i="20"/>
  <c r="E10" i="20"/>
  <c r="D10" i="20"/>
  <c r="D9" i="20"/>
  <c r="D8" i="20"/>
  <c r="E7" i="20"/>
  <c r="D7" i="20"/>
  <c r="E11" i="8"/>
  <c r="D11" i="8"/>
  <c r="E10" i="8"/>
  <c r="D10" i="8"/>
  <c r="E9" i="8"/>
  <c r="D9" i="8"/>
  <c r="E8" i="8"/>
  <c r="D8" i="8"/>
  <c r="E7" i="8"/>
  <c r="D7" i="8"/>
  <c r="E11" i="28"/>
  <c r="D11" i="28"/>
  <c r="E10" i="28"/>
  <c r="D10" i="28"/>
  <c r="E9" i="28"/>
  <c r="D9" i="28"/>
  <c r="E8" i="28"/>
  <c r="D8" i="28"/>
  <c r="E7" i="28"/>
  <c r="D7" i="28"/>
  <c r="E11" i="7"/>
  <c r="D11" i="7"/>
  <c r="E10" i="7"/>
  <c r="D10" i="7"/>
  <c r="E9" i="7"/>
  <c r="D9" i="7"/>
  <c r="E8" i="7"/>
  <c r="D8" i="7"/>
  <c r="E7" i="7"/>
  <c r="D7" i="7"/>
  <c r="E11" i="17"/>
  <c r="D11" i="17"/>
  <c r="E10" i="17"/>
  <c r="D10" i="17"/>
  <c r="E9" i="17"/>
  <c r="D9" i="17"/>
  <c r="E8" i="17"/>
  <c r="D8" i="17"/>
  <c r="E7" i="17"/>
  <c r="D7" i="17"/>
  <c r="E11" i="16"/>
  <c r="D11" i="16"/>
  <c r="E10" i="16"/>
  <c r="D10" i="16"/>
  <c r="E9" i="16"/>
  <c r="D9" i="16"/>
  <c r="E8" i="16"/>
  <c r="D8" i="16"/>
  <c r="E7" i="16"/>
  <c r="D7" i="16"/>
  <c r="E10" i="4"/>
  <c r="D10" i="4"/>
  <c r="E9" i="4"/>
  <c r="D9" i="4"/>
  <c r="E8" i="4"/>
  <c r="D8" i="4"/>
  <c r="E7" i="4"/>
  <c r="D7" i="4"/>
  <c r="E6" i="4"/>
  <c r="D6" i="4"/>
  <c r="E11" i="9"/>
  <c r="D11" i="9"/>
  <c r="E10" i="9"/>
  <c r="D10" i="9"/>
  <c r="E9" i="9"/>
  <c r="D9" i="9"/>
  <c r="E8" i="9"/>
  <c r="D8" i="9"/>
  <c r="E7" i="9"/>
  <c r="D7" i="9"/>
  <c r="E11" i="21"/>
  <c r="D11" i="21"/>
  <c r="E10" i="21"/>
  <c r="D10" i="21"/>
  <c r="E9" i="21"/>
  <c r="D9" i="21"/>
  <c r="E8" i="21"/>
  <c r="D8" i="21"/>
  <c r="E7" i="21"/>
  <c r="D7" i="21"/>
  <c r="E11" i="12"/>
  <c r="D11" i="12"/>
  <c r="E10" i="12"/>
  <c r="D10" i="12"/>
  <c r="E9" i="12"/>
  <c r="D9" i="12"/>
  <c r="E8" i="12"/>
  <c r="D8" i="12"/>
  <c r="E7" i="12"/>
  <c r="D7" i="12"/>
  <c r="E11" i="11"/>
  <c r="D11" i="11"/>
  <c r="E10" i="11"/>
  <c r="D10" i="11"/>
  <c r="E9" i="11"/>
  <c r="D9" i="11"/>
  <c r="E8" i="11"/>
  <c r="D8" i="11"/>
  <c r="E7" i="11"/>
  <c r="D7" i="11"/>
  <c r="E11" i="18"/>
  <c r="D11" i="18"/>
  <c r="E10" i="18"/>
  <c r="D10" i="18"/>
  <c r="E9" i="18"/>
  <c r="D9" i="18"/>
  <c r="E8" i="18"/>
  <c r="D8" i="18"/>
  <c r="E7" i="18"/>
  <c r="D7" i="18"/>
  <c r="E11" i="10"/>
  <c r="D11" i="10"/>
  <c r="E10" i="10"/>
  <c r="D10" i="10"/>
  <c r="E9" i="10"/>
  <c r="D9" i="10"/>
  <c r="E8" i="10"/>
  <c r="D8" i="10"/>
  <c r="E7" i="10"/>
  <c r="D7" i="10"/>
  <c r="E11" i="19"/>
  <c r="D11" i="19"/>
  <c r="E10" i="19"/>
  <c r="D10" i="19"/>
  <c r="E9" i="19"/>
  <c r="D9" i="19"/>
  <c r="E8" i="19"/>
  <c r="D8" i="19"/>
  <c r="E7" i="19"/>
  <c r="D7" i="19"/>
  <c r="E11" i="15"/>
  <c r="D11" i="15"/>
  <c r="E10" i="15"/>
  <c r="D10" i="15"/>
  <c r="E9" i="15"/>
  <c r="D9" i="15"/>
  <c r="E8" i="15"/>
  <c r="D8" i="15"/>
  <c r="E7" i="15"/>
  <c r="D7" i="15"/>
  <c r="E11" i="1"/>
  <c r="D11" i="1"/>
  <c r="E10" i="1"/>
  <c r="D10" i="1"/>
  <c r="E9" i="1"/>
  <c r="D9" i="1"/>
  <c r="E8" i="1"/>
  <c r="D8" i="1"/>
  <c r="E7" i="1"/>
  <c r="D7" i="1"/>
  <c r="E11" i="6"/>
  <c r="D11" i="6"/>
  <c r="E10" i="6"/>
  <c r="D10" i="6"/>
  <c r="E9" i="6"/>
  <c r="D9" i="6"/>
  <c r="E8" i="6"/>
  <c r="D8" i="6"/>
  <c r="E7" i="6"/>
  <c r="D7" i="6"/>
  <c r="E11" i="14"/>
  <c r="D11" i="14"/>
  <c r="E10" i="14"/>
  <c r="D10" i="14"/>
  <c r="E9" i="14"/>
  <c r="D9" i="14"/>
  <c r="E8" i="14"/>
  <c r="D8" i="14"/>
  <c r="E7" i="14"/>
  <c r="D7" i="14"/>
  <c r="E11" i="5"/>
  <c r="E10" i="5"/>
  <c r="E9" i="5"/>
  <c r="E8" i="5"/>
  <c r="D11" i="5"/>
  <c r="D10" i="5"/>
  <c r="D9" i="5"/>
  <c r="D8" i="5"/>
  <c r="E7" i="5"/>
  <c r="D7" i="5"/>
  <c r="B11" i="20"/>
  <c r="B10" i="20"/>
  <c r="B9" i="20"/>
  <c r="B8" i="20"/>
  <c r="A8" i="20"/>
  <c r="B11" i="8"/>
  <c r="B10" i="8"/>
  <c r="B9" i="8"/>
  <c r="B8" i="8"/>
  <c r="A8" i="8"/>
  <c r="B11" i="28"/>
  <c r="B10" i="28"/>
  <c r="B9" i="28"/>
  <c r="B8" i="28"/>
  <c r="A8" i="28"/>
  <c r="B11" i="7"/>
  <c r="B10" i="7"/>
  <c r="B9" i="7"/>
  <c r="B8" i="7"/>
  <c r="A8" i="7"/>
  <c r="B11" i="17"/>
  <c r="B10" i="17"/>
  <c r="B9" i="17"/>
  <c r="B8" i="17"/>
  <c r="A8" i="17"/>
  <c r="B11" i="16"/>
  <c r="B10" i="16"/>
  <c r="B9" i="16"/>
  <c r="B8" i="16"/>
  <c r="A8" i="16"/>
  <c r="B10" i="4"/>
  <c r="B9" i="4"/>
  <c r="B8" i="4"/>
  <c r="B7" i="4"/>
  <c r="A7" i="4"/>
  <c r="B11" i="9"/>
  <c r="B10" i="9"/>
  <c r="B9" i="9"/>
  <c r="B8" i="9"/>
  <c r="A8" i="9"/>
  <c r="B11" i="21"/>
  <c r="B10" i="21"/>
  <c r="B9" i="21"/>
  <c r="B8" i="21"/>
  <c r="A8" i="21"/>
  <c r="B11" i="12"/>
  <c r="B10" i="12"/>
  <c r="B9" i="12"/>
  <c r="B8" i="12"/>
  <c r="A8" i="12"/>
  <c r="B11" i="11"/>
  <c r="B10" i="11"/>
  <c r="B9" i="11"/>
  <c r="B8" i="11"/>
  <c r="A8" i="11"/>
  <c r="B11" i="18"/>
  <c r="B10" i="18"/>
  <c r="B9" i="18"/>
  <c r="B8" i="18"/>
  <c r="A8" i="18"/>
  <c r="B11" i="10"/>
  <c r="B10" i="10"/>
  <c r="B9" i="10"/>
  <c r="B8" i="10"/>
  <c r="A8" i="10"/>
  <c r="B11" i="19"/>
  <c r="B10" i="19"/>
  <c r="B9" i="19"/>
  <c r="B8" i="19"/>
  <c r="A8" i="19"/>
  <c r="B11" i="15"/>
  <c r="B10" i="15"/>
  <c r="B9" i="15"/>
  <c r="B8" i="15"/>
  <c r="A8" i="15"/>
  <c r="B11" i="1"/>
  <c r="B10" i="1"/>
  <c r="B9" i="1"/>
  <c r="B8" i="1"/>
  <c r="A8" i="1"/>
  <c r="B11" i="6"/>
  <c r="B10" i="6"/>
  <c r="B9" i="6"/>
  <c r="B8" i="6"/>
  <c r="A8" i="6"/>
  <c r="B11" i="14"/>
  <c r="B10" i="14"/>
  <c r="B9" i="14"/>
  <c r="B8" i="14"/>
  <c r="A8" i="14"/>
  <c r="B11" i="5"/>
  <c r="B10" i="5"/>
  <c r="B9" i="5"/>
  <c r="B8" i="5"/>
  <c r="A8" i="5"/>
  <c r="E14" i="5" l="1"/>
  <c r="D14" i="5"/>
  <c r="A5" i="20"/>
  <c r="A5" i="8"/>
  <c r="A5" i="28"/>
  <c r="A5" i="7"/>
  <c r="A4" i="17"/>
  <c r="A5" i="16"/>
  <c r="A4" i="4"/>
  <c r="A4" i="9"/>
  <c r="A5" i="21"/>
  <c r="A5" i="12"/>
  <c r="A5" i="11"/>
  <c r="A5" i="18"/>
  <c r="A5" i="10"/>
  <c r="A6" i="19"/>
  <c r="A5" i="15"/>
  <c r="A5" i="1"/>
  <c r="A5" i="6"/>
  <c r="A5" i="14"/>
  <c r="A4" i="5"/>
  <c r="C18" i="20" l="1"/>
  <c r="C16" i="14" l="1"/>
  <c r="C17" i="14" l="1"/>
  <c r="D42" i="14" s="1"/>
  <c r="C17" i="13"/>
  <c r="D39" i="14" l="1"/>
  <c r="D40" i="14"/>
  <c r="D41" i="14"/>
  <c r="D37" i="13"/>
  <c r="D38" i="13"/>
  <c r="D36" i="13"/>
  <c r="D39" i="13"/>
  <c r="I21" i="22"/>
  <c r="G21" i="22"/>
  <c r="E21" i="22"/>
  <c r="D21" i="22"/>
  <c r="C21" i="22"/>
  <c r="C16" i="28" l="1"/>
  <c r="C17" i="28" l="1"/>
  <c r="D34" i="28" s="1"/>
  <c r="S24" i="27"/>
  <c r="S12" i="27"/>
  <c r="S39" i="27"/>
  <c r="S46" i="27"/>
  <c r="S28" i="27"/>
  <c r="S45" i="27"/>
  <c r="S6" i="27"/>
  <c r="S27" i="27"/>
  <c r="S47" i="27"/>
  <c r="S43" i="27"/>
  <c r="S37" i="27"/>
  <c r="S41" i="27"/>
  <c r="S10" i="27"/>
  <c r="S38" i="27"/>
  <c r="S8" i="27"/>
  <c r="S20" i="27"/>
  <c r="S44" i="27"/>
  <c r="S33" i="27"/>
  <c r="S42" i="27"/>
  <c r="S40" i="27"/>
  <c r="S36" i="27"/>
  <c r="S35" i="27"/>
  <c r="S34" i="27"/>
  <c r="S32" i="27"/>
  <c r="S31" i="27"/>
  <c r="S30" i="27"/>
  <c r="S29" i="27"/>
  <c r="S26" i="27"/>
  <c r="S25" i="27"/>
  <c r="S23" i="27"/>
  <c r="S22" i="27"/>
  <c r="S21" i="27"/>
  <c r="S19" i="27"/>
  <c r="S18" i="27"/>
  <c r="S17" i="27"/>
  <c r="S16" i="27"/>
  <c r="S15" i="27"/>
  <c r="S14" i="27"/>
  <c r="S13" i="27"/>
  <c r="S11" i="27"/>
  <c r="S9" i="27"/>
  <c r="S7" i="27"/>
  <c r="D36" i="28" l="1"/>
  <c r="R23" i="26"/>
  <c r="T22" i="26"/>
  <c r="T21" i="26"/>
  <c r="T20" i="26"/>
  <c r="T19" i="26"/>
  <c r="T18" i="26"/>
  <c r="T17" i="26"/>
  <c r="T14" i="26"/>
  <c r="T13" i="26"/>
  <c r="T12" i="26"/>
  <c r="T11" i="26"/>
  <c r="T10" i="26"/>
  <c r="T9" i="26"/>
  <c r="T8" i="26"/>
  <c r="T7" i="26"/>
  <c r="T6" i="26"/>
  <c r="T5" i="26"/>
  <c r="T4" i="26"/>
  <c r="T3" i="26"/>
  <c r="I45" i="25"/>
  <c r="H45" i="25"/>
  <c r="J44" i="25"/>
  <c r="J43" i="25"/>
  <c r="J42" i="25"/>
  <c r="J41" i="25"/>
  <c r="J40" i="25"/>
  <c r="J39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W21" i="24"/>
  <c r="V21" i="24"/>
  <c r="U21" i="24"/>
  <c r="T21" i="24"/>
  <c r="S21" i="24"/>
  <c r="R21" i="24"/>
  <c r="Q21" i="24"/>
  <c r="P21" i="24"/>
  <c r="O21" i="24"/>
  <c r="N21" i="24"/>
  <c r="AE20" i="24"/>
  <c r="AA20" i="24"/>
  <c r="Z20" i="24"/>
  <c r="AD20" i="24" s="1"/>
  <c r="Y20" i="24"/>
  <c r="X20" i="24"/>
  <c r="AE19" i="24"/>
  <c r="AA19" i="24"/>
  <c r="Z19" i="24"/>
  <c r="AD19" i="24" s="1"/>
  <c r="Y19" i="24"/>
  <c r="X19" i="24"/>
  <c r="AE18" i="24"/>
  <c r="AA18" i="24"/>
  <c r="Z18" i="24"/>
  <c r="AD18" i="24" s="1"/>
  <c r="Y18" i="24"/>
  <c r="X18" i="24"/>
  <c r="AE17" i="24"/>
  <c r="AA17" i="24"/>
  <c r="Z17" i="24"/>
  <c r="AD17" i="24" s="1"/>
  <c r="Y17" i="24"/>
  <c r="X17" i="24"/>
  <c r="AE16" i="24"/>
  <c r="AA16" i="24"/>
  <c r="Z16" i="24"/>
  <c r="AD16" i="24" s="1"/>
  <c r="Y16" i="24"/>
  <c r="X16" i="24"/>
  <c r="AE15" i="24"/>
  <c r="AD15" i="24"/>
  <c r="AA15" i="24"/>
  <c r="Z15" i="24"/>
  <c r="Y15" i="24"/>
  <c r="X15" i="24"/>
  <c r="AE14" i="24"/>
  <c r="AA14" i="24"/>
  <c r="Z14" i="24"/>
  <c r="AD14" i="24" s="1"/>
  <c r="Y14" i="24"/>
  <c r="X14" i="24"/>
  <c r="AE13" i="24"/>
  <c r="AD13" i="24"/>
  <c r="AA13" i="24"/>
  <c r="Z13" i="24"/>
  <c r="Y13" i="24"/>
  <c r="X13" i="24"/>
  <c r="AE12" i="24"/>
  <c r="AA12" i="24"/>
  <c r="Z12" i="24"/>
  <c r="AD12" i="24" s="1"/>
  <c r="Y12" i="24"/>
  <c r="X12" i="24"/>
  <c r="AE11" i="24"/>
  <c r="AA11" i="24"/>
  <c r="Z11" i="24"/>
  <c r="AD11" i="24" s="1"/>
  <c r="Y11" i="24"/>
  <c r="X11" i="24"/>
  <c r="AE10" i="24"/>
  <c r="AA10" i="24"/>
  <c r="Z10" i="24"/>
  <c r="AD10" i="24" s="1"/>
  <c r="Y10" i="24"/>
  <c r="X10" i="24"/>
  <c r="AE9" i="24"/>
  <c r="AA9" i="24"/>
  <c r="Z9" i="24"/>
  <c r="AD9" i="24" s="1"/>
  <c r="Y9" i="24"/>
  <c r="X9" i="24"/>
  <c r="AE8" i="24"/>
  <c r="AA8" i="24"/>
  <c r="Z8" i="24"/>
  <c r="AD8" i="24" s="1"/>
  <c r="Y8" i="24"/>
  <c r="X8" i="24"/>
  <c r="AE7" i="24"/>
  <c r="AA7" i="24"/>
  <c r="Z7" i="24"/>
  <c r="AD7" i="24" s="1"/>
  <c r="Y7" i="24"/>
  <c r="X7" i="24"/>
  <c r="AE6" i="24"/>
  <c r="AA6" i="24"/>
  <c r="Z6" i="24"/>
  <c r="AD6" i="24" s="1"/>
  <c r="Y6" i="24"/>
  <c r="X6" i="24"/>
  <c r="AE5" i="24"/>
  <c r="AA5" i="24"/>
  <c r="Z5" i="24"/>
  <c r="AD5" i="24" s="1"/>
  <c r="Y5" i="24"/>
  <c r="X5" i="24"/>
  <c r="AE4" i="24"/>
  <c r="AA4" i="24"/>
  <c r="Z4" i="24"/>
  <c r="AD4" i="24" s="1"/>
  <c r="Y4" i="24"/>
  <c r="X4" i="24"/>
  <c r="AE3" i="24"/>
  <c r="AA3" i="24"/>
  <c r="Z3" i="24"/>
  <c r="AD3" i="24" s="1"/>
  <c r="Y3" i="24"/>
  <c r="X3" i="24"/>
  <c r="C16" i="21"/>
  <c r="C17" i="21" l="1"/>
  <c r="D39" i="21" s="1"/>
  <c r="AA21" i="24"/>
  <c r="Y21" i="24"/>
  <c r="X21" i="24"/>
  <c r="J45" i="25"/>
  <c r="Z21" i="24"/>
  <c r="T23" i="26"/>
  <c r="D37" i="21" l="1"/>
  <c r="D36" i="21"/>
  <c r="D38" i="21"/>
  <c r="G15" i="22" l="1"/>
  <c r="F15" i="22"/>
  <c r="H15" i="22"/>
  <c r="E15" i="22"/>
  <c r="C15" i="22"/>
  <c r="D15" i="22"/>
  <c r="C16" i="20"/>
  <c r="C11" i="20"/>
  <c r="C17" i="20" l="1"/>
  <c r="D36" i="20"/>
  <c r="D37" i="20"/>
  <c r="D35" i="20"/>
  <c r="D34" i="20"/>
  <c r="H23" i="22"/>
  <c r="C23" i="22"/>
  <c r="E23" i="22"/>
  <c r="F23" i="22"/>
  <c r="G23" i="22"/>
  <c r="I15" i="22"/>
  <c r="D23" i="22"/>
  <c r="C16" i="19"/>
  <c r="C11" i="19"/>
  <c r="C17" i="19" l="1"/>
  <c r="D37" i="19" s="1"/>
  <c r="H10" i="22"/>
  <c r="F10" i="22"/>
  <c r="G10" i="22"/>
  <c r="C10" i="22"/>
  <c r="E10" i="22"/>
  <c r="I23" i="22"/>
  <c r="D10" i="22"/>
  <c r="C16" i="18"/>
  <c r="C11" i="18"/>
  <c r="D34" i="19" l="1"/>
  <c r="D35" i="19"/>
  <c r="D36" i="19"/>
  <c r="C17" i="18"/>
  <c r="I10" i="22"/>
  <c r="C12" i="22"/>
  <c r="G12" i="22"/>
  <c r="F12" i="22"/>
  <c r="D12" i="22"/>
  <c r="D38" i="18" l="1"/>
  <c r="D36" i="18"/>
  <c r="D35" i="18"/>
  <c r="D37" i="18"/>
  <c r="D40" i="17"/>
  <c r="H12" i="22"/>
  <c r="E12" i="22"/>
  <c r="G19" i="22"/>
  <c r="F19" i="22"/>
  <c r="E19" i="22"/>
  <c r="I12" i="22"/>
  <c r="D19" i="22"/>
  <c r="H19" i="22"/>
  <c r="C19" i="22"/>
  <c r="C16" i="16"/>
  <c r="C11" i="16"/>
  <c r="D37" i="17" l="1"/>
  <c r="D39" i="17"/>
  <c r="D38" i="17"/>
  <c r="C17" i="16"/>
  <c r="D40" i="16" s="1"/>
  <c r="G18" i="22"/>
  <c r="I19" i="22"/>
  <c r="C16" i="15"/>
  <c r="C11" i="15"/>
  <c r="D42" i="16" l="1"/>
  <c r="D41" i="16"/>
  <c r="D43" i="16"/>
  <c r="C17" i="15"/>
  <c r="D37" i="15" s="1"/>
  <c r="H18" i="22"/>
  <c r="E18" i="22"/>
  <c r="F18" i="22"/>
  <c r="C18" i="22"/>
  <c r="D18" i="22"/>
  <c r="F9" i="22"/>
  <c r="C11" i="14"/>
  <c r="D38" i="15" l="1"/>
  <c r="D40" i="15"/>
  <c r="D39" i="15"/>
  <c r="I18" i="22"/>
  <c r="H9" i="22"/>
  <c r="G9" i="22"/>
  <c r="E9" i="22"/>
  <c r="D9" i="22"/>
  <c r="C9" i="22"/>
  <c r="E6" i="22"/>
  <c r="F6" i="22"/>
  <c r="D6" i="22"/>
  <c r="H6" i="22"/>
  <c r="C6" i="22"/>
  <c r="G6" i="22"/>
  <c r="I9" i="22" l="1"/>
  <c r="F4" i="22"/>
  <c r="I6" i="22"/>
  <c r="C17" i="12" l="1"/>
  <c r="E14" i="22"/>
  <c r="C4" i="22"/>
  <c r="G4" i="22"/>
  <c r="E4" i="22"/>
  <c r="H4" i="22"/>
  <c r="D4" i="22"/>
  <c r="H14" i="22"/>
  <c r="C14" i="22"/>
  <c r="G14" i="22"/>
  <c r="F14" i="22"/>
  <c r="D14" i="22"/>
  <c r="C16" i="11"/>
  <c r="C11" i="11"/>
  <c r="D41" i="12" l="1"/>
  <c r="D40" i="12"/>
  <c r="D42" i="12"/>
  <c r="D43" i="12"/>
  <c r="C17" i="11"/>
  <c r="D33" i="11" s="1"/>
  <c r="I4" i="22"/>
  <c r="I14" i="22"/>
  <c r="F13" i="22"/>
  <c r="D13" i="22"/>
  <c r="H13" i="22"/>
  <c r="C13" i="22"/>
  <c r="G13" i="22"/>
  <c r="E13" i="22"/>
  <c r="C11" i="10"/>
  <c r="D34" i="11" l="1"/>
  <c r="D36" i="11"/>
  <c r="D35" i="11"/>
  <c r="C17" i="10"/>
  <c r="E11" i="22"/>
  <c r="G11" i="22"/>
  <c r="I13" i="22"/>
  <c r="F11" i="22"/>
  <c r="D11" i="22"/>
  <c r="H11" i="22"/>
  <c r="C11" i="22"/>
  <c r="C11" i="9"/>
  <c r="C18" i="9" l="1"/>
  <c r="C13" i="10"/>
  <c r="I11" i="22"/>
  <c r="F16" i="22"/>
  <c r="C16" i="8"/>
  <c r="C11" i="8"/>
  <c r="D40" i="9" l="1"/>
  <c r="D39" i="9"/>
  <c r="D38" i="9"/>
  <c r="C17" i="8"/>
  <c r="H22" i="22"/>
  <c r="G22" i="22"/>
  <c r="E22" i="22"/>
  <c r="C22" i="22"/>
  <c r="F22" i="22"/>
  <c r="G16" i="22"/>
  <c r="C16" i="22"/>
  <c r="D16" i="22"/>
  <c r="E16" i="22"/>
  <c r="H16" i="22"/>
  <c r="C16" i="7"/>
  <c r="D34" i="8" l="1"/>
  <c r="D33" i="8"/>
  <c r="D36" i="8"/>
  <c r="D35" i="8"/>
  <c r="C17" i="7"/>
  <c r="D35" i="7" s="1"/>
  <c r="H20" i="22"/>
  <c r="G20" i="22"/>
  <c r="I22" i="22"/>
  <c r="D22" i="22"/>
  <c r="E20" i="22"/>
  <c r="F20" i="22"/>
  <c r="C20" i="22"/>
  <c r="I16" i="22"/>
  <c r="C16" i="6"/>
  <c r="C11" i="6"/>
  <c r="D38" i="7" l="1"/>
  <c r="D36" i="7"/>
  <c r="D37" i="7"/>
  <c r="C17" i="6"/>
  <c r="D38" i="6" s="1"/>
  <c r="I20" i="22"/>
  <c r="D20" i="22"/>
  <c r="H7" i="22"/>
  <c r="E7" i="22"/>
  <c r="D35" i="6" l="1"/>
  <c r="D37" i="6"/>
  <c r="D36" i="6"/>
  <c r="D7" i="22"/>
  <c r="C7" i="22"/>
  <c r="H5" i="22"/>
  <c r="E5" i="22"/>
  <c r="F5" i="22"/>
  <c r="F7" i="22"/>
  <c r="D5" i="22"/>
  <c r="C15" i="4"/>
  <c r="C16" i="4" l="1"/>
  <c r="G5" i="22"/>
  <c r="C5" i="22"/>
  <c r="I7" i="22"/>
  <c r="G7" i="22"/>
  <c r="I5" i="22"/>
  <c r="H17" i="22"/>
  <c r="E17" i="22"/>
  <c r="C17" i="22"/>
  <c r="G17" i="22"/>
  <c r="F17" i="22"/>
  <c r="D17" i="22"/>
  <c r="D38" i="4" l="1"/>
  <c r="I17" i="22"/>
  <c r="C16" i="1" l="1"/>
  <c r="C17" i="1" l="1"/>
  <c r="D42" i="1" s="1"/>
  <c r="C11" i="1"/>
  <c r="D39" i="1" l="1"/>
  <c r="D40" i="1"/>
  <c r="D41" i="1"/>
  <c r="C8" i="22"/>
  <c r="C24" i="22" s="1"/>
  <c r="G8" i="22"/>
  <c r="G24" i="22" s="1"/>
  <c r="E8" i="22"/>
  <c r="E24" i="22" s="1"/>
  <c r="H8" i="22"/>
  <c r="H24" i="22" s="1"/>
  <c r="D8" i="22"/>
  <c r="D24" i="22" s="1"/>
  <c r="F8" i="22"/>
  <c r="F24" i="22" s="1"/>
  <c r="I8" i="22" l="1"/>
  <c r="A8" i="22" l="1"/>
  <c r="A7" i="22"/>
  <c r="A5" i="22"/>
  <c r="A12" i="22"/>
  <c r="A18" i="22"/>
  <c r="A11" i="22"/>
  <c r="A14" i="22"/>
  <c r="A9" i="22"/>
  <c r="A21" i="22"/>
  <c r="A22" i="22"/>
  <c r="A10" i="22"/>
  <c r="A19" i="22"/>
  <c r="A15" i="22"/>
  <c r="A16" i="22"/>
  <c r="A6" i="22"/>
  <c r="A23" i="22"/>
  <c r="A13" i="22"/>
  <c r="A20" i="22"/>
  <c r="A17" i="22"/>
  <c r="A4" i="22"/>
  <c r="I24" i="22"/>
  <c r="H54" i="22" l="1"/>
  <c r="H74" i="22" s="1"/>
  <c r="G54" i="22"/>
  <c r="C54" i="22"/>
  <c r="C74" i="22" s="1"/>
  <c r="B54" i="22"/>
  <c r="D54" i="22"/>
  <c r="D74" i="22" s="1"/>
  <c r="F54" i="22"/>
  <c r="F74" i="22" s="1"/>
  <c r="I54" i="22"/>
  <c r="I74" i="22" s="1"/>
  <c r="E54" i="22"/>
  <c r="H73" i="22"/>
  <c r="D73" i="22"/>
  <c r="H72" i="22"/>
  <c r="D72" i="22"/>
  <c r="H71" i="22"/>
  <c r="D71" i="22"/>
  <c r="H70" i="22"/>
  <c r="D70" i="22"/>
  <c r="H69" i="22"/>
  <c r="D69" i="22"/>
  <c r="H68" i="22"/>
  <c r="D68" i="22"/>
  <c r="H67" i="22"/>
  <c r="D67" i="22"/>
  <c r="H66" i="22"/>
  <c r="D66" i="22"/>
  <c r="H65" i="22"/>
  <c r="D65" i="22"/>
  <c r="H64" i="22"/>
  <c r="D64" i="22"/>
  <c r="H63" i="22"/>
  <c r="D63" i="22"/>
  <c r="H62" i="22"/>
  <c r="D62" i="22"/>
  <c r="H61" i="22"/>
  <c r="D61" i="22"/>
  <c r="H60" i="22"/>
  <c r="D60" i="22"/>
  <c r="H59" i="22"/>
  <c r="D59" i="22"/>
  <c r="H58" i="22"/>
  <c r="D58" i="22"/>
  <c r="H57" i="22"/>
  <c r="D57" i="22"/>
  <c r="H56" i="22"/>
  <c r="D56" i="22"/>
  <c r="H55" i="22"/>
  <c r="D55" i="22"/>
  <c r="G73" i="22"/>
  <c r="C73" i="22"/>
  <c r="G72" i="22"/>
  <c r="C72" i="22"/>
  <c r="G71" i="22"/>
  <c r="C71" i="22"/>
  <c r="G70" i="22"/>
  <c r="C70" i="22"/>
  <c r="G69" i="22"/>
  <c r="C69" i="22"/>
  <c r="G68" i="22"/>
  <c r="C68" i="22"/>
  <c r="G67" i="22"/>
  <c r="C67" i="22"/>
  <c r="G66" i="22"/>
  <c r="C66" i="22"/>
  <c r="G65" i="22"/>
  <c r="C65" i="22"/>
  <c r="G64" i="22"/>
  <c r="C64" i="22"/>
  <c r="G63" i="22"/>
  <c r="C63" i="22"/>
  <c r="G62" i="22"/>
  <c r="C62" i="22"/>
  <c r="G61" i="22"/>
  <c r="C61" i="22"/>
  <c r="G60" i="22"/>
  <c r="C60" i="22"/>
  <c r="G59" i="22"/>
  <c r="C59" i="22"/>
  <c r="G58" i="22"/>
  <c r="C58" i="22"/>
  <c r="G57" i="22"/>
  <c r="C57" i="22"/>
  <c r="G56" i="22"/>
  <c r="C56" i="22"/>
  <c r="G55" i="22"/>
  <c r="C55" i="22"/>
  <c r="F73" i="22"/>
  <c r="B73" i="22"/>
  <c r="F72" i="22"/>
  <c r="B72" i="22"/>
  <c r="F71" i="22"/>
  <c r="B71" i="22"/>
  <c r="F70" i="22"/>
  <c r="B70" i="22"/>
  <c r="F69" i="22"/>
  <c r="B69" i="22"/>
  <c r="F68" i="22"/>
  <c r="B68" i="22"/>
  <c r="F67" i="22"/>
  <c r="B67" i="22"/>
  <c r="F66" i="22"/>
  <c r="B66" i="22"/>
  <c r="F65" i="22"/>
  <c r="B65" i="22"/>
  <c r="F64" i="22"/>
  <c r="B64" i="22"/>
  <c r="F63" i="22"/>
  <c r="B63" i="22"/>
  <c r="F62" i="22"/>
  <c r="B62" i="22"/>
  <c r="F61" i="22"/>
  <c r="B61" i="22"/>
  <c r="F60" i="22"/>
  <c r="B60" i="22"/>
  <c r="F59" i="22"/>
  <c r="B59" i="22"/>
  <c r="F58" i="22"/>
  <c r="B58" i="22"/>
  <c r="F57" i="22"/>
  <c r="B57" i="22"/>
  <c r="F56" i="22"/>
  <c r="B56" i="22"/>
  <c r="F55" i="22"/>
  <c r="B55" i="22"/>
  <c r="I73" i="22"/>
  <c r="E73" i="22"/>
  <c r="I72" i="22"/>
  <c r="E72" i="22"/>
  <c r="I71" i="22"/>
  <c r="E71" i="22"/>
  <c r="I70" i="22"/>
  <c r="E70" i="22"/>
  <c r="I69" i="22"/>
  <c r="E69" i="22"/>
  <c r="I68" i="22"/>
  <c r="E68" i="22"/>
  <c r="I67" i="22"/>
  <c r="E67" i="22"/>
  <c r="I66" i="22"/>
  <c r="E66" i="22"/>
  <c r="I65" i="22"/>
  <c r="E65" i="22"/>
  <c r="I64" i="22"/>
  <c r="E64" i="22"/>
  <c r="I63" i="22"/>
  <c r="E63" i="22"/>
  <c r="I62" i="22"/>
  <c r="E62" i="22"/>
  <c r="I61" i="22"/>
  <c r="E61" i="22"/>
  <c r="I60" i="22"/>
  <c r="E60" i="22"/>
  <c r="I59" i="22"/>
  <c r="E59" i="22"/>
  <c r="I58" i="22"/>
  <c r="E58" i="22"/>
  <c r="I57" i="22"/>
  <c r="E57" i="22"/>
  <c r="I56" i="22"/>
  <c r="E56" i="22"/>
  <c r="I55" i="22"/>
  <c r="E55" i="22"/>
  <c r="J54" i="22" l="1"/>
  <c r="J74" i="22" s="1"/>
  <c r="E74" i="22"/>
  <c r="G74" i="22"/>
  <c r="K54" i="22"/>
  <c r="K74" i="22" s="1"/>
  <c r="J57" i="22"/>
  <c r="J59" i="22"/>
  <c r="J61" i="22"/>
  <c r="J63" i="22"/>
  <c r="J65" i="22"/>
  <c r="J67" i="22"/>
  <c r="J69" i="22"/>
  <c r="J71" i="22"/>
  <c r="J55" i="22"/>
  <c r="J56" i="22"/>
  <c r="J58" i="22"/>
  <c r="J60" i="22"/>
  <c r="J62" i="22"/>
  <c r="J64" i="22"/>
  <c r="J66" i="22"/>
  <c r="J68" i="22"/>
  <c r="J70" i="22"/>
  <c r="J72" i="22"/>
  <c r="K56" i="22"/>
  <c r="K58" i="22"/>
  <c r="K60" i="22"/>
  <c r="K62" i="22"/>
  <c r="K64" i="22"/>
  <c r="K66" i="22"/>
  <c r="K68" i="22"/>
  <c r="K70" i="22"/>
  <c r="K72" i="22"/>
  <c r="J73" i="22"/>
  <c r="K55" i="22"/>
  <c r="K57" i="22"/>
  <c r="K59" i="22"/>
  <c r="K61" i="22"/>
  <c r="K63" i="22"/>
  <c r="K65" i="22"/>
  <c r="K67" i="22"/>
  <c r="K69" i="22"/>
  <c r="K71" i="22"/>
  <c r="K73" i="22"/>
  <c r="C19" i="1"/>
  <c r="C19" i="28"/>
  <c r="C20" i="28" l="1"/>
  <c r="C18" i="21" l="1"/>
  <c r="C2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</authors>
  <commentList>
    <comment ref="E8" authorId="0" shapeId="0" xr:uid="{DA527AB6-B064-43C2-BBFE-5D09AB22C128}">
      <text>
        <r>
          <rPr>
            <b/>
            <sz val="9"/>
            <color indexed="81"/>
            <rFont val="Tahoma"/>
            <family val="2"/>
          </rPr>
          <t>https://datos.bancomundial.org/indicador/NY.GDP.MKTP.CN?end=2023&amp;start=2023&amp;view=bar</t>
        </r>
      </text>
    </comment>
    <comment ref="E9" authorId="0" shapeId="0" xr:uid="{14B975C3-8226-4802-B39D-148B1B416025}">
      <text>
        <r>
          <rPr>
            <b/>
            <sz val="9"/>
            <color indexed="81"/>
            <rFont val="Tahoma"/>
            <family val="2"/>
          </rPr>
          <t>https://datos.bancomundial.org/indicador/PA.NUS.PPP</t>
        </r>
      </text>
    </comment>
    <comment ref="E10" authorId="0" shapeId="0" xr:uid="{8BFEE7E1-7F36-415B-9FF8-E7E3D63596E0}">
      <text>
        <r>
          <rPr>
            <b/>
            <sz val="9"/>
            <color indexed="81"/>
            <rFont val="Tahoma"/>
            <family val="2"/>
          </rPr>
          <t>https://datos.bancomundial.org/indicador/SL.TLF.TOTL.IN?end=2023&amp;start=2013</t>
        </r>
      </text>
    </comment>
    <comment ref="E29" authorId="0" shapeId="0" xr:uid="{D652851B-81FA-4CE0-88AC-02B9B6AB3300}">
      <text>
        <r>
          <rPr>
            <b/>
            <sz val="9"/>
            <color indexed="81"/>
            <rFont val="Tahoma"/>
            <family val="2"/>
          </rPr>
          <t xml:space="preserve">Fixed amount by occupation, approximate value
</t>
        </r>
      </text>
    </comment>
    <comment ref="C39" authorId="0" shapeId="0" xr:uid="{76D68084-DA34-4741-A7C9-69EC4D9C8494}">
      <text>
        <r>
          <rPr>
            <b/>
            <sz val="9"/>
            <color indexed="81"/>
            <rFont val="Tahoma"/>
            <family val="2"/>
          </rPr>
          <t xml:space="preserve">5 años de antigüedad: 5 meses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</authors>
  <commentList>
    <comment ref="E15" authorId="0" shapeId="0" xr:uid="{D03353EE-1DE9-45D3-9FFA-B337ED3EC09E}">
      <text>
        <r>
          <rPr>
            <b/>
            <sz val="9"/>
            <color indexed="81"/>
            <rFont val="Tahoma"/>
            <family val="2"/>
          </rPr>
          <t>Corresponde al  Salario mínimo promedio 2023, ya que se modfica al 30 de junio de cada año: Del 01/07/2022 al 30/06/2023 el SM mensual era de Gs 2,550,307. De 01/07/2023 a 30/06/2024 el SM mensual era de Gs 2,680,373.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Minaya Auri Melissa</author>
  </authors>
  <commentList>
    <comment ref="C18" authorId="0" shapeId="0" xr:uid="{76EC632F-EB38-41D4-AB2B-9106A83AC98C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Proyected from 2023 using inflation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  <author>Minaya Auri Melissa</author>
  </authors>
  <commentList>
    <comment ref="E15" authorId="0" shapeId="0" xr:uid="{74684A73-3A58-4715-9891-1568D6085FAC}">
      <text>
        <r>
          <rPr>
            <b/>
            <sz val="9"/>
            <color indexed="81"/>
            <rFont val="Tahoma"/>
            <family val="2"/>
          </rPr>
          <t xml:space="preserve">https://www.jurisprudencia.gob.sv/DocumentosBoveda/D/2/2020-2029/2021/07/E810B.PDF
Desde entonces no ha habido revisiones al Salario Minimo. https://www.diariocolatino.com/claudia-ortiz-solicita-informe-sobre-salario-minimo/
</t>
        </r>
      </text>
    </comment>
    <comment ref="C18" authorId="1" shapeId="0" xr:uid="{FE6198A1-EC71-412B-8170-CA671AA88039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Proyected from 2023 using inflation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</authors>
  <commentList>
    <comment ref="D26" authorId="0" shapeId="0" xr:uid="{0304D23E-D712-49B2-8060-EC750109845B}">
      <text>
        <r>
          <rPr>
            <b/>
            <sz val="9"/>
            <color indexed="81"/>
            <rFont val="Tahoma"/>
            <family val="2"/>
          </rPr>
          <t>Fondo Nacional de Salud (FONASA): 3% +1.5% exceeding 2.5 BPC</t>
        </r>
      </text>
    </comment>
    <comment ref="E27" authorId="0" shapeId="0" xr:uid="{64B29E7B-DC5B-4462-AC08-D4FD80A5A3C7}">
      <text>
        <r>
          <rPr>
            <b/>
            <sz val="9"/>
            <color indexed="81"/>
            <rFont val="Tahoma"/>
            <family val="2"/>
          </rPr>
          <t>Cost to the employer: the amount paid to the BSE for purchasing the policy. Premiums are calculated based on:
a) the employer’s economic activity and the level of risk hazard,
b) the total gross wages of workers,
c) BSE administrative expenses and claims-related costs.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Minaya Auri Melissa</author>
  </authors>
  <commentList>
    <comment ref="C18" authorId="0" shapeId="0" xr:uid="{05F2D431-27B1-473B-8130-7941449443DB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Estimated using 2023 data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Minaya Auri Melissa</author>
    <author>tc={26B41ADF-6ECE-473E-9F1E-732782F4FCD9}</author>
  </authors>
  <commentList>
    <comment ref="C18" authorId="0" shapeId="0" xr:uid="{0944A2D5-AF4E-4755-886C-C30F91F4A17B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Projected using 2024 inflation rate</t>
        </r>
      </text>
    </comment>
    <comment ref="C36" authorId="1" shapeId="0" xr:uid="{26B41ADF-6ECE-473E-9F1E-732782F4FCD9}">
      <text>
        <t>[Threaded comment]
Your version of Excel allows you to read this threaded comment; however, any edits to it will get removed if the file is opened in a newer version of Excel. Learn more: https://go.microsoft.com/fwlink/?linkid=870924
Comment:
    3 weeks' basic pay for each year of service.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Montoya</author>
    <author>Minaya Auri Melissa</author>
  </authors>
  <commentList>
    <comment ref="C18" authorId="0" shapeId="0" xr:uid="{2D15A1FA-D5AD-4FEE-91C4-D60B1AC681EC}">
      <text>
        <r>
          <rPr>
            <b/>
            <sz val="9"/>
            <color indexed="81"/>
            <rFont val="Tahoma"/>
            <family val="2"/>
          </rPr>
          <t>Auri Minaya:</t>
        </r>
        <r>
          <rPr>
            <sz val="9"/>
            <color indexed="81"/>
            <rFont val="Tahoma"/>
            <family val="2"/>
          </rPr>
          <t xml:space="preserve">
Estimated using 2024 inflation data.
</t>
        </r>
      </text>
    </comment>
    <comment ref="C35" authorId="1" shapeId="0" xr:uid="{36C1A9AE-F0ED-4CF3-8087-502AD3257F05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30 days due to the seniority bonus under Supreme Decree 21060, Article 60, Supreme Decree 23474, and Supreme Decree No. 24067, regarding the concept of a productive enterprise: Supreme Court Decisions No. 207 of 06/18/2008; No. 468 of 12/22/2008; and No. 93 of 03/17/2009 (Second Social and Administrative Chamber).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Montoya</author>
  </authors>
  <commentList>
    <comment ref="C18" authorId="0" shapeId="0" xr:uid="{D74D5556-70D2-4F22-B5FA-13C5C6ACED70}">
      <text>
        <r>
          <rPr>
            <b/>
            <sz val="9"/>
            <color indexed="81"/>
            <rFont val="Tahoma"/>
            <family val="2"/>
          </rPr>
          <t>Auri Minaya:</t>
        </r>
        <r>
          <rPr>
            <sz val="9"/>
            <color indexed="81"/>
            <rFont val="Tahoma"/>
            <family val="2"/>
          </rPr>
          <t xml:space="preserve">
https://www.gov.br/trabalho-e-emprego/pt-br/assuntos/estatisticas-trabalho/rais/rais-2024
(Private enterprises)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</authors>
  <commentList>
    <comment ref="E29" authorId="0" shapeId="0" xr:uid="{CAC70218-71C5-4498-8C56-519B1E0C26FF}">
      <text>
        <r>
          <rPr>
            <b/>
            <sz val="9"/>
            <color indexed="81"/>
            <rFont val="Tahoma"/>
            <family val="2"/>
          </rPr>
          <t>Function of firm risk.</t>
        </r>
      </text>
    </comment>
    <comment ref="E32" authorId="0" shapeId="0" xr:uid="{0811DD54-02BE-4F14-8B13-48E0DACD6E08}">
      <text>
        <r>
          <rPr>
            <b/>
            <sz val="9"/>
            <color indexed="81"/>
            <rFont val="Tahoma"/>
            <family val="2"/>
          </rPr>
          <t xml:space="preserve">For firms with 5 or more permanent workers.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</authors>
  <commentList>
    <comment ref="E15" authorId="0" shapeId="0" xr:uid="{8CE81A31-71F5-4339-B9AA-FE0AF278D6C0}">
      <text>
        <r>
          <rPr>
            <b/>
            <sz val="9"/>
            <color indexed="81"/>
            <rFont val="Tahoma"/>
            <family val="2"/>
          </rPr>
          <t xml:space="preserve">Corresponde al Salario Mínimo Nacional para Topes de Cotización (SMN). 
https://consensomontevideo.cepal.org/es/instrument/resolucion-no-01-2023-estable-el-salario-minimo-nacional
Fijado del 01/04/2023 al 31/01/2024. </t>
        </r>
      </text>
    </comment>
    <comment ref="E27" authorId="0" shapeId="0" xr:uid="{E50FCB4C-C743-4254-A770-DDFF40D337FB}">
      <text>
        <r>
          <rPr>
            <b/>
            <sz val="9"/>
            <color indexed="81"/>
            <rFont val="Tahoma"/>
            <family val="2"/>
          </rPr>
          <t xml:space="preserve">Fixed rate: 1% Variable rate: 0,1%-0,15%-0,20%-0,30%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Minaya Auri Melissa</author>
    <author>Keyly Maltez</author>
  </authors>
  <commentList>
    <comment ref="C18" authorId="0" shapeId="0" xr:uid="{A886E881-4B20-43FF-8318-16030FC339A6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2022 Data projected using inflation.</t>
        </r>
      </text>
    </comment>
    <comment ref="D28" authorId="1" shapeId="0" xr:uid="{EA9CB3F6-3EE2-4CCA-8EC2-FF2F613BDECA}">
      <text>
        <r>
          <rPr>
            <b/>
            <sz val="9"/>
            <color indexed="81"/>
            <rFont val="Tahoma"/>
            <family val="2"/>
          </rPr>
          <t>No debe de realizar aportes.</t>
        </r>
      </text>
    </comment>
    <comment ref="D29" authorId="1" shapeId="0" xr:uid="{B62FE4B5-D0EC-459D-A8D0-987D45355D38}">
      <text>
        <r>
          <rPr>
            <b/>
            <sz val="9"/>
            <color indexed="81"/>
            <rFont val="Tahoma"/>
            <family val="2"/>
          </rPr>
          <t>No debe de realizar aportes.</t>
        </r>
      </text>
    </comment>
    <comment ref="C33" authorId="1" shapeId="0" xr:uid="{976EA762-6798-449E-A209-CF58A585E8A2}">
      <text>
        <r>
          <rPr>
            <b/>
            <sz val="9"/>
            <color indexed="81"/>
            <rFont val="Tahoma"/>
            <family val="2"/>
          </rPr>
          <t>Se presentan dos bonificaciones:
1. Aguinaldo (Sueldo Anual Complementario)
2. Bonificación Anual (Bono 14)</t>
        </r>
      </text>
    </comment>
    <comment ref="C35" authorId="1" shapeId="0" xr:uid="{C7426C1F-D029-431E-96F6-A79FAB7E148D}">
      <text>
        <r>
          <rPr>
            <b/>
            <sz val="9"/>
            <color indexed="81"/>
            <rFont val="Tahoma"/>
            <family val="2"/>
          </rPr>
          <t xml:space="preserve">No hay un plazo de preaviso.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Montoya</author>
    <author>Minaya Auri Melissa</author>
  </authors>
  <commentList>
    <comment ref="C8" authorId="0" shapeId="0" xr:uid="{385A513F-5A28-4944-A701-89ED53929A86}">
      <text>
        <r>
          <rPr>
            <b/>
            <sz val="9"/>
            <color indexed="81"/>
            <rFont val="Tahoma"/>
            <family val="2"/>
          </rPr>
          <t>Alvaro Montoya:</t>
        </r>
        <r>
          <rPr>
            <sz val="9"/>
            <color indexed="81"/>
            <rFont val="Tahoma"/>
            <family val="2"/>
          </rPr>
          <t xml:space="preserve">
https://www.bch.hn/estadisticas-y-publicaciones-economicas/sector-real/cuentas-nacionales-anuales-base-2000/producto-interno-bruto-(base-2000)</t>
        </r>
      </text>
    </comment>
    <comment ref="C18" authorId="1" shapeId="0" xr:uid="{EF90850C-B335-4664-9EE4-5C0F2C68CC5B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2022 data proyected using inflation
</t>
        </r>
      </text>
    </comment>
    <comment ref="E31" authorId="1" shapeId="0" xr:uid="{3514D426-A072-494E-B7CA-589795AD2DD7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The base wage is what exceeds the min contribution base  11.903,13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Minaya Auri Melissa</author>
  </authors>
  <commentList>
    <comment ref="C19" authorId="0" shapeId="0" xr:uid="{CBCEF27E-D296-4DFC-B2AA-8080C65DC550}">
      <text>
        <r>
          <rPr>
            <b/>
            <sz val="9"/>
            <color indexed="81"/>
            <rFont val="Tahoma"/>
            <family val="2"/>
          </rPr>
          <t>Minaya Auri Melissa:</t>
        </r>
        <r>
          <rPr>
            <sz val="9"/>
            <color indexed="81"/>
            <rFont val="Tahoma"/>
            <family val="2"/>
          </rPr>
          <t xml:space="preserve">
Projected to 2024 using inflation data.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Keyly Maltez</author>
  </authors>
  <commentList>
    <comment ref="E15" authorId="0" shapeId="0" xr:uid="{37F83D6D-A69D-4688-8D20-4D3F5821D90E}">
      <text>
        <r>
          <rPr>
            <b/>
            <sz val="9"/>
            <color indexed="81"/>
            <rFont val="Tahoma"/>
            <family val="2"/>
          </rPr>
          <t xml:space="preserve"> Se establece en base a la región del país, la actividad económica, la profesión y el tamaño de las empresas. 
https://www.panamaamerica.com.pa/economia/salario-minimo-que-piden-trabajadores-y-como-lo-sustentan-1230544</t>
        </r>
      </text>
    </comment>
    <comment ref="C42" authorId="0" shapeId="0" xr:uid="{016B8B21-3995-40FB-A3FD-4F84D40DEBB1}">
      <text>
        <r>
          <rPr>
            <b/>
            <sz val="9"/>
            <color indexed="81"/>
            <rFont val="Tahoma"/>
            <family val="2"/>
          </rPr>
          <t xml:space="preserve">No hay un plazo de preaviso, salvo para ciertas categorías de trabajadores.  En estos casos de excepción, se requiere un preaviso de 30 días. </t>
        </r>
      </text>
    </comment>
    <comment ref="C43" authorId="0" shapeId="0" xr:uid="{B2FD7944-DD94-4814-9023-39B8F89931F7}">
      <text>
        <r>
          <rPr>
            <b/>
            <sz val="9"/>
            <color indexed="81"/>
            <rFont val="Tahoma"/>
            <family val="2"/>
          </rPr>
          <t>El monto de la indemnización es equivalente a:  3,4 semanas de salario por cada año trabajado en los primeros 10 años</t>
        </r>
      </text>
    </comment>
  </commentList>
</comments>
</file>

<file path=xl/sharedStrings.xml><?xml version="1.0" encoding="utf-8"?>
<sst xmlns="http://schemas.openxmlformats.org/spreadsheetml/2006/main" count="1238" uniqueCount="425">
  <si>
    <t>ARGENTINA</t>
  </si>
  <si>
    <t>Unidades</t>
  </si>
  <si>
    <t>Fuente</t>
  </si>
  <si>
    <t>US $ PPA</t>
  </si>
  <si>
    <t>Pesos</t>
  </si>
  <si>
    <t>Cálculos propioss</t>
  </si>
  <si>
    <t>ACSL</t>
  </si>
  <si>
    <t>MCSL</t>
  </si>
  <si>
    <t>Pensiones</t>
  </si>
  <si>
    <t>Vejez, discapacidad y supervivencia</t>
  </si>
  <si>
    <t>Salud</t>
  </si>
  <si>
    <t>Otros</t>
  </si>
  <si>
    <t>Lesión en el trabajo</t>
  </si>
  <si>
    <t>Días</t>
  </si>
  <si>
    <t>% del salario base</t>
  </si>
  <si>
    <t>Otros beneficios no salariales</t>
  </si>
  <si>
    <t>* Nota: estos valores corresponden a un trabajador con 5 años de antigüedad.</t>
  </si>
  <si>
    <t>Bolivianos</t>
  </si>
  <si>
    <t>Enfermedad y Maternidad</t>
  </si>
  <si>
    <t>BRASIL</t>
  </si>
  <si>
    <t>Reales</t>
  </si>
  <si>
    <t xml:space="preserve">Superintendência de Estudos Econômicos e Sociais da Bahia </t>
  </si>
  <si>
    <t>7.5%-14%</t>
  </si>
  <si>
    <t>FGTS</t>
  </si>
  <si>
    <t>CHILE</t>
  </si>
  <si>
    <t>https://www.emol.com/noticias/Economia/2024/08/23/1140605/salarios-en-chile-ine.html</t>
  </si>
  <si>
    <t>Not compulsory</t>
  </si>
  <si>
    <t>COLOMBIA</t>
  </si>
  <si>
    <t>Banco Central de Colombia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</si>
  <si>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</si>
  <si>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</si>
  <si>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COSTA RICA</t>
  </si>
  <si>
    <t>Colones</t>
  </si>
  <si>
    <t>Ministerio de Relaciones Laborales</t>
  </si>
  <si>
    <t>Instituto Nacional de Aprendizaje</t>
  </si>
  <si>
    <t>Instituto Mixto de Ayuda Social</t>
  </si>
  <si>
    <t>ECUADOR</t>
  </si>
  <si>
    <t>Dólares</t>
  </si>
  <si>
    <t>Acuerdo No. MDT-2022-216</t>
  </si>
  <si>
    <t>Seguro Social Campesino</t>
  </si>
  <si>
    <t xml:space="preserve"> </t>
  </si>
  <si>
    <t>GUATEMALA</t>
  </si>
  <si>
    <t>Quetzales</t>
  </si>
  <si>
    <t>Acuerdo Gubernativo 353-2022.</t>
  </si>
  <si>
    <t>Description</t>
  </si>
  <si>
    <t>% of the base wage</t>
  </si>
  <si>
    <t>HONDURAS</t>
  </si>
  <si>
    <t>Lempiras</t>
  </si>
  <si>
    <t>Instituto Nacional de Formación Profesional - INFOP</t>
  </si>
  <si>
    <t>JAMAICA</t>
  </si>
  <si>
    <t>Dólares jamaiquinos</t>
  </si>
  <si>
    <t>Ministry of Labour and Social Security</t>
  </si>
  <si>
    <t>Cálculos propios; 50% del salario formal</t>
  </si>
  <si>
    <t>National Housing Trust - NHT</t>
  </si>
  <si>
    <t>Education Tax</t>
  </si>
  <si>
    <t>Human Employment and Resource Training Program - HEART</t>
  </si>
  <si>
    <t>Sección 3, Sub-sección 1 ETRPA "The Employment Termination and Redudancy Payments Act”</t>
  </si>
  <si>
    <t xml:space="preserve">THE EMPLOYMENT TERMINATION AND REDUNDANCY PAYMENT ACT, 1974.  REGULATION, SECTION 18.       </t>
  </si>
  <si>
    <t>UMA</t>
  </si>
  <si>
    <t>20.4% de UMA en PPP:</t>
  </si>
  <si>
    <t>Min. Wage</t>
  </si>
  <si>
    <t>INFONAVIT</t>
  </si>
  <si>
    <t>NICARAGUA</t>
  </si>
  <si>
    <t>Córdobas</t>
  </si>
  <si>
    <t>ECH</t>
  </si>
  <si>
    <t xml:space="preserve">salario neto 
Capacitación: salario bruto
</t>
  </si>
  <si>
    <t>Víctimas de guerra</t>
  </si>
  <si>
    <t>Instituto Nacional Tecnológico - INATEC</t>
  </si>
  <si>
    <t>Artículos 93 y 95 del Código de Trabajo y Artículo 82 de la Constitución.</t>
  </si>
  <si>
    <t>Artículos 76 y 77 del Código de Trabajo y Artículo 82 de la Constitución.</t>
  </si>
  <si>
    <t>Artículo 44 del Código de Trabajo</t>
  </si>
  <si>
    <t>Artículos 43, 44, 45 Y 48 del Código de Trabajo.  Hace referencia a trabajadores con contrato indefinido y despidos sin justa causa.</t>
  </si>
  <si>
    <t>Instituto Nacional de Formación Profesional - INFOTEP</t>
  </si>
  <si>
    <t>Balboas</t>
  </si>
  <si>
    <t>Seguro Educativo</t>
  </si>
  <si>
    <t>PARAGUAY</t>
  </si>
  <si>
    <t>Guaraníes</t>
  </si>
  <si>
    <t>Comisión Nacional de Salarios Mínimos/Presidencia de la República</t>
  </si>
  <si>
    <t>Nuevos Soles</t>
  </si>
  <si>
    <t>EL SALVADOR</t>
  </si>
  <si>
    <t>Dolares</t>
  </si>
  <si>
    <t>VENEZUELA</t>
  </si>
  <si>
    <t>IMF WEO October 2024</t>
  </si>
  <si>
    <t>Prestaciones por paro forzoso</t>
  </si>
  <si>
    <t>Instituto Nacional de Cooperación Educacional</t>
  </si>
  <si>
    <t xml:space="preserve">     </t>
  </si>
  <si>
    <t>Dólares de T&amp;T</t>
  </si>
  <si>
    <t>Continuous Sample Survey of Population.</t>
  </si>
  <si>
    <t>Aportaciones adicionales</t>
  </si>
  <si>
    <t>Detalle</t>
  </si>
  <si>
    <t>Costo (en Días)*</t>
  </si>
  <si>
    <t>https://www.rivermate.com/guides/trinidad-and-tobago/termination</t>
  </si>
  <si>
    <t>URUGUAY</t>
  </si>
  <si>
    <t>Fondo de Reconversión Laboral</t>
  </si>
  <si>
    <t>Resumen costos laborales totales</t>
  </si>
  <si>
    <t>Ranking</t>
  </si>
  <si>
    <t>País</t>
  </si>
  <si>
    <t>Salario mínimo</t>
  </si>
  <si>
    <t>Seguridad Social del empleador</t>
  </si>
  <si>
    <t>Vacaciones</t>
  </si>
  <si>
    <t>Aguinaldo</t>
  </si>
  <si>
    <t>Despido</t>
  </si>
  <si>
    <t>Aviso Previo</t>
  </si>
  <si>
    <t>Costo total</t>
  </si>
  <si>
    <t>Argentina</t>
  </si>
  <si>
    <t>Bolivia</t>
  </si>
  <si>
    <t>Brasil</t>
  </si>
  <si>
    <t>Chile</t>
  </si>
  <si>
    <t>Colombia</t>
  </si>
  <si>
    <t>Costa Rica</t>
  </si>
  <si>
    <t>Dominicana (Rep.)</t>
  </si>
  <si>
    <t>Ecuador</t>
  </si>
  <si>
    <t>El Salvador</t>
  </si>
  <si>
    <t>Guatemala</t>
  </si>
  <si>
    <t>Honduras</t>
  </si>
  <si>
    <t>Jamaica</t>
  </si>
  <si>
    <t>Mexico</t>
  </si>
  <si>
    <t>Nicaragua</t>
  </si>
  <si>
    <t>Panamá</t>
  </si>
  <si>
    <t>Paraguay</t>
  </si>
  <si>
    <t xml:space="preserve">Perú </t>
  </si>
  <si>
    <t>Trinidad y Tobago</t>
  </si>
  <si>
    <t>Uruguay</t>
  </si>
  <si>
    <t>Venezuela</t>
  </si>
  <si>
    <t>Promedio ALC</t>
  </si>
  <si>
    <t>PARA GRAFICO</t>
  </si>
  <si>
    <t>Agregados</t>
  </si>
  <si>
    <t>Vacaciones y aguinaldo</t>
  </si>
  <si>
    <t>Costo de despido</t>
  </si>
  <si>
    <t>Gráfico 2.7. Empleo formal y costos salariales y no salariales (en porcentaje del PIB por trabajador) en ALC, 2013</t>
  </si>
  <si>
    <t>Salario Minimo</t>
  </si>
  <si>
    <t>Contribuciones Empleador</t>
  </si>
  <si>
    <t>Costo de despido*</t>
  </si>
  <si>
    <t>Aginaldo y Vacaciones</t>
  </si>
  <si>
    <t>CNS</t>
  </si>
  <si>
    <t>Total</t>
  </si>
  <si>
    <t>Formalidad</t>
  </si>
  <si>
    <t>ALC (prom)</t>
  </si>
  <si>
    <t>ARG</t>
  </si>
  <si>
    <t>BOL</t>
  </si>
  <si>
    <t>BRA</t>
  </si>
  <si>
    <t>CHL</t>
  </si>
  <si>
    <t>COL</t>
  </si>
  <si>
    <t>CRI</t>
  </si>
  <si>
    <t>DOM</t>
  </si>
  <si>
    <t>ECU</t>
  </si>
  <si>
    <t>GTM</t>
  </si>
  <si>
    <t>HND</t>
  </si>
  <si>
    <t>JAM</t>
  </si>
  <si>
    <t/>
  </si>
  <si>
    <t>MEX</t>
  </si>
  <si>
    <t>NIC</t>
  </si>
  <si>
    <t>PAN</t>
  </si>
  <si>
    <t>PER</t>
  </si>
  <si>
    <t>PRY</t>
  </si>
  <si>
    <t>SLV</t>
  </si>
  <si>
    <t>URY</t>
  </si>
  <si>
    <t>VEN</t>
  </si>
  <si>
    <t>Fuente: Elaboración propia a partir de la legislación de cada país disponible a diciembre de 2013 y BID (2015b).</t>
  </si>
  <si>
    <t>Nuevo</t>
  </si>
  <si>
    <t>Costo</t>
  </si>
  <si>
    <t>Gráfico 2.8. Costos salariales y no salariales en ALC y tasa de formalidad de los jóvenes frente a la de los adultos, 2013 (en porcentaje)</t>
  </si>
  <si>
    <t>15-64 años</t>
  </si>
  <si>
    <t>25-64 años</t>
  </si>
  <si>
    <t>15-24 años</t>
  </si>
  <si>
    <t>Hombre</t>
  </si>
  <si>
    <t>Mujer</t>
  </si>
  <si>
    <t>Urbano</t>
  </si>
  <si>
    <t>Rural</t>
  </si>
  <si>
    <t>Bajo</t>
  </si>
  <si>
    <t>Medio</t>
  </si>
  <si>
    <t>Alto</t>
  </si>
  <si>
    <t>bajo/medio</t>
  </si>
  <si>
    <t>medio/alto</t>
  </si>
  <si>
    <t>joven/adulto</t>
  </si>
  <si>
    <t>hombre/mujer</t>
  </si>
  <si>
    <t>República Dominicana</t>
  </si>
  <si>
    <t>México</t>
  </si>
  <si>
    <t>Perú</t>
  </si>
  <si>
    <t>Fuente: Elaboración propia a partir de la legislación de cada país disponible a diciembre de 2013 y encuestas de hogares de ALC, circa 2013.</t>
  </si>
  <si>
    <t>Ratio jov/adul</t>
  </si>
  <si>
    <t>Gráfico 2.9. Costos salariales y de seguridad social en ALC y porcentaje de salidas del desempleo hacia trabajos formales, 2013</t>
  </si>
  <si>
    <t>Fuente: Elaboración propia a partir de la legislación de cada país disponible a diciembre de 2013 y datos de panel.</t>
  </si>
  <si>
    <t>Nota: Por detalles sobre los paneles véase el cuadro A.1 en el apéndice de datos.</t>
  </si>
  <si>
    <t>Aguinaldo y Vacaciones</t>
  </si>
  <si>
    <t>SM/Costo total</t>
  </si>
  <si>
    <t>% Asalariados</t>
  </si>
  <si>
    <t>% de nuevos trabajos que son asalariados</t>
  </si>
  <si>
    <t>% de salidas del desempleo hacia trabajo asalariado formal</t>
  </si>
  <si>
    <t>Costos</t>
  </si>
  <si>
    <t>Gráfico 2.10. Costos salariales y no salariales en ALC y porcentaje de trabajadores asalariados, 2013</t>
  </si>
  <si>
    <t>ALC-19</t>
  </si>
  <si>
    <t>Gráfico 4.5: Costos salariales y de seguridad social en ALC y OCDE (como porcentaje del PIB por trabajador)</t>
  </si>
  <si>
    <t>SM</t>
  </si>
  <si>
    <t>CSS</t>
  </si>
  <si>
    <t>LUX</t>
  </si>
  <si>
    <t xml:space="preserve">USA </t>
  </si>
  <si>
    <t>CZE</t>
  </si>
  <si>
    <t>ESP</t>
  </si>
  <si>
    <t>SVK</t>
  </si>
  <si>
    <t>EST</t>
  </si>
  <si>
    <t>GRC</t>
  </si>
  <si>
    <t>ISR</t>
  </si>
  <si>
    <t>PRT</t>
  </si>
  <si>
    <t>HUN</t>
  </si>
  <si>
    <t>OCDE (prom)</t>
  </si>
  <si>
    <t>POL</t>
  </si>
  <si>
    <t>IRL</t>
  </si>
  <si>
    <t>CAN</t>
  </si>
  <si>
    <t>JPN</t>
  </si>
  <si>
    <t>Fuente: Elaboración propia a partir de legislación de cada país a diciembre 2013 y OCDE (2015).</t>
  </si>
  <si>
    <t>Nota: Se asume una antigüedad de cinco años en cada país.</t>
  </si>
  <si>
    <t>GBR</t>
  </si>
  <si>
    <t>AUS</t>
  </si>
  <si>
    <t>NLD</t>
  </si>
  <si>
    <t>KOR</t>
  </si>
  <si>
    <t>SVN</t>
  </si>
  <si>
    <t>BEL</t>
  </si>
  <si>
    <t>FRA</t>
  </si>
  <si>
    <t>DATA INPUT FOR CALCULATIONS</t>
  </si>
  <si>
    <t>Country data</t>
  </si>
  <si>
    <t>GDP (current prices in local currency)</t>
  </si>
  <si>
    <t>Employment</t>
  </si>
  <si>
    <t>GDP per worker</t>
  </si>
  <si>
    <t>IDM, World Bank</t>
  </si>
  <si>
    <t>Billions</t>
  </si>
  <si>
    <t>Local currency per dollar</t>
  </si>
  <si>
    <t>Workers</t>
  </si>
  <si>
    <t>Instituto de Recreación de los Workers del Sector Privado - IRTRA</t>
  </si>
  <si>
    <t>Own calculations</t>
  </si>
  <si>
    <t>Own calculations; proporción formal /informal del 2019</t>
  </si>
  <si>
    <t>Monthly minimum wage</t>
  </si>
  <si>
    <t>Mandatory contributions</t>
  </si>
  <si>
    <t>Health</t>
  </si>
  <si>
    <t>Others</t>
  </si>
  <si>
    <t>Other non-wage benefits</t>
  </si>
  <si>
    <t>Paid leave</t>
  </si>
  <si>
    <t>* Note: these values correspond to a worker with 5 years of seniority.</t>
  </si>
  <si>
    <t>Purchasing Power Parity (PPP) conversion factor</t>
  </si>
  <si>
    <t>Bonus</t>
  </si>
  <si>
    <t>Firing notice *</t>
  </si>
  <si>
    <t>Severance pay *</t>
  </si>
  <si>
    <t>Category</t>
  </si>
  <si>
    <t>Worker's contribution</t>
  </si>
  <si>
    <t>Law on Employment Contracts No. 20,744 (hereinafter LCT), Articles 121 and 122.</t>
  </si>
  <si>
    <t>LCT, Articles 150 to 155.</t>
  </si>
  <si>
    <t>LCT, Article 231</t>
  </si>
  <si>
    <t>Gross salary (salary + annual bonus)</t>
  </si>
  <si>
    <t>Old age, disability, and survivorship</t>
  </si>
  <si>
    <t>Health insurance and Social services</t>
  </si>
  <si>
    <t>Work-related injury</t>
  </si>
  <si>
    <t>Family allowances</t>
  </si>
  <si>
    <r>
      <t>PAMI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(National Institute of Social Services for Retirees and Pensioners)</t>
    </r>
  </si>
  <si>
    <t>Contribution Base</t>
  </si>
  <si>
    <t>Employer Contribution</t>
  </si>
  <si>
    <t>Source</t>
  </si>
  <si>
    <t xml:space="preserve">% </t>
  </si>
  <si>
    <t>Sickness and maternity</t>
  </si>
  <si>
    <t>Own calculations; formal/ informal ratio from 2022</t>
  </si>
  <si>
    <t>Decree N° 4928 de 2023</t>
  </si>
  <si>
    <t>Total contribution applied to each indicator</t>
  </si>
  <si>
    <t>Unit</t>
  </si>
  <si>
    <t>Christmas Bonus Law of 12/18/1944, Supreme Decree No. 3691, Article 27</t>
  </si>
  <si>
    <t>LGT, Article 44 as amended by Supreme Decree 3150</t>
  </si>
  <si>
    <t>General Labor Law, Article 12</t>
  </si>
  <si>
    <t>General Labor Law, Articles 13 and 19. Supreme Decree No. 0110 of 2009. Supreme Decree No. 0522 of 2010. Law No. 1468 of 09/30/2022</t>
  </si>
  <si>
    <t>Law No. 4,090</t>
  </si>
  <si>
    <t>Brazilian Constitution, Article 7, Clause XVI. Consolidation of Labor Laws, Articles 129 to 145</t>
  </si>
  <si>
    <t>Law 12,506 of October 13, 2011; Article 487 of the Consolidation of Labor Laws</t>
  </si>
  <si>
    <t>Law No. 8,036</t>
  </si>
  <si>
    <t>Education salary</t>
  </si>
  <si>
    <t>National Training Service</t>
  </si>
  <si>
    <t>Social service</t>
  </si>
  <si>
    <t>Labor Code, Articles 67 to 73</t>
  </si>
  <si>
    <t>Labor Code, Article 162</t>
  </si>
  <si>
    <t>Labor Code, Articles 161, 162, and 163</t>
  </si>
  <si>
    <t>Own calculations; formal / informal proportion from 2022</t>
  </si>
  <si>
    <t>Law 21,578 of 2023. National Congress Library of Chile</t>
  </si>
  <si>
    <t>Wages</t>
  </si>
  <si>
    <t>Unemployment insurance</t>
  </si>
  <si>
    <t>Disability insurance</t>
  </si>
  <si>
    <t>AFP commission</t>
  </si>
  <si>
    <t>Article 306 of the Substantive Labor Code. The value refers to companies with capital of $200,000 or more</t>
  </si>
  <si>
    <t>Articles 186, 187, 189, and 190 of the Substantive Labor Code</t>
  </si>
  <si>
    <t>Article 66 of the Substantive Labor Code</t>
  </si>
  <si>
    <t>Net salary for workers, gross salary for employers.
Work-related injury: two minimum wages.
Solidarity Fund (pensions): four minimum wages.
National Training Service, ICBF, and Health: ten minimum wages.</t>
  </si>
  <si>
    <t>Colombian Institute of Family Welfare (ICBF)</t>
  </si>
  <si>
    <t>Family Compensation Funds</t>
  </si>
  <si>
    <t>Unemployment insurance*</t>
  </si>
  <si>
    <t>* Individual savings accounts</t>
  </si>
  <si>
    <t>** Employer contribution: for workers earning more than 10 minimum wages.</t>
  </si>
  <si>
    <t>Banco Popular</t>
  </si>
  <si>
    <t>Family Allowances</t>
  </si>
  <si>
    <t>Work Injury</t>
  </si>
  <si>
    <t>Workers' capitalization fund</t>
  </si>
  <si>
    <t>Sickness and Maternity</t>
  </si>
  <si>
    <t>Complementary Pensions</t>
  </si>
  <si>
    <t>Old age and disability</t>
  </si>
  <si>
    <t>Sickness and Maternity (regular)</t>
  </si>
  <si>
    <t>Net Wage</t>
  </si>
  <si>
    <t>% del Net Wage de aguinaldo</t>
  </si>
  <si>
    <t>Instituto Técnico de Capacitación and Productividad - INTECAP</t>
  </si>
  <si>
    <t>Guardería and prestaciones sociales</t>
  </si>
  <si>
    <t>Ministerio de Trabajo and Empleo</t>
  </si>
  <si>
    <t>TRINIDAD and TOBAGO</t>
  </si>
  <si>
    <t>Health (Employer)</t>
  </si>
  <si>
    <t>Executive Decree N° 74 de 31/12/2021, MW was set for two years (2022 and 2023).</t>
  </si>
  <si>
    <t>Compensación por tiempo de servicios (CTS)</t>
  </si>
  <si>
    <t>Gross salary (salary + annual bonus). Except for Work Injury and CTS</t>
  </si>
  <si>
    <t>Decree# 09 and 10 of 2021</t>
  </si>
  <si>
    <t>Own calculations; assumptioon 50% of the formal wage</t>
  </si>
  <si>
    <t>Executive power</t>
  </si>
  <si>
    <t>Unemployment Insurance</t>
  </si>
  <si>
    <t>Administration Expenses</t>
  </si>
  <si>
    <t>Worker's reserve fund</t>
  </si>
  <si>
    <t>Disability (Ley Orgánica de Discapacidades)</t>
  </si>
  <si>
    <t>Pensions</t>
  </si>
  <si>
    <t>LAW No. 2412 OF 10/23/1959.</t>
  </si>
  <si>
    <t>CONSTITUTION, ARTICLE 59. LABOR CODE, ARTICLES 153, 157,</t>
  </si>
  <si>
    <t>LABOR CODE, ART. 28</t>
  </si>
  <si>
    <t>CONSTITUTION, ARTICLE 63, LABOR CODE, ARTICLES 28, 29, 30, 80, 81, 82 and 83. LAW No. 7983 (WORKER PROTECTION LAW).</t>
  </si>
  <si>
    <t>LABOR CODE, ARTICLES 111 and 113</t>
  </si>
  <si>
    <t>LABOR CODE, ARTICLES 69 and 71</t>
  </si>
  <si>
    <t>Labor Code, ARTICLES 172 and 188</t>
  </si>
  <si>
    <t>LABOR CODE, ARTICLES 184 and 188</t>
  </si>
  <si>
    <t xml:space="preserve">DECREE 76-78. and DECREE 42-92. </t>
  </si>
  <si>
    <t xml:space="preserve">DECREE DE GABINETE N° 221 DE 18/11/1971, ARTICLES 1 A 5 (REDACCIÓN DADA POR EL ARTICLE 1 DE LA LEY N° 20 DE 12/08/1992). </t>
  </si>
  <si>
    <t xml:space="preserve">LOTTT, ARTICLES 132 and 140. </t>
  </si>
  <si>
    <t xml:space="preserve">LOTTT, ARTICLES 190, 192, 193 and 194. </t>
  </si>
  <si>
    <t xml:space="preserve">LOTTT, ARTICULOS 92, 93 and 94. Ver DECREE PRESIDENCIAL N° 9322. LOTTT, ARTICLES 141 A 147.  </t>
  </si>
  <si>
    <t>LABOR CODE, ARTICLE 79 and 82.</t>
  </si>
  <si>
    <t>LABOR CODE, ARTICLES 345, 346 and 352.</t>
  </si>
  <si>
    <t>LABOR CODE, ARTICLE 116 | 118</t>
  </si>
  <si>
    <t>LABOR CODE, ARTICLES 114, 120 and 123.</t>
  </si>
  <si>
    <t>LABOR CODE (LEY N° 213). ARTICLES 243, 244 and 245</t>
  </si>
  <si>
    <t xml:space="preserve">LABOR CODE (LEY N° 213). ARTICLES 91, 92, 94, 97, 98 and 99. </t>
  </si>
  <si>
    <t xml:space="preserve">LABOR CODE, ARTICLES 130 TO 134,  DECREE N° 64/92. </t>
  </si>
  <si>
    <t>SEVENTH DAY LAW and THIRTEENTH MONTH AS CHRISTMAS BONUS. DECREE No. 112.
DECREE No. 135/94, ARTICLE 34. REGULATION OF THE FOURTEENTH MONTH OF SALARY AS SOCIAL COMPENSATION. AGREEMENT No. 02-95.</t>
  </si>
  <si>
    <t>FEDERAL LABOR LAW, ARTICLE 87</t>
  </si>
  <si>
    <t>FEDERAL LABOR LAW, ARTICLES 76 and 79</t>
  </si>
  <si>
    <t>MEXICAN CONSTITUTION, ARTICLE 123.
FEDERAL LABOR LAW, ARTICLES 48, 49, 50, 52, 84 and 89.</t>
  </si>
  <si>
    <t>LABOR CODE, ARTICLE 219</t>
  </si>
  <si>
    <t xml:space="preserve">LABOR CODE, ARTICLE 177. </t>
  </si>
  <si>
    <t>LABOR CODE, ARTICLES 76</t>
  </si>
  <si>
    <t xml:space="preserve">LABOR CODE, ARTICLES 52 A 61. </t>
  </si>
  <si>
    <t>LABOR CODE, ARTICLE 149, 211, 212, 213, 214, 217, 218, 219, 223, 225 and 229 A (REDACCIÓN DADA POR LA LEY N° 44 DE 12/08/1995).</t>
  </si>
  <si>
    <t>LABOR CODE, ARTICLES 75 TO 95.</t>
  </si>
  <si>
    <t xml:space="preserve">LABOR CODE (LEY N° 213). ARTICLES 218 A 226. </t>
  </si>
  <si>
    <t>LABOR CODE. ARTICLES 87</t>
  </si>
  <si>
    <t>LAW No. 27,735</t>
  </si>
  <si>
    <t>DECREE No. 713, Chapter III: On Annual Vacations</t>
  </si>
  <si>
    <t>There is no legal provision regarding prior notice</t>
  </si>
  <si>
    <t xml:space="preserve">Labor Productivity and Competitiveness Law, approved by SUPREME DECREE No. 003-97-TR, ARTICLES 22, 34 and 38
Regulatory Norm approved by SUPREME DECREE No. 001-96-TR. </t>
  </si>
  <si>
    <t>LABOR CODE, CHAPTER VII: ON THE CHRISTMAS BONUS, ARTICLES 196 TO 202</t>
  </si>
  <si>
    <t>LABOR CODE, CHAPTER V: ON PAID ANNUAL VACATION, ARTICLES 177, 183, 184 and 187</t>
  </si>
  <si>
    <t>CONSTITUTION, ARTICLE 38, ITEM 11. LABOR CODE, ARTICLES 53, 55, 58, 119 and 140</t>
  </si>
  <si>
    <t>Law No. 12.590 and Law No. 13.556</t>
  </si>
  <si>
    <t>Law No. 12.840 and DECREE-Law No. 14.525</t>
  </si>
  <si>
    <t>Law No. 10.489, Law No. 10,542, Law No. 10.570</t>
  </si>
  <si>
    <t>Resolution No. 5/2025 of the National Council for Employment, Productivity and the Minimum, Vital and Mobile Wage, dated 09/05/2025</t>
  </si>
  <si>
    <t xml:space="preserve">LCT, Article 245. </t>
  </si>
  <si>
    <t>1.15-11.48%</t>
  </si>
  <si>
    <t>3,15%</t>
  </si>
  <si>
    <t>1.51 a 2.00 UMA</t>
  </si>
  <si>
    <t>2.01 a 2.50 UMA</t>
  </si>
  <si>
    <t>2.51 a 3.00 UMA</t>
  </si>
  <si>
    <t>3.01 a 3.50 UMA</t>
  </si>
  <si>
    <t>3.51 a 4.00 UMA</t>
  </si>
  <si>
    <r>
      <t xml:space="preserve">Net Wage ; Except for </t>
    </r>
    <r>
      <rPr>
        <i/>
        <sz val="10"/>
        <rFont val="Calibri"/>
        <family val="2"/>
        <scheme val="minor"/>
      </rPr>
      <t>Seguro Educativo</t>
    </r>
    <r>
      <rPr>
        <sz val="10"/>
        <rFont val="Calibri"/>
        <family val="2"/>
        <scheme val="minor"/>
      </rPr>
      <t xml:space="preserve">, which is gross wage. In case of workers' contributions for old age and disability, the 13th month's contribution is 7.25% and employers' is 10.75%.
</t>
    </r>
  </si>
  <si>
    <t>Sickness and Maternity*</t>
  </si>
  <si>
    <t>Additional contribution to old age and dissability</t>
  </si>
  <si>
    <t>Individual Account that can serve to get housing loans.</t>
  </si>
  <si>
    <t>Gross salary (salary + annual bonus).
Sickness and Maternity (regular) 20.4%: UMA.
Sickness and Maternity 1.1%: excess of gross wage over 3 UMA.</t>
  </si>
  <si>
    <t>Own calculations; 50% of formal wage</t>
  </si>
  <si>
    <t>Health (Employee)</t>
  </si>
  <si>
    <t>Official estimates for 2023, adjusted by inflation rate</t>
  </si>
  <si>
    <t>Own calculations using HH Surveys</t>
  </si>
  <si>
    <t>Own calculations based on HH surveys using 2022 data</t>
  </si>
  <si>
    <t>Severance Fund (can be deducted from severance pay)</t>
  </si>
  <si>
    <t xml:space="preserve"> Instituto Nacional de Capacitación y Formación (INCAF).</t>
  </si>
  <si>
    <t>Annual base wage for maximum threshold</t>
  </si>
  <si>
    <t>Net Wage except for Pensions and FRL, which is gross wage. For Sickness and Maternity, excess of 2.5 BPC ($16.440 or 623PPP) pays additional 1.5% (no wife or kids).</t>
  </si>
  <si>
    <t>BOLIVIA</t>
  </si>
  <si>
    <t>1.00 MW</t>
  </si>
  <si>
    <t>1.01 MW a 1.50 UMA</t>
  </si>
  <si>
    <t>Ministerio de Salud Pública and Bienestar Social (MSPBS)</t>
  </si>
  <si>
    <t>Units</t>
  </si>
  <si>
    <t>US $ PPP</t>
  </si>
  <si>
    <t>Monthly minimum wage (US $ PPP)</t>
  </si>
  <si>
    <t>Annual minimum wage (US $ PPP)</t>
  </si>
  <si>
    <t xml:space="preserve">Monthly wage of formal wage workers (US $ PPP) </t>
  </si>
  <si>
    <t>Annual wage of formal wage workers (US $ PPP)</t>
  </si>
  <si>
    <t>Annual average wage of informal wage workers (US $ PPP)</t>
  </si>
  <si>
    <t>* Note: these values correspond to a worker with 5 years of tenure.</t>
  </si>
  <si>
    <t xml:space="preserve">* Note: these values correspond to a worker with 5 years of seniority. </t>
  </si>
  <si>
    <t>4.01 +</t>
  </si>
  <si>
    <t xml:space="preserve">Source: https://www.issa.int/node/195543?country=992 </t>
  </si>
  <si>
    <t>MEXICO</t>
  </si>
  <si>
    <t>Pension Employer contribution as of January 2025: 2% +</t>
  </si>
  <si>
    <t>Resolution based on "Consejo de Representantes de la Comisión Nacional de los Salarios Mínimos" on december 1, 2022</t>
  </si>
  <si>
    <t>Resolution No. 01-2023</t>
  </si>
  <si>
    <t>Net Salary. Regarding the Solidarity Contribution, there is an additional variable contribution for those workers whose income is equal to or greater than Bs 13,000 (thirteen thousand bolivianos) (1.15% – 11.48%).</t>
  </si>
  <si>
    <t>Contributions and non-wage benefits as of August 1, 2025.</t>
  </si>
  <si>
    <t>8.5%**</t>
  </si>
  <si>
    <t>3%**</t>
  </si>
  <si>
    <t>2%**</t>
  </si>
  <si>
    <t>1.5-3%</t>
  </si>
  <si>
    <t>Pension Solidarity Fund***</t>
  </si>
  <si>
    <t>*** Workers earning more than 4 minimum wages</t>
  </si>
  <si>
    <t>Net Wage; For individual account contributions, the base wage is what exceeds the maximum contribution thresshold (11.903,13)</t>
  </si>
  <si>
    <t>Severance Fund (Prima de antigüedad)</t>
  </si>
  <si>
    <t>3% +1.5% exceeding 2.5 BPC</t>
  </si>
  <si>
    <t>Disability and Life Insurance</t>
  </si>
  <si>
    <t>20.4% of UMA</t>
  </si>
  <si>
    <t>1.1% (over 3 UMA)</t>
  </si>
  <si>
    <t>Values for Average Wage</t>
  </si>
  <si>
    <t>Subsistema de Vivienda y Habitat</t>
  </si>
  <si>
    <t>Sistema Nacional de Formación y Capacitación Laboral-SINAFOCAL</t>
  </si>
  <si>
    <t>n/a</t>
  </si>
  <si>
    <t>0.4%  (over 3 UMA)</t>
  </si>
  <si>
    <r>
      <rPr>
        <i/>
        <sz val="10"/>
        <color theme="1"/>
        <rFont val="Calibri"/>
        <family val="2"/>
        <scheme val="minor"/>
      </rPr>
      <t>Renta Dignidad</t>
    </r>
    <r>
      <rPr>
        <sz val="10"/>
        <color theme="1"/>
        <rFont val="Calibri"/>
        <family val="2"/>
        <scheme val="minor"/>
      </rPr>
      <t>: mandatory contributions</t>
    </r>
  </si>
  <si>
    <r>
      <rPr>
        <i/>
        <sz val="10"/>
        <color theme="1"/>
        <rFont val="Calibri"/>
        <family val="2"/>
        <scheme val="minor"/>
      </rPr>
      <t>Renta Dignidad</t>
    </r>
    <r>
      <rPr>
        <sz val="10"/>
        <color theme="1"/>
        <rFont val="Calibri"/>
        <family val="2"/>
        <scheme val="minor"/>
      </rPr>
      <t>: additional mandatory contributions (Not Applicable for average wage)</t>
    </r>
  </si>
  <si>
    <t>PANAMA</t>
  </si>
  <si>
    <t>PERU</t>
  </si>
  <si>
    <t>DOMINICAN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</si>
</sst>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_(* #,##0.000_);_(* \(#,##0.000\);_(* &quot;-&quot;??_);_(@_)"/>
    <numFmt numFmtId="169" formatCode="0.0"/>
    <numFmt numFmtId="170" formatCode="_-* #,##0\ _p_t_a_-;\-* #,##0\ _p_t_a_-;_-* &quot;-&quot;\ _p_t_a_-;_-@_-"/>
    <numFmt numFmtId="171" formatCode="_-* #,##0\ _P_t_s_-;\-* #,##0\ _P_t_s_-;_-* &quot;-&quot;\ _P_t_s_-;_-@_-"/>
    <numFmt numFmtId="172" formatCode="_ * #,##0.00_ ;_ * \-#,##0.00_ ;_ * &quot;-&quot;??_ ;_ @_ "/>
    <numFmt numFmtId="173" formatCode="_-* #,##0.00\ _P_t_s_-;\-* #,##0.00\ _P_t_s_-;_-* &quot;-&quot;??\ _P_t_s_-;_-@_-"/>
    <numFmt numFmtId="174" formatCode="0.000000000000000%"/>
    <numFmt numFmtId="175" formatCode="0.000000"/>
    <numFmt numFmtId="176" formatCode="##0.0;\-##0.0;0.0;"/>
    <numFmt numFmtId="177" formatCode="\ \.\.;\ \.\.;\ \.\.;\ \.\."/>
    <numFmt numFmtId="178" formatCode="_(* #,##0.0_);_(* \(#,##0.0\);_(* &quot;-&quot;??_);_(@_)"/>
    <numFmt numFmtId="179" formatCode="_-* #,##0_-;\-* #,##0_-;_-* &quot;-&quot;??_-;_-@_-"/>
    <numFmt numFmtId="180" formatCode="0.000%"/>
  </numFmts>
  <fonts count="1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Garamond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Book Antiqua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Book Antiqua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b/>
      <sz val="11"/>
      <color indexed="63"/>
      <name val="Book Antiqua"/>
      <family val="2"/>
    </font>
    <font>
      <sz val="11"/>
      <color indexed="14"/>
      <name val="Book Antiqua"/>
      <family val="2"/>
    </font>
    <font>
      <sz val="10"/>
      <color rgb="FF9C0006"/>
      <name val="Arial"/>
      <family val="2"/>
    </font>
    <font>
      <b/>
      <sz val="11"/>
      <color indexed="52"/>
      <name val="Book Antiqua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Book Antiqua"/>
      <family val="2"/>
    </font>
    <font>
      <b/>
      <sz val="10"/>
      <color theme="0"/>
      <name val="Arial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62"/>
      <name val="Book Antiqua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b/>
      <sz val="11"/>
      <color indexed="8"/>
      <name val="Book Antiqua"/>
      <family val="2"/>
    </font>
    <font>
      <i/>
      <sz val="11"/>
      <color indexed="23"/>
      <name val="Book Antiqua"/>
      <family val="2"/>
    </font>
    <font>
      <i/>
      <sz val="10"/>
      <color rgb="FF7F7F7F"/>
      <name val="Arial"/>
      <family val="2"/>
    </font>
    <font>
      <u/>
      <sz val="11"/>
      <color rgb="FF800080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17"/>
      <name val="Book Antiqua"/>
      <family val="2"/>
    </font>
    <font>
      <sz val="10"/>
      <color rgb="FF006100"/>
      <name val="Arial"/>
      <family val="2"/>
    </font>
    <font>
      <b/>
      <sz val="8"/>
      <color indexed="8"/>
      <name val="MS Sans Serif"/>
      <family val="2"/>
    </font>
    <font>
      <b/>
      <sz val="12"/>
      <name val="Arial"/>
      <family val="2"/>
    </font>
    <font>
      <b/>
      <sz val="15"/>
      <color indexed="57"/>
      <name val="Book Antiqua"/>
      <family val="2"/>
    </font>
    <font>
      <b/>
      <sz val="15"/>
      <color theme="3"/>
      <name val="Arial"/>
      <family val="2"/>
    </font>
    <font>
      <b/>
      <sz val="13"/>
      <color indexed="57"/>
      <name val="Book Antiqua"/>
      <family val="2"/>
    </font>
    <font>
      <b/>
      <sz val="13"/>
      <color theme="3"/>
      <name val="Arial"/>
      <family val="2"/>
    </font>
    <font>
      <b/>
      <sz val="11"/>
      <color indexed="57"/>
      <name val="Book Antiqua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color rgb="FF3F3F76"/>
      <name val="Arial"/>
      <family val="2"/>
    </font>
    <font>
      <sz val="8"/>
      <name val="Arial"/>
      <family val="2"/>
      <charset val="238"/>
    </font>
    <font>
      <sz val="11"/>
      <color indexed="52"/>
      <name val="Book Antiqua"/>
      <family val="2"/>
    </font>
    <font>
      <sz val="10"/>
      <color rgb="FFFA7D00"/>
      <name val="Arial"/>
      <family val="2"/>
    </font>
    <font>
      <sz val="11"/>
      <color indexed="60"/>
      <name val="Book Antiqua"/>
      <family val="2"/>
    </font>
    <font>
      <sz val="10"/>
      <color rgb="FF9C6500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7"/>
      <name val="Book Antiqua"/>
      <family val="2"/>
    </font>
    <font>
      <b/>
      <sz val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theme="1"/>
      <name val="Arial"/>
      <family val="2"/>
    </font>
    <font>
      <sz val="11"/>
      <color indexed="10"/>
      <name val="Book Antiqua"/>
      <family val="2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sz val="11"/>
      <color indexed="8"/>
      <name val="Calibri"/>
      <family val="2"/>
      <charset val="1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sz val="11"/>
      <color theme="1"/>
      <name val="Times New Roman"/>
      <family val="2"/>
    </font>
    <font>
      <sz val="10"/>
      <name val="Helv"/>
    </font>
    <font>
      <sz val="5"/>
      <color rgb="FF000000"/>
      <name val="Segoe UI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50595E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9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51"/>
      </top>
      <bottom style="double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ck">
        <color rgb="FF3366FF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8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26" fillId="36" borderId="0" applyNumberFormat="0" applyBorder="0" applyAlignment="0" applyProtection="0"/>
    <xf numFmtId="0" fontId="27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26" fillId="3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26" fillId="37" borderId="0" applyNumberFormat="0" applyBorder="0" applyAlignment="0" applyProtection="0"/>
    <xf numFmtId="0" fontId="27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26" fillId="36" borderId="0" applyNumberFormat="0" applyBorder="0" applyAlignment="0" applyProtection="0"/>
    <xf numFmtId="0" fontId="27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26" fillId="36" borderId="0" applyNumberFormat="0" applyBorder="0" applyAlignment="0" applyProtection="0"/>
    <xf numFmtId="0" fontId="27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6" fillId="38" borderId="0" applyNumberFormat="0" applyBorder="0" applyAlignment="0" applyProtection="0"/>
    <xf numFmtId="0" fontId="27" fillId="33" borderId="0" applyNumberFormat="0" applyBorder="0" applyAlignment="0" applyProtection="0"/>
    <xf numFmtId="0" fontId="1" fillId="33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7" borderId="0" applyNumberFormat="0" applyBorder="0" applyAlignment="0" applyProtection="0"/>
    <xf numFmtId="0" fontId="1" fillId="14" borderId="0" applyNumberFormat="0" applyBorder="0" applyAlignment="0" applyProtection="0"/>
    <xf numFmtId="0" fontId="26" fillId="38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6" fillId="37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6" fillId="44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6" fillId="38" borderId="0" applyNumberFormat="0" applyBorder="0" applyAlignment="0" applyProtection="0"/>
    <xf numFmtId="0" fontId="27" fillId="34" borderId="0" applyNumberFormat="0" applyBorder="0" applyAlignment="0" applyProtection="0"/>
    <xf numFmtId="0" fontId="1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37" borderId="0" applyNumberFormat="0" applyBorder="0" applyAlignment="0" applyProtection="0"/>
    <xf numFmtId="0" fontId="26" fillId="44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9" fillId="38" borderId="0" applyNumberFormat="0" applyBorder="0" applyAlignment="0" applyProtection="0"/>
    <xf numFmtId="0" fontId="30" fillId="15" borderId="0" applyNumberFormat="0" applyBorder="0" applyAlignment="0" applyProtection="0"/>
    <xf numFmtId="0" fontId="29" fillId="37" borderId="0" applyNumberFormat="0" applyBorder="0" applyAlignment="0" applyProtection="0"/>
    <xf numFmtId="0" fontId="30" fillId="19" borderId="0" applyNumberFormat="0" applyBorder="0" applyAlignment="0" applyProtection="0"/>
    <xf numFmtId="0" fontId="29" fillId="44" borderId="0" applyNumberFormat="0" applyBorder="0" applyAlignment="0" applyProtection="0"/>
    <xf numFmtId="0" fontId="30" fillId="23" borderId="0" applyNumberFormat="0" applyBorder="0" applyAlignment="0" applyProtection="0"/>
    <xf numFmtId="0" fontId="29" fillId="48" borderId="0" applyNumberFormat="0" applyBorder="0" applyAlignment="0" applyProtection="0"/>
    <xf numFmtId="0" fontId="30" fillId="27" borderId="0" applyNumberFormat="0" applyBorder="0" applyAlignment="0" applyProtection="0"/>
    <xf numFmtId="0" fontId="29" fillId="48" borderId="0" applyNumberFormat="0" applyBorder="0" applyAlignment="0" applyProtection="0"/>
    <xf numFmtId="0" fontId="30" fillId="31" borderId="0" applyNumberFormat="0" applyBorder="0" applyAlignment="0" applyProtection="0"/>
    <xf numFmtId="0" fontId="29" fillId="49" borderId="0" applyNumberFormat="0" applyBorder="0" applyAlignment="0" applyProtection="0"/>
    <xf numFmtId="0" fontId="30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4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29" fillId="47" borderId="0" applyNumberFormat="0" applyBorder="0" applyAlignment="0" applyProtection="0"/>
    <xf numFmtId="0" fontId="30" fillId="12" borderId="0" applyNumberFormat="0" applyBorder="0" applyAlignment="0" applyProtection="0"/>
    <xf numFmtId="0" fontId="29" fillId="53" borderId="0" applyNumberFormat="0" applyBorder="0" applyAlignment="0" applyProtection="0"/>
    <xf numFmtId="0" fontId="30" fillId="16" borderId="0" applyNumberFormat="0" applyBorder="0" applyAlignment="0" applyProtection="0"/>
    <xf numFmtId="0" fontId="29" fillId="54" borderId="0" applyNumberFormat="0" applyBorder="0" applyAlignment="0" applyProtection="0"/>
    <xf numFmtId="0" fontId="30" fillId="20" borderId="0" applyNumberFormat="0" applyBorder="0" applyAlignment="0" applyProtection="0"/>
    <xf numFmtId="0" fontId="29" fillId="48" borderId="0" applyNumberFormat="0" applyBorder="0" applyAlignment="0" applyProtection="0"/>
    <xf numFmtId="0" fontId="30" fillId="24" borderId="0" applyNumberFormat="0" applyBorder="0" applyAlignment="0" applyProtection="0"/>
    <xf numFmtId="0" fontId="29" fillId="48" borderId="0" applyNumberFormat="0" applyBorder="0" applyAlignment="0" applyProtection="0"/>
    <xf numFmtId="0" fontId="30" fillId="28" borderId="0" applyNumberFormat="0" applyBorder="0" applyAlignment="0" applyProtection="0"/>
    <xf numFmtId="0" fontId="29" fillId="48" borderId="0" applyNumberFormat="0" applyBorder="0" applyAlignment="0" applyProtection="0"/>
    <xf numFmtId="0" fontId="30" fillId="32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5" fillId="0" borderId="0" applyNumberFormat="0" applyFill="0" applyBorder="0" applyAlignment="0" applyProtection="0"/>
    <xf numFmtId="0" fontId="32" fillId="55" borderId="48" applyNumberFormat="0" applyAlignment="0" applyProtection="0"/>
    <xf numFmtId="0" fontId="33" fillId="40" borderId="0" applyNumberFormat="0" applyBorder="0" applyAlignment="0" applyProtection="0"/>
    <xf numFmtId="0" fontId="34" fillId="6" borderId="0" applyNumberFormat="0" applyBorder="0" applyAlignment="0" applyProtection="0"/>
    <xf numFmtId="0" fontId="35" fillId="55" borderId="49" applyNumberFormat="0" applyAlignment="0" applyProtection="0"/>
    <xf numFmtId="0" fontId="36" fillId="56" borderId="50"/>
    <xf numFmtId="0" fontId="37" fillId="0" borderId="0" applyNumberFormat="0" applyFill="0" applyBorder="0" applyProtection="0"/>
    <xf numFmtId="0" fontId="38" fillId="41" borderId="0" applyNumberFormat="0" applyBorder="0" applyAlignment="0" applyProtection="0"/>
    <xf numFmtId="0" fontId="35" fillId="55" borderId="49" applyNumberFormat="0" applyAlignment="0" applyProtection="0"/>
    <xf numFmtId="0" fontId="39" fillId="9" borderId="37" applyNumberFormat="0" applyAlignment="0" applyProtection="0"/>
    <xf numFmtId="0" fontId="40" fillId="57" borderId="49" applyNumberFormat="0" applyAlignment="0" applyProtection="0"/>
    <xf numFmtId="0" fontId="41" fillId="58" borderId="51" applyNumberFormat="0" applyAlignment="0" applyProtection="0"/>
    <xf numFmtId="0" fontId="42" fillId="0" borderId="52" applyNumberFormat="0" applyFill="0" applyAlignment="0" applyProtection="0"/>
    <xf numFmtId="0" fontId="36" fillId="0" borderId="44"/>
    <xf numFmtId="0" fontId="43" fillId="58" borderId="51" applyNumberFormat="0" applyAlignment="0" applyProtection="0"/>
    <xf numFmtId="0" fontId="44" fillId="10" borderId="40" applyNumberFormat="0" applyAlignment="0" applyProtection="0"/>
    <xf numFmtId="1" fontId="45" fillId="59" borderId="44">
      <alignment horizontal="right" vertical="center" indent="1"/>
    </xf>
    <xf numFmtId="0" fontId="46" fillId="59" borderId="44">
      <alignment horizontal="right" vertical="center" indent="1"/>
    </xf>
    <xf numFmtId="0" fontId="25" fillId="59" borderId="53"/>
    <xf numFmtId="0" fontId="45" fillId="60" borderId="44">
      <alignment horizontal="center" vertical="center"/>
    </xf>
    <xf numFmtId="1" fontId="45" fillId="59" borderId="44">
      <alignment horizontal="right" vertical="center" indent="1"/>
    </xf>
    <xf numFmtId="0" fontId="25" fillId="59" borderId="0"/>
    <xf numFmtId="0" fontId="47" fillId="59" borderId="44">
      <alignment horizontal="left" vertical="center" indent="1"/>
    </xf>
    <xf numFmtId="0" fontId="47" fillId="59" borderId="54">
      <alignment horizontal="left" vertical="center" indent="1"/>
    </xf>
    <xf numFmtId="0" fontId="48" fillId="59" borderId="55">
      <alignment horizontal="left" vertical="center" indent="1"/>
    </xf>
    <xf numFmtId="0" fontId="47" fillId="59" borderId="44">
      <alignment horizontal="left" indent="1"/>
    </xf>
    <xf numFmtId="0" fontId="46" fillId="59" borderId="44">
      <alignment horizontal="right" vertical="center" indent="1"/>
    </xf>
    <xf numFmtId="0" fontId="49" fillId="61" borderId="44">
      <alignment horizontal="left" vertical="center" indent="1"/>
    </xf>
    <xf numFmtId="0" fontId="49" fillId="61" borderId="44">
      <alignment horizontal="left" vertical="center" indent="1"/>
    </xf>
    <xf numFmtId="0" fontId="50" fillId="59" borderId="44">
      <alignment horizontal="left" vertical="center" indent="1"/>
    </xf>
    <xf numFmtId="0" fontId="51" fillId="59" borderId="53"/>
    <xf numFmtId="0" fontId="45" fillId="62" borderId="44">
      <alignment horizontal="left" vertical="center" indent="1"/>
    </xf>
    <xf numFmtId="0" fontId="52" fillId="60" borderId="0">
      <alignment horizontal="center"/>
    </xf>
    <xf numFmtId="0" fontId="53" fillId="60" borderId="0">
      <alignment horizontal="center" vertical="center"/>
    </xf>
    <xf numFmtId="0" fontId="25" fillId="63" borderId="0">
      <alignment horizontal="center" wrapText="1"/>
    </xf>
    <xf numFmtId="0" fontId="54" fillId="60" borderId="0">
      <alignment horizontal="center"/>
    </xf>
    <xf numFmtId="164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7" fillId="59" borderId="50" applyBorder="0">
      <protection locked="0"/>
    </xf>
    <xf numFmtId="0" fontId="58" fillId="37" borderId="49" applyNumberFormat="0" applyAlignment="0" applyProtection="0"/>
    <xf numFmtId="0" fontId="59" fillId="0" borderId="0" applyNumberFormat="0" applyFill="0" applyBorder="0" applyAlignment="0" applyProtection="0"/>
    <xf numFmtId="0" fontId="60" fillId="0" borderId="0">
      <alignment horizontal="left"/>
    </xf>
    <xf numFmtId="0" fontId="31" fillId="64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4" borderId="0" applyNumberFormat="0" applyBorder="0" applyAlignment="0" applyProtection="0"/>
    <xf numFmtId="0" fontId="61" fillId="37" borderId="49" applyNumberFormat="0" applyAlignment="0" applyProtection="0"/>
    <xf numFmtId="0" fontId="62" fillId="0" borderId="56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60" borderId="44">
      <alignment horizontal="left"/>
    </xf>
    <xf numFmtId="0" fontId="66" fillId="60" borderId="44">
      <alignment horizontal="left"/>
    </xf>
    <xf numFmtId="0" fontId="67" fillId="60" borderId="0">
      <alignment horizontal="left"/>
    </xf>
    <xf numFmtId="0" fontId="68" fillId="41" borderId="0" applyNumberFormat="0" applyBorder="0" applyAlignment="0" applyProtection="0"/>
    <xf numFmtId="0" fontId="69" fillId="5" borderId="0" applyNumberFormat="0" applyBorder="0" applyAlignment="0" applyProtection="0"/>
    <xf numFmtId="0" fontId="70" fillId="67" borderId="0">
      <alignment horizontal="right" vertical="top" textRotation="90" wrapText="1"/>
    </xf>
    <xf numFmtId="0" fontId="68" fillId="41" borderId="0" applyNumberFormat="0" applyBorder="0" applyAlignment="0" applyProtection="0"/>
    <xf numFmtId="0" fontId="71" fillId="0" borderId="0"/>
    <xf numFmtId="0" fontId="72" fillId="0" borderId="57" applyNumberFormat="0" applyFill="0" applyAlignment="0" applyProtection="0"/>
    <xf numFmtId="0" fontId="73" fillId="0" borderId="34" applyNumberFormat="0" applyFill="0" applyAlignment="0" applyProtection="0"/>
    <xf numFmtId="0" fontId="74" fillId="0" borderId="58" applyNumberFormat="0" applyFill="0" applyAlignment="0" applyProtection="0"/>
    <xf numFmtId="0" fontId="75" fillId="0" borderId="35" applyNumberFormat="0" applyFill="0" applyAlignment="0" applyProtection="0"/>
    <xf numFmtId="0" fontId="76" fillId="0" borderId="59" applyNumberFormat="0" applyFill="0" applyAlignment="0" applyProtection="0"/>
    <xf numFmtId="0" fontId="77" fillId="0" borderId="36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3" fillId="40" borderId="0" applyNumberFormat="0" applyBorder="0" applyAlignment="0" applyProtection="0"/>
    <xf numFmtId="0" fontId="58" fillId="37" borderId="49" applyNumberFormat="0" applyAlignment="0" applyProtection="0"/>
    <xf numFmtId="0" fontId="84" fillId="8" borderId="37" applyNumberFormat="0" applyAlignment="0" applyProtection="0"/>
    <xf numFmtId="0" fontId="37" fillId="63" borderId="0">
      <alignment horizontal="center"/>
    </xf>
    <xf numFmtId="0" fontId="60" fillId="0" borderId="0">
      <alignment horizontal="left"/>
    </xf>
    <xf numFmtId="0" fontId="85" fillId="60" borderId="19">
      <alignment wrapText="1"/>
    </xf>
    <xf numFmtId="0" fontId="85" fillId="60" borderId="46"/>
    <xf numFmtId="0" fontId="85" fillId="60" borderId="43"/>
    <xf numFmtId="0" fontId="36" fillId="60" borderId="47">
      <alignment horizontal="center" wrapText="1"/>
    </xf>
    <xf numFmtId="0" fontId="78" fillId="0" borderId="0" applyNumberFormat="0" applyFill="0" applyBorder="0" applyAlignment="0" applyProtection="0">
      <alignment vertical="top"/>
      <protection locked="0"/>
    </xf>
    <xf numFmtId="0" fontId="86" fillId="0" borderId="52" applyNumberFormat="0" applyFill="0" applyAlignment="0" applyProtection="0"/>
    <xf numFmtId="0" fontId="87" fillId="0" borderId="39" applyNumberFormat="0" applyFill="0" applyAlignment="0" applyProtection="0"/>
    <xf numFmtId="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88" fillId="38" borderId="0" applyNumberFormat="0" applyBorder="0" applyAlignment="0" applyProtection="0"/>
    <xf numFmtId="0" fontId="89" fillId="7" borderId="0" applyNumberFormat="0" applyBorder="0" applyAlignment="0" applyProtection="0"/>
    <xf numFmtId="0" fontId="90" fillId="0" borderId="0">
      <alignment vertical="center"/>
    </xf>
    <xf numFmtId="0" fontId="25" fillId="0" borderId="0"/>
    <xf numFmtId="0" fontId="1" fillId="0" borderId="0"/>
    <xf numFmtId="0" fontId="1" fillId="0" borderId="0"/>
    <xf numFmtId="0" fontId="25" fillId="0" borderId="0">
      <alignment wrapText="1"/>
    </xf>
    <xf numFmtId="0" fontId="91" fillId="0" borderId="0"/>
    <xf numFmtId="0" fontId="1" fillId="0" borderId="0"/>
    <xf numFmtId="0" fontId="25" fillId="0" borderId="0" applyNumberFormat="0" applyFont="0" applyFill="0" applyBorder="0" applyAlignment="0" applyProtection="0"/>
    <xf numFmtId="0" fontId="28" fillId="0" borderId="0"/>
    <xf numFmtId="0" fontId="1" fillId="0" borderId="0"/>
    <xf numFmtId="0" fontId="51" fillId="0" borderId="0"/>
    <xf numFmtId="0" fontId="25" fillId="0" borderId="0"/>
    <xf numFmtId="0" fontId="25" fillId="0" borderId="0"/>
    <xf numFmtId="0" fontId="92" fillId="0" borderId="0"/>
    <xf numFmtId="0" fontId="1" fillId="0" borderId="0"/>
    <xf numFmtId="0" fontId="55" fillId="0" borderId="0"/>
    <xf numFmtId="0" fontId="9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ont="0" applyFill="0" applyBorder="0" applyAlignment="0" applyProtection="0"/>
    <xf numFmtId="0" fontId="9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8" fillId="0" borderId="0"/>
    <xf numFmtId="0" fontId="25" fillId="0" borderId="0"/>
    <xf numFmtId="0" fontId="25" fillId="0" borderId="0" applyNumberFormat="0" applyFill="0" applyBorder="0" applyAlignment="0" applyProtection="0"/>
    <xf numFmtId="0" fontId="1" fillId="0" borderId="0"/>
    <xf numFmtId="0" fontId="27" fillId="0" borderId="0"/>
    <xf numFmtId="0" fontId="1" fillId="0" borderId="0"/>
    <xf numFmtId="0" fontId="27" fillId="0" borderId="0"/>
    <xf numFmtId="0" fontId="28" fillId="0" borderId="0"/>
    <xf numFmtId="0" fontId="1" fillId="0" borderId="0"/>
    <xf numFmtId="0" fontId="95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8" fillId="36" borderId="60" applyNumberFormat="0" applyFont="0" applyAlignment="0" applyProtection="0"/>
    <xf numFmtId="0" fontId="28" fillId="11" borderId="41" applyNumberFormat="0" applyFont="0" applyAlignment="0" applyProtection="0"/>
    <xf numFmtId="0" fontId="28" fillId="11" borderId="41" applyNumberFormat="0" applyFont="0" applyAlignment="0" applyProtection="0"/>
    <xf numFmtId="0" fontId="1" fillId="11" borderId="41" applyNumberFormat="0" applyFont="0" applyAlignment="0" applyProtection="0"/>
    <xf numFmtId="0" fontId="28" fillId="11" borderId="41" applyNumberFormat="0" applyFont="0" applyAlignment="0" applyProtection="0"/>
    <xf numFmtId="0" fontId="25" fillId="36" borderId="60" applyNumberFormat="0" applyFont="0" applyAlignment="0" applyProtection="0"/>
    <xf numFmtId="0" fontId="28" fillId="11" borderId="41" applyNumberFormat="0" applyFont="0" applyAlignment="0" applyProtection="0"/>
    <xf numFmtId="0" fontId="1" fillId="11" borderId="41" applyNumberFormat="0" applyFont="0" applyAlignment="0" applyProtection="0"/>
    <xf numFmtId="0" fontId="56" fillId="11" borderId="41" applyNumberFormat="0" applyFont="0" applyAlignment="0" applyProtection="0"/>
    <xf numFmtId="0" fontId="56" fillId="11" borderId="41" applyNumberFormat="0" applyFont="0" applyAlignment="0" applyProtection="0"/>
    <xf numFmtId="0" fontId="1" fillId="11" borderId="41" applyNumberFormat="0" applyFont="0" applyAlignment="0" applyProtection="0"/>
    <xf numFmtId="0" fontId="28" fillId="11" borderId="41" applyNumberFormat="0" applyFont="0" applyAlignment="0" applyProtection="0"/>
    <xf numFmtId="0" fontId="28" fillId="11" borderId="41" applyNumberFormat="0" applyFont="0" applyAlignment="0" applyProtection="0"/>
    <xf numFmtId="0" fontId="25" fillId="36" borderId="60" applyNumberFormat="0" applyFont="0" applyAlignment="0" applyProtection="0"/>
    <xf numFmtId="0" fontId="32" fillId="55" borderId="48" applyNumberFormat="0" applyAlignment="0" applyProtection="0"/>
    <xf numFmtId="0" fontId="96" fillId="9" borderId="38" applyNumberFormat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0" fontId="36" fillId="60" borderId="44"/>
    <xf numFmtId="0" fontId="53" fillId="60" borderId="0">
      <alignment horizontal="right"/>
    </xf>
    <xf numFmtId="0" fontId="97" fillId="68" borderId="0">
      <alignment horizontal="center"/>
    </xf>
    <xf numFmtId="0" fontId="98" fillId="63" borderId="0"/>
    <xf numFmtId="0" fontId="99" fillId="67" borderId="28">
      <alignment horizontal="left" vertical="top" wrapText="1"/>
    </xf>
    <xf numFmtId="0" fontId="99" fillId="67" borderId="33">
      <alignment horizontal="left" vertical="top"/>
    </xf>
    <xf numFmtId="0" fontId="100" fillId="57" borderId="48" applyNumberFormat="0" applyAlignment="0" applyProtection="0"/>
    <xf numFmtId="0" fontId="33" fillId="40" borderId="0" applyNumberFormat="0" applyBorder="0" applyAlignment="0" applyProtection="0"/>
    <xf numFmtId="0" fontId="25" fillId="0" borderId="61" applyNumberFormat="0" applyFill="0" applyProtection="0">
      <alignment horizontal="left" vertical="center" wrapText="1"/>
    </xf>
    <xf numFmtId="37" fontId="101" fillId="0" borderId="0"/>
    <xf numFmtId="0" fontId="52" fillId="60" borderId="0">
      <alignment horizontal="center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60" borderId="0"/>
    <xf numFmtId="0" fontId="106" fillId="0" borderId="0" applyNumberFormat="0" applyFill="0" applyBorder="0" applyAlignment="0" applyProtection="0"/>
    <xf numFmtId="0" fontId="107" fillId="0" borderId="62" applyNumberFormat="0" applyFill="0" applyAlignment="0" applyProtection="0"/>
    <xf numFmtId="0" fontId="108" fillId="0" borderId="63" applyNumberFormat="0" applyFill="0" applyAlignment="0" applyProtection="0"/>
    <xf numFmtId="0" fontId="59" fillId="0" borderId="64" applyNumberFormat="0" applyFill="0" applyAlignment="0" applyProtection="0"/>
    <xf numFmtId="0" fontId="62" fillId="0" borderId="56" applyNumberFormat="0" applyFill="0" applyAlignment="0" applyProtection="0"/>
    <xf numFmtId="0" fontId="109" fillId="0" borderId="42" applyNumberFormat="0" applyFill="0" applyAlignment="0" applyProtection="0"/>
    <xf numFmtId="0" fontId="104" fillId="0" borderId="0" applyNumberFormat="0" applyFill="0" applyBorder="0" applyAlignment="0" applyProtection="0"/>
    <xf numFmtId="0" fontId="72" fillId="0" borderId="57" applyNumberFormat="0" applyFill="0" applyAlignment="0" applyProtection="0"/>
    <xf numFmtId="0" fontId="74" fillId="0" borderId="58" applyNumberFormat="0" applyFill="0" applyAlignment="0" applyProtection="0"/>
    <xf numFmtId="0" fontId="76" fillId="0" borderId="59" applyNumberFormat="0" applyFill="0" applyAlignment="0" applyProtection="0"/>
    <xf numFmtId="0" fontId="76" fillId="0" borderId="0" applyNumberFormat="0" applyFill="0" applyBorder="0" applyAlignment="0" applyProtection="0"/>
    <xf numFmtId="0" fontId="86" fillId="0" borderId="52" applyNumberFormat="0" applyFill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ont="0" applyFill="0" applyBorder="0" applyProtection="0">
      <alignment wrapText="1"/>
    </xf>
    <xf numFmtId="0" fontId="43" fillId="58" borderId="51" applyNumberFormat="0" applyAlignment="0" applyProtection="0"/>
    <xf numFmtId="0" fontId="25" fillId="0" borderId="0" applyNumberFormat="0" applyFill="0" applyBorder="0" applyAlignment="0" applyProtection="0"/>
    <xf numFmtId="0" fontId="115" fillId="0" borderId="0"/>
    <xf numFmtId="0" fontId="95" fillId="0" borderId="0"/>
    <xf numFmtId="0" fontId="1" fillId="0" borderId="0" applyNumberFormat="0" applyFont="0" applyFill="0" applyBorder="0" applyProtection="0">
      <alignment horizontal="left" vertical="center"/>
    </xf>
    <xf numFmtId="0" fontId="25" fillId="0" borderId="67" applyNumberFormat="0" applyFill="0" applyProtection="0">
      <alignment horizontal="left" vertical="center" wrapText="1"/>
    </xf>
    <xf numFmtId="176" fontId="25" fillId="0" borderId="67" applyFill="0" applyProtection="0">
      <alignment horizontal="right" vertical="center" wrapText="1"/>
    </xf>
    <xf numFmtId="0" fontId="25" fillId="0" borderId="0" applyNumberFormat="0" applyFill="0" applyBorder="0" applyProtection="0">
      <alignment horizontal="left" vertical="center" wrapText="1"/>
    </xf>
    <xf numFmtId="0" fontId="25" fillId="0" borderId="0" applyNumberFormat="0" applyFill="0" applyBorder="0" applyProtection="0">
      <alignment horizontal="left" vertical="center" wrapText="1"/>
    </xf>
    <xf numFmtId="176" fontId="25" fillId="0" borderId="0" applyFill="0" applyBorder="0" applyProtection="0">
      <alignment horizontal="right" vertical="center" wrapText="1"/>
    </xf>
    <xf numFmtId="177" fontId="25" fillId="0" borderId="0" applyFill="0" applyBorder="0" applyProtection="0">
      <alignment horizontal="right" vertical="center" wrapText="1"/>
    </xf>
    <xf numFmtId="0" fontId="25" fillId="0" borderId="61" applyNumberFormat="0" applyFill="0" applyProtection="0">
      <alignment horizontal="left" vertical="center" wrapText="1"/>
    </xf>
    <xf numFmtId="176" fontId="25" fillId="0" borderId="61" applyFill="0" applyProtection="0">
      <alignment horizontal="right" vertical="center" wrapText="1"/>
    </xf>
    <xf numFmtId="0" fontId="25" fillId="0" borderId="0" applyNumberFormat="0" applyFill="0" applyBorder="0" applyProtection="0">
      <alignment vertical="center" wrapText="1"/>
    </xf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left" vertical="center" wrapText="1"/>
    </xf>
    <xf numFmtId="0" fontId="25" fillId="0" borderId="0" applyNumberFormat="0" applyFill="0" applyBorder="0" applyProtection="0">
      <alignment vertical="center" wrapText="1"/>
    </xf>
    <xf numFmtId="0" fontId="25" fillId="0" borderId="0" applyNumberFormat="0" applyFill="0" applyBorder="0" applyProtection="0">
      <alignment horizontal="left" vertical="center" wrapText="1"/>
    </xf>
    <xf numFmtId="0" fontId="25" fillId="0" borderId="0" applyNumberFormat="0" applyFill="0" applyBorder="0" applyProtection="0">
      <alignment vertical="center" wrapText="1"/>
    </xf>
    <xf numFmtId="0" fontId="25" fillId="0" borderId="0" applyNumberFormat="0" applyFill="0" applyBorder="0" applyProtection="0">
      <alignment vertical="center" wrapText="1"/>
    </xf>
    <xf numFmtId="0" fontId="1" fillId="0" borderId="0" applyNumberFormat="0" applyFont="0" applyFill="0" applyBorder="0" applyProtection="0">
      <alignment horizontal="left" vertical="center"/>
    </xf>
    <xf numFmtId="0" fontId="71" fillId="0" borderId="0" applyNumberFormat="0" applyFill="0" applyBorder="0" applyProtection="0">
      <alignment horizontal="left" vertical="center" wrapText="1"/>
    </xf>
    <xf numFmtId="0" fontId="71" fillId="0" borderId="0" applyNumberFormat="0" applyFill="0" applyBorder="0" applyProtection="0">
      <alignment horizontal="left" vertical="center" wrapText="1"/>
    </xf>
    <xf numFmtId="0" fontId="116" fillId="0" borderId="0" applyNumberFormat="0" applyFill="0" applyBorder="0" applyProtection="0">
      <alignment vertical="center" wrapText="1"/>
    </xf>
    <xf numFmtId="0" fontId="1" fillId="0" borderId="68" applyNumberFormat="0" applyFont="0" applyFill="0" applyProtection="0">
      <alignment horizontal="center" vertical="center" wrapText="1"/>
    </xf>
    <xf numFmtId="0" fontId="71" fillId="0" borderId="68" applyNumberFormat="0" applyFill="0" applyProtection="0">
      <alignment horizontal="center" vertical="center" wrapText="1"/>
    </xf>
    <xf numFmtId="0" fontId="71" fillId="0" borderId="68" applyNumberFormat="0" applyFill="0" applyProtection="0">
      <alignment horizontal="center" vertical="center" wrapText="1"/>
    </xf>
    <xf numFmtId="0" fontId="25" fillId="0" borderId="67" applyNumberFormat="0" applyFill="0" applyProtection="0">
      <alignment horizontal="left" vertical="center" wrapText="1"/>
    </xf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23" fillId="0" borderId="0"/>
    <xf numFmtId="43" fontId="25" fillId="0" borderId="0" applyFont="0" applyFill="0" applyBorder="0" applyAlignment="0" applyProtection="0"/>
    <xf numFmtId="0" fontId="123" fillId="0" borderId="0"/>
    <xf numFmtId="43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123" fillId="0" borderId="0"/>
    <xf numFmtId="1" fontId="124" fillId="0" borderId="0"/>
  </cellStyleXfs>
  <cellXfs count="542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0" fontId="0" fillId="0" borderId="0" xfId="2" applyNumberFormat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6" fontId="0" fillId="0" borderId="2" xfId="1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7" fontId="8" fillId="0" borderId="19" xfId="2" applyNumberFormat="1" applyFont="1" applyFill="1" applyBorder="1" applyAlignment="1">
      <alignment horizontal="center" vertical="center"/>
    </xf>
    <xf numFmtId="43" fontId="8" fillId="0" borderId="19" xfId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6" fontId="0" fillId="0" borderId="21" xfId="1" applyNumberFormat="1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166" fontId="0" fillId="0" borderId="19" xfId="1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0" fontId="8" fillId="0" borderId="0" xfId="2" applyNumberFormat="1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0" fontId="8" fillId="2" borderId="13" xfId="2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7" fontId="0" fillId="0" borderId="0" xfId="2" applyNumberFormat="1" applyFont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8" fillId="0" borderId="24" xfId="2" applyNumberFormat="1" applyFont="1" applyFill="1" applyBorder="1" applyAlignment="1">
      <alignment vertical="center" wrapText="1"/>
    </xf>
    <xf numFmtId="10" fontId="8" fillId="2" borderId="22" xfId="2" applyNumberFormat="1" applyFont="1" applyFill="1" applyBorder="1" applyAlignment="1">
      <alignment vertical="center" wrapText="1"/>
    </xf>
    <xf numFmtId="167" fontId="8" fillId="2" borderId="2" xfId="2" applyNumberFormat="1" applyFont="1" applyFill="1" applyBorder="1" applyAlignment="1">
      <alignment horizontal="center" vertical="center"/>
    </xf>
    <xf numFmtId="167" fontId="8" fillId="2" borderId="8" xfId="2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0" fontId="8" fillId="0" borderId="11" xfId="2" applyNumberFormat="1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/>
    </xf>
    <xf numFmtId="10" fontId="8" fillId="2" borderId="15" xfId="2" applyNumberFormat="1" applyFont="1" applyFill="1" applyBorder="1" applyAlignment="1">
      <alignment vertical="center" wrapText="1"/>
    </xf>
    <xf numFmtId="0" fontId="11" fillId="0" borderId="0" xfId="0" applyFont="1"/>
    <xf numFmtId="0" fontId="4" fillId="0" borderId="0" xfId="0" applyFont="1"/>
    <xf numFmtId="0" fontId="14" fillId="0" borderId="0" xfId="3"/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0" fontId="8" fillId="0" borderId="0" xfId="2" applyNumberFormat="1" applyFont="1" applyFill="1" applyBorder="1" applyAlignment="1">
      <alignment horizontal="center" vertical="center"/>
    </xf>
    <xf numFmtId="10" fontId="0" fillId="0" borderId="0" xfId="2" applyNumberFormat="1" applyFont="1" applyBorder="1"/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0" xfId="3" applyAlignment="1">
      <alignment vertical="center"/>
    </xf>
    <xf numFmtId="0" fontId="10" fillId="3" borderId="23" xfId="0" applyFont="1" applyFill="1" applyBorder="1" applyAlignment="1">
      <alignment horizontal="center" vertical="center" wrapText="1"/>
    </xf>
    <xf numFmtId="0" fontId="11" fillId="0" borderId="0" xfId="3" applyFont="1"/>
    <xf numFmtId="167" fontId="18" fillId="0" borderId="0" xfId="0" applyNumberFormat="1" applyFont="1"/>
    <xf numFmtId="43" fontId="18" fillId="0" borderId="0" xfId="1" applyFont="1" applyBorder="1"/>
    <xf numFmtId="0" fontId="18" fillId="0" borderId="0" xfId="0" applyFont="1"/>
    <xf numFmtId="167" fontId="17" fillId="0" borderId="0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9" fontId="4" fillId="0" borderId="0" xfId="0" applyNumberFormat="1" applyFont="1" applyAlignment="1">
      <alignment vertical="center" wrapText="1"/>
    </xf>
    <xf numFmtId="169" fontId="0" fillId="0" borderId="0" xfId="0" applyNumberFormat="1" applyAlignment="1">
      <alignment vertical="center" wrapText="1"/>
    </xf>
    <xf numFmtId="0" fontId="19" fillId="0" borderId="0" xfId="0" applyFont="1"/>
    <xf numFmtId="0" fontId="0" fillId="0" borderId="19" xfId="0" applyBorder="1"/>
    <xf numFmtId="0" fontId="5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8" xfId="0" applyBorder="1"/>
    <xf numFmtId="167" fontId="0" fillId="0" borderId="8" xfId="2" applyNumberFormat="1" applyFont="1" applyBorder="1"/>
    <xf numFmtId="167" fontId="0" fillId="0" borderId="29" xfId="2" applyNumberFormat="1" applyFont="1" applyBorder="1"/>
    <xf numFmtId="167" fontId="0" fillId="0" borderId="30" xfId="2" applyNumberFormat="1" applyFont="1" applyBorder="1"/>
    <xf numFmtId="167" fontId="2" fillId="0" borderId="8" xfId="2" applyNumberFormat="1" applyFont="1" applyBorder="1"/>
    <xf numFmtId="167" fontId="0" fillId="0" borderId="0" xfId="2" applyNumberFormat="1" applyFont="1" applyBorder="1"/>
    <xf numFmtId="167" fontId="0" fillId="0" borderId="31" xfId="2" applyNumberFormat="1" applyFont="1" applyBorder="1"/>
    <xf numFmtId="167" fontId="0" fillId="0" borderId="32" xfId="2" applyNumberFormat="1" applyFont="1" applyBorder="1"/>
    <xf numFmtId="167" fontId="2" fillId="0" borderId="0" xfId="2" applyNumberFormat="1" applyFont="1" applyBorder="1"/>
    <xf numFmtId="0" fontId="2" fillId="0" borderId="19" xfId="0" applyFont="1" applyBorder="1"/>
    <xf numFmtId="167" fontId="2" fillId="0" borderId="19" xfId="2" applyNumberFormat="1" applyFont="1" applyBorder="1"/>
    <xf numFmtId="167" fontId="2" fillId="0" borderId="33" xfId="2" applyNumberFormat="1" applyFont="1" applyBorder="1"/>
    <xf numFmtId="167" fontId="2" fillId="0" borderId="28" xfId="2" applyNumberFormat="1" applyFont="1" applyBorder="1"/>
    <xf numFmtId="167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9" fontId="0" fillId="0" borderId="8" xfId="2" applyFont="1" applyBorder="1"/>
    <xf numFmtId="0" fontId="4" fillId="0" borderId="0" xfId="0" applyFont="1" applyAlignment="1">
      <alignment horizontal="center"/>
    </xf>
    <xf numFmtId="9" fontId="0" fillId="0" borderId="0" xfId="2" applyFont="1" applyBorder="1"/>
    <xf numFmtId="0" fontId="4" fillId="0" borderId="43" xfId="0" applyFont="1" applyBorder="1" applyAlignment="1">
      <alignment horizontal="center"/>
    </xf>
    <xf numFmtId="0" fontId="0" fillId="0" borderId="43" xfId="0" applyBorder="1"/>
    <xf numFmtId="9" fontId="0" fillId="0" borderId="43" xfId="2" applyFont="1" applyBorder="1"/>
    <xf numFmtId="167" fontId="0" fillId="0" borderId="43" xfId="2" applyNumberFormat="1" applyFont="1" applyBorder="1"/>
    <xf numFmtId="167" fontId="0" fillId="0" borderId="45" xfId="2" applyNumberFormat="1" applyFont="1" applyBorder="1"/>
    <xf numFmtId="167" fontId="0" fillId="0" borderId="46" xfId="2" applyNumberFormat="1" applyFont="1" applyBorder="1"/>
    <xf numFmtId="167" fontId="0" fillId="0" borderId="47" xfId="2" applyNumberFormat="1" applyFont="1" applyBorder="1"/>
    <xf numFmtId="0" fontId="20" fillId="0" borderId="0" xfId="0" applyFont="1"/>
    <xf numFmtId="9" fontId="21" fillId="0" borderId="0" xfId="2" applyFont="1" applyBorder="1"/>
    <xf numFmtId="0" fontId="21" fillId="0" borderId="0" xfId="0" applyFont="1"/>
    <xf numFmtId="0" fontId="17" fillId="0" borderId="0" xfId="0" applyFont="1"/>
    <xf numFmtId="0" fontId="22" fillId="0" borderId="0" xfId="0" applyFont="1"/>
    <xf numFmtId="43" fontId="0" fillId="0" borderId="0" xfId="1" applyFont="1"/>
    <xf numFmtId="43" fontId="22" fillId="0" borderId="0" xfId="1" applyFont="1"/>
    <xf numFmtId="168" fontId="22" fillId="0" borderId="0" xfId="1" applyNumberFormat="1" applyFont="1"/>
    <xf numFmtId="167" fontId="23" fillId="0" borderId="0" xfId="2" applyNumberFormat="1" applyFont="1"/>
    <xf numFmtId="43" fontId="17" fillId="2" borderId="0" xfId="1" applyFont="1" applyFill="1"/>
    <xf numFmtId="0" fontId="21" fillId="0" borderId="43" xfId="0" applyFont="1" applyBorder="1"/>
    <xf numFmtId="9" fontId="21" fillId="0" borderId="43" xfId="2" applyFont="1" applyBorder="1"/>
    <xf numFmtId="168" fontId="22" fillId="4" borderId="0" xfId="1" applyNumberFormat="1" applyFont="1" applyFill="1"/>
    <xf numFmtId="0" fontId="21" fillId="0" borderId="8" xfId="0" applyFont="1" applyBorder="1"/>
    <xf numFmtId="9" fontId="21" fillId="0" borderId="8" xfId="2" applyFont="1" applyBorder="1"/>
    <xf numFmtId="43" fontId="21" fillId="0" borderId="0" xfId="1" applyFont="1"/>
    <xf numFmtId="0" fontId="23" fillId="0" borderId="0" xfId="0" applyFont="1"/>
    <xf numFmtId="0" fontId="21" fillId="0" borderId="0" xfId="0" applyFont="1" applyAlignment="1">
      <alignment horizontal="left" vertical="center"/>
    </xf>
    <xf numFmtId="9" fontId="21" fillId="0" borderId="0" xfId="0" applyNumberFormat="1" applyFont="1"/>
    <xf numFmtId="167" fontId="21" fillId="0" borderId="0" xfId="2" applyNumberFormat="1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0" xfId="0" applyFont="1"/>
    <xf numFmtId="9" fontId="4" fillId="0" borderId="0" xfId="0" applyNumberFormat="1" applyFont="1"/>
    <xf numFmtId="43" fontId="4" fillId="0" borderId="0" xfId="1" applyFont="1"/>
    <xf numFmtId="0" fontId="21" fillId="4" borderId="65" xfId="0" applyFont="1" applyFill="1" applyBorder="1" applyAlignment="1">
      <alignment horizontal="center"/>
    </xf>
    <xf numFmtId="0" fontId="21" fillId="4" borderId="0" xfId="0" applyFont="1" applyFill="1"/>
    <xf numFmtId="9" fontId="21" fillId="4" borderId="66" xfId="2" applyFont="1" applyFill="1" applyBorder="1"/>
    <xf numFmtId="9" fontId="21" fillId="2" borderId="66" xfId="2" applyFont="1" applyFill="1" applyBorder="1"/>
    <xf numFmtId="9" fontId="21" fillId="4" borderId="0" xfId="2" applyFont="1" applyFill="1" applyBorder="1"/>
    <xf numFmtId="9" fontId="21" fillId="2" borderId="0" xfId="2" applyFont="1" applyFill="1" applyBorder="1"/>
    <xf numFmtId="174" fontId="4" fillId="0" borderId="0" xfId="0" applyNumberFormat="1" applyFont="1"/>
    <xf numFmtId="0" fontId="4" fillId="0" borderId="43" xfId="0" applyFont="1" applyBorder="1"/>
    <xf numFmtId="0" fontId="21" fillId="4" borderId="43" xfId="0" applyFont="1" applyFill="1" applyBorder="1"/>
    <xf numFmtId="9" fontId="21" fillId="4" borderId="43" xfId="2" applyFont="1" applyFill="1" applyBorder="1"/>
    <xf numFmtId="9" fontId="21" fillId="2" borderId="43" xfId="2" applyFont="1" applyFill="1" applyBorder="1"/>
    <xf numFmtId="0" fontId="4" fillId="0" borderId="8" xfId="0" applyFont="1" applyBorder="1"/>
    <xf numFmtId="0" fontId="4" fillId="2" borderId="0" xfId="0" applyFont="1" applyFill="1"/>
    <xf numFmtId="0" fontId="20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0" fontId="112" fillId="0" borderId="19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43" fontId="21" fillId="0" borderId="0" xfId="1" applyFont="1" applyFill="1" applyBorder="1"/>
    <xf numFmtId="43" fontId="22" fillId="2" borderId="0" xfId="1" applyFont="1" applyFill="1"/>
    <xf numFmtId="43" fontId="22" fillId="4" borderId="0" xfId="1" applyFont="1" applyFill="1"/>
    <xf numFmtId="43" fontId="21" fillId="2" borderId="0" xfId="1" applyFont="1" applyFill="1"/>
    <xf numFmtId="43" fontId="21" fillId="0" borderId="0" xfId="1" applyFont="1" applyBorder="1"/>
    <xf numFmtId="43" fontId="22" fillId="2" borderId="0" xfId="1" applyFont="1" applyFill="1" applyBorder="1"/>
    <xf numFmtId="43" fontId="22" fillId="0" borderId="0" xfId="1" applyFont="1" applyBorder="1"/>
    <xf numFmtId="43" fontId="21" fillId="2" borderId="0" xfId="1" applyFont="1" applyFill="1" applyBorder="1"/>
    <xf numFmtId="43" fontId="22" fillId="4" borderId="0" xfId="1" applyFont="1" applyFill="1" applyBorder="1"/>
    <xf numFmtId="43" fontId="21" fillId="0" borderId="43" xfId="1" applyFont="1" applyBorder="1"/>
    <xf numFmtId="43" fontId="22" fillId="2" borderId="43" xfId="1" applyFont="1" applyFill="1" applyBorder="1"/>
    <xf numFmtId="43" fontId="22" fillId="0" borderId="43" xfId="1" applyFont="1" applyBorder="1"/>
    <xf numFmtId="43" fontId="21" fillId="2" borderId="43" xfId="1" applyFont="1" applyFill="1" applyBorder="1"/>
    <xf numFmtId="43" fontId="21" fillId="0" borderId="0" xfId="0" applyNumberFormat="1" applyFont="1"/>
    <xf numFmtId="9" fontId="21" fillId="0" borderId="0" xfId="2" applyFont="1" applyFill="1" applyBorder="1"/>
    <xf numFmtId="0" fontId="21" fillId="0" borderId="0" xfId="0" applyFont="1" applyAlignment="1">
      <alignment horizontal="center"/>
    </xf>
    <xf numFmtId="43" fontId="21" fillId="0" borderId="0" xfId="1" applyFont="1" applyFill="1" applyBorder="1" applyAlignment="1">
      <alignment horizontal="center"/>
    </xf>
    <xf numFmtId="0" fontId="22" fillId="0" borderId="43" xfId="0" applyFont="1" applyBorder="1"/>
    <xf numFmtId="0" fontId="112" fillId="0" borderId="0" xfId="0" applyFont="1"/>
    <xf numFmtId="9" fontId="21" fillId="0" borderId="0" xfId="2" applyFont="1"/>
    <xf numFmtId="175" fontId="0" fillId="0" borderId="0" xfId="0" applyNumberFormat="1" applyAlignment="1">
      <alignment vertical="center" wrapText="1"/>
    </xf>
    <xf numFmtId="167" fontId="3" fillId="0" borderId="0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/>
    <xf numFmtId="10" fontId="0" fillId="0" borderId="0" xfId="0" applyNumberFormat="1"/>
    <xf numFmtId="0" fontId="0" fillId="4" borderId="0" xfId="0" applyFill="1"/>
    <xf numFmtId="0" fontId="14" fillId="4" borderId="0" xfId="3" applyFill="1"/>
    <xf numFmtId="0" fontId="14" fillId="0" borderId="0" xfId="3" applyBorder="1"/>
    <xf numFmtId="0" fontId="11" fillId="0" borderId="0" xfId="0" applyFont="1" applyAlignment="1">
      <alignment vertical="center"/>
    </xf>
    <xf numFmtId="0" fontId="11" fillId="0" borderId="0" xfId="3" applyFont="1" applyAlignment="1"/>
    <xf numFmtId="0" fontId="14" fillId="0" borderId="0" xfId="3" applyAlignment="1"/>
    <xf numFmtId="0" fontId="14" fillId="0" borderId="0" xfId="3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9" fontId="8" fillId="0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 vertical="center" wrapText="1"/>
    </xf>
    <xf numFmtId="0" fontId="113" fillId="0" borderId="0" xfId="0" applyFont="1" applyAlignment="1">
      <alignment horizontal="left" vertical="center"/>
    </xf>
    <xf numFmtId="0" fontId="0" fillId="0" borderId="43" xfId="0" applyBorder="1" applyAlignment="1">
      <alignment horizontal="center" vertical="center" wrapText="1"/>
    </xf>
    <xf numFmtId="9" fontId="0" fillId="0" borderId="0" xfId="2" applyFont="1"/>
    <xf numFmtId="9" fontId="0" fillId="0" borderId="0" xfId="0" applyNumberFormat="1"/>
    <xf numFmtId="43" fontId="17" fillId="4" borderId="0" xfId="1" applyFont="1" applyFill="1"/>
    <xf numFmtId="43" fontId="0" fillId="2" borderId="0" xfId="1" applyFont="1" applyFill="1"/>
    <xf numFmtId="9" fontId="114" fillId="4" borderId="0" xfId="2" applyFont="1" applyFill="1" applyBorder="1"/>
    <xf numFmtId="43" fontId="17" fillId="0" borderId="0" xfId="1" applyFont="1"/>
    <xf numFmtId="9" fontId="114" fillId="4" borderId="66" xfId="2" applyFont="1" applyFill="1" applyBorder="1"/>
    <xf numFmtId="9" fontId="114" fillId="4" borderId="43" xfId="2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right" vertical="center" wrapText="1"/>
    </xf>
    <xf numFmtId="43" fontId="0" fillId="0" borderId="0" xfId="0" applyNumberFormat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76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4" fillId="0" borderId="74" xfId="0" applyFont="1" applyBorder="1" applyAlignment="1">
      <alignment vertical="center" wrapText="1"/>
    </xf>
    <xf numFmtId="0" fontId="4" fillId="4" borderId="0" xfId="0" applyFont="1" applyFill="1"/>
    <xf numFmtId="0" fontId="1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18" fillId="0" borderId="0" xfId="3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3" applyFont="1" applyFill="1" applyBorder="1" applyAlignment="1">
      <alignment vertical="center" wrapText="1"/>
    </xf>
    <xf numFmtId="0" fontId="11" fillId="0" borderId="0" xfId="3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3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6" fontId="0" fillId="0" borderId="44" xfId="1" applyNumberFormat="1" applyFont="1" applyFill="1" applyBorder="1" applyAlignment="1">
      <alignment vertical="center" wrapText="1"/>
    </xf>
    <xf numFmtId="166" fontId="0" fillId="0" borderId="71" xfId="1" applyNumberFormat="1" applyFont="1" applyFill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166" fontId="0" fillId="0" borderId="76" xfId="1" applyNumberFormat="1" applyFont="1" applyFill="1" applyBorder="1" applyAlignment="1">
      <alignment vertical="center" wrapText="1"/>
    </xf>
    <xf numFmtId="0" fontId="118" fillId="2" borderId="2" xfId="0" applyFont="1" applyFill="1" applyBorder="1" applyAlignment="1">
      <alignment vertical="center" wrapText="1"/>
    </xf>
    <xf numFmtId="0" fontId="118" fillId="4" borderId="26" xfId="0" applyFont="1" applyFill="1" applyBorder="1" applyAlignment="1">
      <alignment vertical="center" wrapText="1"/>
    </xf>
    <xf numFmtId="166" fontId="0" fillId="0" borderId="0" xfId="1" applyNumberFormat="1" applyFont="1" applyFill="1"/>
    <xf numFmtId="43" fontId="0" fillId="0" borderId="19" xfId="1" applyFont="1" applyFill="1" applyBorder="1" applyAlignment="1">
      <alignment vertical="center" wrapText="1"/>
    </xf>
    <xf numFmtId="167" fontId="8" fillId="2" borderId="8" xfId="1" applyNumberFormat="1" applyFont="1" applyFill="1" applyBorder="1" applyAlignment="1">
      <alignment horizontal="center" vertical="center"/>
    </xf>
    <xf numFmtId="167" fontId="8" fillId="2" borderId="13" xfId="1" applyNumberFormat="1" applyFont="1" applyFill="1" applyBorder="1" applyAlignment="1">
      <alignment horizontal="center" vertical="center"/>
    </xf>
    <xf numFmtId="43" fontId="8" fillId="2" borderId="44" xfId="1" applyFont="1" applyFill="1" applyBorder="1" applyAlignment="1">
      <alignment horizontal="center" vertical="center"/>
    </xf>
    <xf numFmtId="43" fontId="8" fillId="2" borderId="76" xfId="1" applyFont="1" applyFill="1" applyBorder="1" applyAlignment="1">
      <alignment horizontal="center" vertical="center"/>
    </xf>
    <xf numFmtId="10" fontId="8" fillId="0" borderId="44" xfId="2" applyNumberFormat="1" applyFont="1" applyFill="1" applyBorder="1" applyAlignment="1">
      <alignment horizontal="center" vertical="center"/>
    </xf>
    <xf numFmtId="167" fontId="8" fillId="2" borderId="71" xfId="2" applyNumberFormat="1" applyFont="1" applyFill="1" applyBorder="1" applyAlignment="1">
      <alignment horizontal="center" vertical="center"/>
    </xf>
    <xf numFmtId="43" fontId="8" fillId="2" borderId="72" xfId="1" applyFont="1" applyFill="1" applyBorder="1" applyAlignment="1">
      <alignment horizontal="center" vertical="center"/>
    </xf>
    <xf numFmtId="167" fontId="8" fillId="0" borderId="74" xfId="2" applyNumberFormat="1" applyFont="1" applyFill="1" applyBorder="1" applyAlignment="1">
      <alignment horizontal="center" vertical="center"/>
    </xf>
    <xf numFmtId="10" fontId="8" fillId="2" borderId="74" xfId="2" applyNumberFormat="1" applyFont="1" applyFill="1" applyBorder="1" applyAlignment="1">
      <alignment horizontal="center" vertical="center"/>
    </xf>
    <xf numFmtId="10" fontId="8" fillId="2" borderId="77" xfId="2" applyNumberFormat="1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18" fillId="2" borderId="70" xfId="0" applyFont="1" applyFill="1" applyBorder="1" applyAlignment="1">
      <alignment vertical="center" wrapText="1"/>
    </xf>
    <xf numFmtId="0" fontId="118" fillId="4" borderId="73" xfId="0" applyFont="1" applyFill="1" applyBorder="1" applyAlignment="1">
      <alignment vertical="center" wrapText="1"/>
    </xf>
    <xf numFmtId="0" fontId="8" fillId="2" borderId="73" xfId="0" applyFont="1" applyFill="1" applyBorder="1" applyAlignment="1">
      <alignment vertical="center" wrapText="1"/>
    </xf>
    <xf numFmtId="178" fontId="0" fillId="0" borderId="0" xfId="1" applyNumberFormat="1" applyFont="1" applyFill="1"/>
    <xf numFmtId="0" fontId="119" fillId="0" borderId="0" xfId="0" applyFont="1"/>
    <xf numFmtId="166" fontId="15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left" vertical="center" wrapText="1"/>
    </xf>
    <xf numFmtId="166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7" fontId="8" fillId="0" borderId="16" xfId="2" applyNumberFormat="1" applyFont="1" applyBorder="1" applyAlignment="1">
      <alignment horizontal="center" vertical="center"/>
    </xf>
    <xf numFmtId="167" fontId="8" fillId="2" borderId="25" xfId="2" applyNumberFormat="1" applyFont="1" applyFill="1" applyBorder="1" applyAlignment="1">
      <alignment horizontal="center" vertical="center"/>
    </xf>
    <xf numFmtId="167" fontId="8" fillId="0" borderId="17" xfId="2" applyNumberFormat="1" applyFont="1" applyBorder="1" applyAlignment="1">
      <alignment horizontal="center" vertical="center"/>
    </xf>
    <xf numFmtId="167" fontId="8" fillId="2" borderId="27" xfId="2" applyNumberFormat="1" applyFont="1" applyFill="1" applyBorder="1" applyAlignment="1">
      <alignment horizontal="center" vertical="center"/>
    </xf>
    <xf numFmtId="10" fontId="8" fillId="0" borderId="16" xfId="2" applyNumberFormat="1" applyFont="1" applyBorder="1" applyAlignment="1">
      <alignment horizontal="center" vertical="center"/>
    </xf>
    <xf numFmtId="10" fontId="8" fillId="2" borderId="27" xfId="2" applyNumberFormat="1" applyFont="1" applyFill="1" applyBorder="1" applyAlignment="1">
      <alignment horizontal="center" vertical="center"/>
    </xf>
    <xf numFmtId="166" fontId="0" fillId="4" borderId="44" xfId="1" applyNumberFormat="1" applyFont="1" applyFill="1" applyBorder="1" applyAlignment="1">
      <alignment vertical="center" wrapText="1"/>
    </xf>
    <xf numFmtId="167" fontId="8" fillId="0" borderId="16" xfId="2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left" vertical="center" wrapText="1"/>
    </xf>
    <xf numFmtId="9" fontId="0" fillId="0" borderId="0" xfId="2" applyFont="1" applyAlignment="1">
      <alignment vertical="center" wrapText="1"/>
    </xf>
    <xf numFmtId="2" fontId="8" fillId="0" borderId="0" xfId="2" applyNumberFormat="1" applyFont="1" applyFill="1" applyBorder="1" applyAlignment="1">
      <alignment horizontal="center" vertical="center"/>
    </xf>
    <xf numFmtId="9" fontId="8" fillId="0" borderId="0" xfId="2" applyFont="1" applyAlignment="1">
      <alignment vertical="center"/>
    </xf>
    <xf numFmtId="9" fontId="0" fillId="0" borderId="0" xfId="2" applyFont="1" applyAlignment="1">
      <alignment horizontal="left" vertical="center" wrapText="1"/>
    </xf>
    <xf numFmtId="10" fontId="8" fillId="0" borderId="2" xfId="2" applyNumberFormat="1" applyFont="1" applyFill="1" applyBorder="1" applyAlignment="1">
      <alignment vertical="center" wrapText="1"/>
    </xf>
    <xf numFmtId="10" fontId="8" fillId="2" borderId="19" xfId="2" applyNumberFormat="1" applyFont="1" applyFill="1" applyBorder="1" applyAlignment="1">
      <alignment vertical="center"/>
    </xf>
    <xf numFmtId="2" fontId="0" fillId="0" borderId="0" xfId="0" applyNumberFormat="1"/>
    <xf numFmtId="0" fontId="122" fillId="0" borderId="0" xfId="0" applyFont="1" applyAlignment="1">
      <alignment vertical="center" wrapText="1"/>
    </xf>
    <xf numFmtId="167" fontId="0" fillId="0" borderId="0" xfId="0" applyNumberFormat="1" applyAlignment="1">
      <alignment vertical="center" wrapText="1"/>
    </xf>
    <xf numFmtId="167" fontId="17" fillId="0" borderId="0" xfId="2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9" fontId="5" fillId="0" borderId="0" xfId="2" applyFont="1" applyAlignment="1">
      <alignment horizontal="center" vertical="center" wrapText="1"/>
    </xf>
    <xf numFmtId="178" fontId="0" fillId="0" borderId="44" xfId="1" applyNumberFormat="1" applyFont="1" applyFill="1" applyBorder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0" applyNumberFormat="1" applyFont="1" applyBorder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6" fontId="8" fillId="0" borderId="17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0" fillId="0" borderId="0" xfId="1" applyNumberFormat="1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49" fontId="8" fillId="0" borderId="44" xfId="3" applyNumberFormat="1" applyFont="1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125" fillId="69" borderId="0" xfId="0" applyFont="1" applyFill="1" applyAlignment="1">
      <alignment vertical="center"/>
    </xf>
    <xf numFmtId="43" fontId="0" fillId="0" borderId="44" xfId="0" applyNumberFormat="1" applyBorder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0" fontId="7" fillId="2" borderId="44" xfId="0" applyFont="1" applyFill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8" fillId="2" borderId="44" xfId="0" applyFont="1" applyFill="1" applyBorder="1" applyAlignment="1">
      <alignment vertical="center" wrapText="1"/>
    </xf>
    <xf numFmtId="10" fontId="8" fillId="2" borderId="44" xfId="2" applyNumberFormat="1" applyFont="1" applyFill="1" applyBorder="1" applyAlignment="1">
      <alignment horizontal="center" vertical="center"/>
    </xf>
    <xf numFmtId="0" fontId="118" fillId="4" borderId="44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10" fontId="8" fillId="2" borderId="44" xfId="1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 wrapText="1"/>
    </xf>
    <xf numFmtId="0" fontId="2" fillId="0" borderId="0" xfId="0" applyFont="1"/>
    <xf numFmtId="167" fontId="8" fillId="2" borderId="44" xfId="2" applyNumberFormat="1" applyFont="1" applyFill="1" applyBorder="1" applyAlignment="1">
      <alignment horizontal="center" vertical="center"/>
    </xf>
    <xf numFmtId="167" fontId="8" fillId="0" borderId="44" xfId="2" applyNumberFormat="1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left" vertical="center" wrapText="1"/>
    </xf>
    <xf numFmtId="9" fontId="8" fillId="2" borderId="44" xfId="2" applyFont="1" applyFill="1" applyBorder="1" applyAlignment="1">
      <alignment horizontal="center" vertical="center"/>
    </xf>
    <xf numFmtId="0" fontId="127" fillId="0" borderId="0" xfId="0" applyFont="1" applyAlignment="1">
      <alignment vertical="center" wrapText="1"/>
    </xf>
    <xf numFmtId="9" fontId="122" fillId="0" borderId="0" xfId="2" applyFont="1" applyAlignment="1">
      <alignment vertical="center" wrapText="1"/>
    </xf>
    <xf numFmtId="9" fontId="127" fillId="0" borderId="0" xfId="2" applyFont="1" applyAlignment="1">
      <alignment vertical="center" wrapText="1"/>
    </xf>
    <xf numFmtId="166" fontId="122" fillId="0" borderId="0" xfId="0" applyNumberFormat="1" applyFont="1" applyAlignment="1">
      <alignment vertical="center" wrapText="1"/>
    </xf>
    <xf numFmtId="43" fontId="127" fillId="0" borderId="0" xfId="0" applyNumberFormat="1" applyFont="1" applyAlignment="1">
      <alignment vertical="center" wrapText="1"/>
    </xf>
    <xf numFmtId="43" fontId="122" fillId="0" borderId="0" xfId="0" applyNumberFormat="1" applyFont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horizontal="center" vertical="center" wrapText="1"/>
    </xf>
    <xf numFmtId="49" fontId="11" fillId="0" borderId="44" xfId="3" applyNumberFormat="1" applyFont="1" applyFill="1" applyBorder="1" applyAlignment="1">
      <alignment vertical="center" wrapText="1"/>
    </xf>
    <xf numFmtId="166" fontId="0" fillId="0" borderId="44" xfId="0" applyNumberFormat="1" applyBorder="1" applyAlignment="1">
      <alignment vertical="center" wrapText="1"/>
    </xf>
    <xf numFmtId="9" fontId="8" fillId="2" borderId="44" xfId="2" applyFont="1" applyFill="1" applyBorder="1" applyAlignment="1">
      <alignment horizontal="center" vertical="center" wrapText="1"/>
    </xf>
    <xf numFmtId="166" fontId="129" fillId="0" borderId="0" xfId="1" applyNumberFormat="1" applyFont="1"/>
    <xf numFmtId="0" fontId="3" fillId="0" borderId="0" xfId="0" applyFont="1" applyAlignment="1">
      <alignment horizontal="left" vertical="center" wrapText="1"/>
    </xf>
    <xf numFmtId="3" fontId="0" fillId="0" borderId="0" xfId="0" applyNumberFormat="1"/>
    <xf numFmtId="167" fontId="15" fillId="0" borderId="0" xfId="2" applyNumberFormat="1" applyFont="1" applyAlignment="1">
      <alignment horizontal="center" vertical="center" wrapText="1"/>
    </xf>
    <xf numFmtId="43" fontId="8" fillId="0" borderId="0" xfId="0" applyNumberFormat="1" applyFont="1" applyAlignment="1">
      <alignment vertical="center"/>
    </xf>
    <xf numFmtId="43" fontId="15" fillId="0" borderId="0" xfId="0" applyNumberFormat="1" applyFont="1" applyAlignment="1">
      <alignment vertical="center" wrapText="1"/>
    </xf>
    <xf numFmtId="166" fontId="0" fillId="0" borderId="44" xfId="1" applyNumberFormat="1" applyFont="1" applyFill="1" applyBorder="1"/>
    <xf numFmtId="4" fontId="4" fillId="0" borderId="44" xfId="0" applyNumberFormat="1" applyFont="1" applyBorder="1" applyAlignment="1">
      <alignment vertical="center" wrapText="1"/>
    </xf>
    <xf numFmtId="0" fontId="130" fillId="0" borderId="0" xfId="0" applyFont="1" applyAlignment="1">
      <alignment vertical="center"/>
    </xf>
    <xf numFmtId="0" fontId="8" fillId="2" borderId="44" xfId="0" applyFont="1" applyFill="1" applyBorder="1" applyAlignment="1">
      <alignment horizontal="center" vertical="center"/>
    </xf>
    <xf numFmtId="166" fontId="0" fillId="0" borderId="44" xfId="1" applyNumberFormat="1" applyFont="1" applyFill="1" applyBorder="1" applyAlignment="1">
      <alignment horizontal="right"/>
    </xf>
    <xf numFmtId="179" fontId="0" fillId="0" borderId="44" xfId="1" applyNumberFormat="1" applyFont="1" applyFill="1" applyBorder="1" applyAlignment="1">
      <alignment horizontal="right" vertical="center" wrapText="1"/>
    </xf>
    <xf numFmtId="0" fontId="0" fillId="3" borderId="44" xfId="0" applyFill="1" applyBorder="1" applyAlignment="1">
      <alignment vertical="center" wrapText="1"/>
    </xf>
    <xf numFmtId="10" fontId="0" fillId="0" borderId="0" xfId="2" applyNumberFormat="1" applyFont="1" applyFill="1" applyAlignment="1">
      <alignment vertical="center" wrapText="1"/>
    </xf>
    <xf numFmtId="167" fontId="0" fillId="0" borderId="0" xfId="2" applyNumberFormat="1" applyFont="1" applyFill="1" applyAlignment="1">
      <alignment vertical="center" wrapText="1"/>
    </xf>
    <xf numFmtId="178" fontId="4" fillId="0" borderId="44" xfId="0" applyNumberFormat="1" applyFont="1" applyBorder="1" applyAlignment="1">
      <alignment vertical="center" wrapText="1"/>
    </xf>
    <xf numFmtId="178" fontId="4" fillId="0" borderId="44" xfId="1" applyNumberFormat="1" applyFont="1" applyFill="1" applyBorder="1" applyAlignment="1">
      <alignment horizontal="right" vertical="center" wrapText="1"/>
    </xf>
    <xf numFmtId="0" fontId="130" fillId="0" borderId="0" xfId="0" applyFont="1" applyAlignment="1">
      <alignment horizontal="left" vertical="center" wrapText="1"/>
    </xf>
    <xf numFmtId="0" fontId="131" fillId="0" borderId="0" xfId="0" applyFont="1" applyAlignment="1">
      <alignment horizontal="left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167" fontId="8" fillId="0" borderId="44" xfId="2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vertical="center"/>
    </xf>
    <xf numFmtId="166" fontId="0" fillId="0" borderId="44" xfId="1" applyNumberFormat="1" applyFont="1" applyFill="1" applyBorder="1" applyAlignment="1">
      <alignment horizontal="right" vertical="center" wrapText="1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horizontal="left" vertical="center"/>
    </xf>
    <xf numFmtId="4" fontId="0" fillId="0" borderId="44" xfId="0" applyNumberFormat="1" applyBorder="1"/>
    <xf numFmtId="1" fontId="0" fillId="0" borderId="44" xfId="0" applyNumberFormat="1" applyBorder="1"/>
    <xf numFmtId="0" fontId="8" fillId="0" borderId="44" xfId="0" applyFont="1" applyBorder="1" applyAlignment="1">
      <alignment vertical="center" wrapText="1"/>
    </xf>
    <xf numFmtId="0" fontId="127" fillId="0" borderId="0" xfId="0" applyFont="1" applyAlignment="1">
      <alignment horizontal="center" wrapText="1"/>
    </xf>
    <xf numFmtId="0" fontId="127" fillId="0" borderId="0" xfId="0" applyFont="1" applyAlignment="1">
      <alignment horizontal="center" vertical="center" wrapText="1"/>
    </xf>
    <xf numFmtId="167" fontId="127" fillId="0" borderId="0" xfId="0" applyNumberFormat="1" applyFont="1" applyAlignment="1">
      <alignment vertical="center" wrapText="1"/>
    </xf>
    <xf numFmtId="10" fontId="127" fillId="0" borderId="0" xfId="0" applyNumberFormat="1" applyFont="1" applyAlignment="1">
      <alignment vertical="center" wrapText="1"/>
    </xf>
    <xf numFmtId="167" fontId="127" fillId="0" borderId="0" xfId="0" applyNumberFormat="1" applyFont="1" applyAlignment="1">
      <alignment horizontal="center" vertical="center" wrapText="1"/>
    </xf>
    <xf numFmtId="10" fontId="127" fillId="0" borderId="0" xfId="0" applyNumberFormat="1" applyFont="1" applyAlignment="1">
      <alignment horizontal="center" vertical="center" wrapText="1"/>
    </xf>
    <xf numFmtId="10" fontId="122" fillId="0" borderId="0" xfId="2" applyNumberFormat="1" applyFont="1" applyFill="1" applyAlignment="1">
      <alignment vertical="center" wrapText="1"/>
    </xf>
    <xf numFmtId="10" fontId="122" fillId="0" borderId="0" xfId="2" applyNumberFormat="1" applyFont="1" applyFill="1" applyAlignment="1">
      <alignment horizontal="center" vertical="center" wrapText="1"/>
    </xf>
    <xf numFmtId="10" fontId="127" fillId="0" borderId="0" xfId="2" applyNumberFormat="1" applyFont="1" applyFill="1" applyAlignment="1">
      <alignment vertical="center" wrapText="1"/>
    </xf>
    <xf numFmtId="167" fontId="127" fillId="0" borderId="0" xfId="2" applyNumberFormat="1" applyFont="1" applyFill="1" applyAlignment="1">
      <alignment vertical="center" wrapText="1"/>
    </xf>
    <xf numFmtId="10" fontId="127" fillId="0" borderId="0" xfId="2" applyNumberFormat="1" applyFont="1" applyFill="1" applyAlignment="1">
      <alignment horizontal="center" vertical="center" wrapText="1"/>
    </xf>
    <xf numFmtId="10" fontId="133" fillId="0" borderId="0" xfId="2" applyNumberFormat="1" applyFont="1" applyFill="1" applyAlignment="1">
      <alignment vertical="center" wrapText="1"/>
    </xf>
    <xf numFmtId="167" fontId="133" fillId="0" borderId="0" xfId="2" applyNumberFormat="1" applyFont="1" applyFill="1" applyAlignment="1">
      <alignment vertical="center" wrapText="1"/>
    </xf>
    <xf numFmtId="10" fontId="133" fillId="0" borderId="0" xfId="2" applyNumberFormat="1" applyFont="1" applyFill="1" applyAlignment="1">
      <alignment horizontal="center" vertical="center" wrapText="1"/>
    </xf>
    <xf numFmtId="167" fontId="133" fillId="0" borderId="0" xfId="2" applyNumberFormat="1" applyFont="1" applyFill="1" applyAlignment="1">
      <alignment horizontal="center" vertical="center" wrapText="1"/>
    </xf>
    <xf numFmtId="0" fontId="11" fillId="2" borderId="44" xfId="0" applyFont="1" applyFill="1" applyBorder="1" applyAlignment="1">
      <alignment horizontal="center"/>
    </xf>
    <xf numFmtId="10" fontId="11" fillId="2" borderId="44" xfId="0" applyNumberFormat="1" applyFont="1" applyFill="1" applyBorder="1" applyAlignment="1">
      <alignment horizontal="center"/>
    </xf>
    <xf numFmtId="180" fontId="11" fillId="2" borderId="44" xfId="0" applyNumberFormat="1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180" fontId="11" fillId="2" borderId="45" xfId="0" applyNumberFormat="1" applyFont="1" applyFill="1" applyBorder="1" applyAlignment="1">
      <alignment horizontal="center"/>
    </xf>
    <xf numFmtId="0" fontId="11" fillId="2" borderId="79" xfId="0" applyFont="1" applyFill="1" applyBorder="1" applyAlignment="1">
      <alignment horizontal="center"/>
    </xf>
    <xf numFmtId="10" fontId="11" fillId="2" borderId="79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7" fillId="0" borderId="44" xfId="0" applyFont="1" applyBorder="1" applyAlignment="1">
      <alignment horizontal="left" vertical="center" wrapText="1"/>
    </xf>
    <xf numFmtId="0" fontId="8" fillId="4" borderId="44" xfId="0" applyFont="1" applyFill="1" applyBorder="1" applyAlignment="1">
      <alignment vertical="center" wrapText="1"/>
    </xf>
    <xf numFmtId="167" fontId="8" fillId="0" borderId="44" xfId="2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vertical="center" wrapText="1"/>
    </xf>
    <xf numFmtId="10" fontId="8" fillId="0" borderId="44" xfId="2" applyNumberFormat="1" applyFont="1" applyFill="1" applyBorder="1" applyAlignment="1">
      <alignment vertical="center" wrapText="1"/>
    </xf>
    <xf numFmtId="10" fontId="8" fillId="2" borderId="44" xfId="2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66" fontId="4" fillId="0" borderId="44" xfId="1" applyNumberFormat="1" applyFont="1" applyFill="1" applyBorder="1" applyAlignment="1">
      <alignment vertical="center" wrapText="1"/>
    </xf>
    <xf numFmtId="9" fontId="8" fillId="0" borderId="44" xfId="2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0" fontId="8" fillId="0" borderId="44" xfId="2" applyNumberFormat="1" applyFont="1" applyBorder="1" applyAlignment="1">
      <alignment horizontal="center" vertical="center"/>
    </xf>
    <xf numFmtId="0" fontId="0" fillId="2" borderId="44" xfId="0" applyFill="1" applyBorder="1" applyAlignment="1">
      <alignment vertical="center" wrapText="1"/>
    </xf>
    <xf numFmtId="10" fontId="8" fillId="4" borderId="44" xfId="2" applyNumberFormat="1" applyFont="1" applyFill="1" applyBorder="1" applyAlignment="1">
      <alignment horizontal="center" vertical="center"/>
    </xf>
    <xf numFmtId="3" fontId="4" fillId="0" borderId="44" xfId="0" applyNumberFormat="1" applyFont="1" applyBorder="1" applyAlignment="1">
      <alignment vertical="center" wrapText="1"/>
    </xf>
    <xf numFmtId="43" fontId="8" fillId="0" borderId="44" xfId="1" applyFont="1" applyFill="1" applyBorder="1" applyAlignment="1">
      <alignment horizontal="center" vertical="center"/>
    </xf>
    <xf numFmtId="10" fontId="8" fillId="2" borderId="44" xfId="2" applyNumberFormat="1" applyFont="1" applyFill="1" applyBorder="1" applyAlignment="1">
      <alignment vertical="center"/>
    </xf>
    <xf numFmtId="0" fontId="5" fillId="2" borderId="44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10" fontId="0" fillId="2" borderId="44" xfId="0" applyNumberForma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left" vertical="center" wrapText="1"/>
    </xf>
    <xf numFmtId="43" fontId="8" fillId="4" borderId="44" xfId="1" applyFont="1" applyFill="1" applyBorder="1" applyAlignment="1">
      <alignment horizontal="center" vertical="center"/>
    </xf>
    <xf numFmtId="167" fontId="8" fillId="4" borderId="44" xfId="2" applyNumberFormat="1" applyFont="1" applyFill="1" applyBorder="1" applyAlignment="1">
      <alignment horizontal="center" vertical="center"/>
    </xf>
    <xf numFmtId="167" fontId="8" fillId="2" borderId="44" xfId="2" applyNumberFormat="1" applyFont="1" applyFill="1" applyBorder="1" applyAlignment="1">
      <alignment horizontal="left" vertical="center"/>
    </xf>
    <xf numFmtId="167" fontId="8" fillId="0" borderId="44" xfId="2" applyNumberFormat="1" applyFont="1" applyFill="1" applyBorder="1" applyAlignment="1">
      <alignment horizontal="left" vertical="center"/>
    </xf>
    <xf numFmtId="168" fontId="0" fillId="0" borderId="44" xfId="1" applyNumberFormat="1" applyFont="1" applyFill="1" applyBorder="1" applyAlignment="1">
      <alignment horizontal="right"/>
    </xf>
    <xf numFmtId="3" fontId="0" fillId="0" borderId="44" xfId="0" applyNumberFormat="1" applyBorder="1" applyAlignment="1">
      <alignment horizontal="right"/>
    </xf>
    <xf numFmtId="178" fontId="0" fillId="0" borderId="44" xfId="1" applyNumberFormat="1" applyFont="1" applyFill="1" applyBorder="1" applyAlignment="1">
      <alignment horizontal="right"/>
    </xf>
    <xf numFmtId="178" fontId="0" fillId="0" borderId="44" xfId="1" applyNumberFormat="1" applyFont="1" applyFill="1" applyBorder="1" applyAlignment="1">
      <alignment horizontal="right" vertical="center" wrapText="1"/>
    </xf>
    <xf numFmtId="167" fontId="8" fillId="2" borderId="44" xfId="2" applyNumberFormat="1" applyFont="1" applyFill="1" applyBorder="1" applyAlignment="1">
      <alignment horizontal="center" vertical="center" wrapText="1"/>
    </xf>
    <xf numFmtId="178" fontId="0" fillId="0" borderId="44" xfId="1" applyNumberFormat="1" applyFont="1" applyFill="1" applyBorder="1"/>
    <xf numFmtId="10" fontId="14" fillId="2" borderId="44" xfId="3" applyNumberForma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166" fontId="0" fillId="4" borderId="0" xfId="1" applyNumberFormat="1" applyFont="1" applyFill="1" applyBorder="1" applyAlignment="1">
      <alignment vertical="center" wrapText="1"/>
    </xf>
    <xf numFmtId="166" fontId="0" fillId="0" borderId="0" xfId="0" applyNumberFormat="1" applyAlignment="1">
      <alignment vertical="center" wrapText="1"/>
    </xf>
    <xf numFmtId="10" fontId="17" fillId="2" borderId="44" xfId="0" applyNumberFormat="1" applyFont="1" applyFill="1" applyBorder="1" applyAlignment="1">
      <alignment horizontal="center" vertical="center" wrapText="1"/>
    </xf>
    <xf numFmtId="167" fontId="8" fillId="2" borderId="44" xfId="1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left" vertical="center" wrapText="1"/>
    </xf>
    <xf numFmtId="167" fontId="0" fillId="0" borderId="0" xfId="2" applyNumberFormat="1" applyFont="1" applyAlignment="1">
      <alignment horizontal="left" vertical="center" wrapText="1"/>
    </xf>
    <xf numFmtId="0" fontId="135" fillId="2" borderId="44" xfId="0" applyFont="1" applyFill="1" applyBorder="1" applyAlignment="1">
      <alignment vertical="center" wrapText="1"/>
    </xf>
    <xf numFmtId="167" fontId="4" fillId="2" borderId="44" xfId="2" applyNumberFormat="1" applyFont="1" applyFill="1" applyBorder="1" applyAlignment="1">
      <alignment horizontal="center" vertical="center"/>
    </xf>
    <xf numFmtId="10" fontId="0" fillId="0" borderId="44" xfId="0" applyNumberFormat="1" applyBorder="1" applyAlignment="1">
      <alignment horizontal="center" vertical="center" wrapText="1"/>
    </xf>
    <xf numFmtId="167" fontId="4" fillId="0" borderId="44" xfId="2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10" fontId="4" fillId="0" borderId="44" xfId="2" applyNumberFormat="1" applyFont="1" applyFill="1" applyBorder="1" applyAlignment="1">
      <alignment horizontal="center" vertical="center"/>
    </xf>
    <xf numFmtId="43" fontId="4" fillId="2" borderId="44" xfId="1" applyFont="1" applyFill="1" applyBorder="1" applyAlignment="1">
      <alignment horizontal="center" vertical="center"/>
    </xf>
    <xf numFmtId="10" fontId="4" fillId="2" borderId="44" xfId="2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0" fontId="4" fillId="0" borderId="44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167" fontId="4" fillId="0" borderId="44" xfId="2" applyNumberFormat="1" applyFont="1" applyBorder="1" applyAlignment="1">
      <alignment horizontal="center" vertical="center" wrapText="1"/>
    </xf>
    <xf numFmtId="167" fontId="4" fillId="0" borderId="44" xfId="2" applyNumberFormat="1" applyFont="1" applyBorder="1" applyAlignment="1">
      <alignment horizontal="left" vertical="center" wrapText="1"/>
    </xf>
    <xf numFmtId="0" fontId="4" fillId="2" borderId="44" xfId="0" applyFont="1" applyFill="1" applyBorder="1" applyAlignment="1">
      <alignment vertical="center"/>
    </xf>
    <xf numFmtId="167" fontId="4" fillId="2" borderId="44" xfId="2" applyNumberFormat="1" applyFont="1" applyFill="1" applyBorder="1" applyAlignment="1">
      <alignment horizontal="left" vertical="center"/>
    </xf>
    <xf numFmtId="167" fontId="4" fillId="0" borderId="44" xfId="2" applyNumberFormat="1" applyFont="1" applyBorder="1" applyAlignment="1">
      <alignment horizontal="center" vertical="center"/>
    </xf>
    <xf numFmtId="167" fontId="4" fillId="0" borderId="44" xfId="2" applyNumberFormat="1" applyFont="1" applyBorder="1" applyAlignment="1">
      <alignment horizontal="left" vertical="center"/>
    </xf>
    <xf numFmtId="10" fontId="4" fillId="2" borderId="44" xfId="2" applyNumberFormat="1" applyFont="1" applyFill="1" applyBorder="1" applyAlignment="1">
      <alignment horizontal="left" vertical="center"/>
    </xf>
    <xf numFmtId="0" fontId="128" fillId="2" borderId="44" xfId="0" applyFont="1" applyFill="1" applyBorder="1" applyAlignment="1">
      <alignment vertical="center" wrapText="1"/>
    </xf>
    <xf numFmtId="0" fontId="128" fillId="2" borderId="75" xfId="0" applyFont="1" applyFill="1" applyBorder="1" applyAlignment="1">
      <alignment vertical="center" wrapText="1"/>
    </xf>
    <xf numFmtId="0" fontId="136" fillId="2" borderId="44" xfId="0" applyFont="1" applyFill="1" applyBorder="1" applyAlignment="1">
      <alignment vertical="center" wrapText="1"/>
    </xf>
    <xf numFmtId="10" fontId="127" fillId="0" borderId="0" xfId="2" applyNumberFormat="1" applyFont="1" applyFill="1" applyBorder="1" applyAlignment="1">
      <alignment vertical="center" wrapText="1"/>
    </xf>
    <xf numFmtId="2" fontId="122" fillId="0" borderId="0" xfId="0" applyNumberFormat="1" applyFont="1" applyAlignment="1">
      <alignment vertical="center" wrapText="1"/>
    </xf>
    <xf numFmtId="0" fontId="127" fillId="0" borderId="0" xfId="0" applyFont="1" applyAlignment="1">
      <alignment vertical="center"/>
    </xf>
    <xf numFmtId="167" fontId="127" fillId="0" borderId="0" xfId="2" applyNumberFormat="1" applyFont="1" applyAlignment="1">
      <alignment vertical="center" wrapText="1"/>
    </xf>
    <xf numFmtId="0" fontId="8" fillId="4" borderId="44" xfId="0" applyFont="1" applyFill="1" applyBorder="1" applyAlignment="1">
      <alignment vertical="center"/>
    </xf>
    <xf numFmtId="166" fontId="127" fillId="0" borderId="0" xfId="1" applyNumberFormat="1" applyFont="1" applyFill="1" applyBorder="1" applyAlignment="1">
      <alignment horizontal="right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3" borderId="44" xfId="0" applyFont="1" applyFill="1" applyBorder="1" applyAlignment="1">
      <alignment horizontal="center" vertical="center" wrapText="1"/>
    </xf>
    <xf numFmtId="167" fontId="117" fillId="4" borderId="44" xfId="2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133" fillId="70" borderId="21" xfId="0" applyFont="1" applyFill="1" applyBorder="1" applyAlignment="1">
      <alignment horizontal="center" vertical="center" wrapText="1"/>
    </xf>
    <xf numFmtId="0" fontId="133" fillId="7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0" fontId="3" fillId="4" borderId="44" xfId="2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30" fillId="0" borderId="0" xfId="0" applyFont="1" applyAlignment="1">
      <alignment horizontal="center" vertical="center" wrapText="1"/>
    </xf>
    <xf numFmtId="0" fontId="130" fillId="0" borderId="0" xfId="0" applyFont="1" applyAlignment="1">
      <alignment horizontal="left" vertical="center" wrapText="1"/>
    </xf>
    <xf numFmtId="0" fontId="134" fillId="0" borderId="0" xfId="0" applyFont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0" fontId="117" fillId="0" borderId="44" xfId="2" applyNumberFormat="1" applyFont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10" fontId="3" fillId="0" borderId="44" xfId="2" applyNumberFormat="1" applyFont="1" applyBorder="1" applyAlignment="1">
      <alignment horizontal="center" vertical="center" wrapText="1"/>
    </xf>
    <xf numFmtId="0" fontId="7" fillId="2" borderId="44" xfId="0" applyFont="1" applyFill="1" applyBorder="1" applyAlignment="1">
      <alignment vertical="center" wrapText="1"/>
    </xf>
    <xf numFmtId="167" fontId="3" fillId="0" borderId="44" xfId="2" applyNumberFormat="1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2" fillId="0" borderId="0" xfId="0" applyFont="1" applyAlignment="1">
      <alignment horizontal="left" vertical="center" wrapText="1"/>
    </xf>
    <xf numFmtId="167" fontId="3" fillId="0" borderId="44" xfId="2" applyNumberFormat="1" applyFont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left" vertical="center" wrapText="1"/>
    </xf>
    <xf numFmtId="0" fontId="2" fillId="70" borderId="21" xfId="0" applyFont="1" applyFill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7" fontId="3" fillId="0" borderId="10" xfId="2" applyNumberFormat="1" applyFont="1" applyBorder="1" applyAlignment="1">
      <alignment horizontal="center" vertical="center" wrapText="1"/>
    </xf>
    <xf numFmtId="167" fontId="3" fillId="0" borderId="12" xfId="2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67" fontId="3" fillId="4" borderId="44" xfId="2" applyNumberFormat="1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/>
    </xf>
    <xf numFmtId="9" fontId="3" fillId="4" borderId="44" xfId="2" applyFont="1" applyFill="1" applyBorder="1" applyAlignment="1">
      <alignment horizontal="center" vertical="center" wrapText="1"/>
    </xf>
    <xf numFmtId="167" fontId="8" fillId="2" borderId="44" xfId="2" applyNumberFormat="1" applyFont="1" applyFill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 wrapText="1"/>
    </xf>
    <xf numFmtId="10" fontId="3" fillId="0" borderId="10" xfId="2" applyNumberFormat="1" applyFont="1" applyBorder="1" applyAlignment="1">
      <alignment horizontal="center" vertical="center" wrapText="1"/>
    </xf>
    <xf numFmtId="10" fontId="3" fillId="0" borderId="12" xfId="2" applyNumberFormat="1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9" fontId="2" fillId="0" borderId="44" xfId="2" applyFont="1" applyBorder="1" applyAlignment="1">
      <alignment horizontal="center" vertical="center" wrapText="1"/>
    </xf>
    <xf numFmtId="10" fontId="2" fillId="0" borderId="44" xfId="2" applyNumberFormat="1" applyFont="1" applyBorder="1" applyAlignment="1">
      <alignment horizontal="center" vertical="center" wrapText="1"/>
    </xf>
    <xf numFmtId="167" fontId="8" fillId="2" borderId="29" xfId="2" applyNumberFormat="1" applyFont="1" applyFill="1" applyBorder="1" applyAlignment="1">
      <alignment horizontal="center" vertical="center"/>
    </xf>
    <xf numFmtId="167" fontId="8" fillId="2" borderId="30" xfId="2" applyNumberFormat="1" applyFont="1" applyFill="1" applyBorder="1" applyAlignment="1">
      <alignment horizontal="center" vertical="center"/>
    </xf>
    <xf numFmtId="167" fontId="8" fillId="2" borderId="80" xfId="2" applyNumberFormat="1" applyFont="1" applyFill="1" applyBorder="1" applyAlignment="1">
      <alignment horizontal="center" vertical="center"/>
    </xf>
    <xf numFmtId="167" fontId="8" fillId="2" borderId="81" xfId="2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/>
    </xf>
  </cellXfs>
  <cellStyles count="387">
    <cellStyle name="_x000d__x000a_JournalTemplate=C:\COMFO\CTALK\JOURSTD.TPL_x000d__x000a_LbStateAddress=3 3 0 251 1 89 2 311_x000d__x000a_LbStateJou" xfId="4" xr:uid="{00000000-0005-0000-0000-000000000000}"/>
    <cellStyle name="% 2" xfId="5" xr:uid="{00000000-0005-0000-0000-000001000000}"/>
    <cellStyle name="=C:\WINNT\SYSTEM32\COMMAND.COM" xfId="350" xr:uid="{00000000-0005-0000-0000-000002000000}"/>
    <cellStyle name="1" xfId="6" xr:uid="{00000000-0005-0000-0000-000003000000}"/>
    <cellStyle name="20% - Accent1 2" xfId="7" xr:uid="{00000000-0005-0000-0000-000004000000}"/>
    <cellStyle name="20% - Accent1 2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 2" xfId="11" xr:uid="{00000000-0005-0000-0000-000008000000}"/>
    <cellStyle name="20% - Accent2 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 2" xfId="19" xr:uid="{00000000-0005-0000-0000-000010000000}"/>
    <cellStyle name="20% - Accent4 2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 2" xfId="23" xr:uid="{00000000-0005-0000-0000-000014000000}"/>
    <cellStyle name="20% - Accent5 2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 2" xfId="27" xr:uid="{00000000-0005-0000-0000-000018000000}"/>
    <cellStyle name="20% - Accent6 2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Akzent1" xfId="31" xr:uid="{00000000-0005-0000-0000-00001C000000}"/>
    <cellStyle name="20% - Akzent2" xfId="32" xr:uid="{00000000-0005-0000-0000-00001D000000}"/>
    <cellStyle name="20% - Akzent3" xfId="33" xr:uid="{00000000-0005-0000-0000-00001E000000}"/>
    <cellStyle name="20% - Akzent4" xfId="34" xr:uid="{00000000-0005-0000-0000-00001F000000}"/>
    <cellStyle name="20% - Akzent5" xfId="35" xr:uid="{00000000-0005-0000-0000-000020000000}"/>
    <cellStyle name="20% - Akzent6" xfId="36" xr:uid="{00000000-0005-0000-0000-000021000000}"/>
    <cellStyle name="20% - Énfasis1" xfId="37" xr:uid="{00000000-0005-0000-0000-000022000000}"/>
    <cellStyle name="20% - Énfasis2" xfId="38" xr:uid="{00000000-0005-0000-0000-000023000000}"/>
    <cellStyle name="20% - Énfasis3" xfId="39" xr:uid="{00000000-0005-0000-0000-000024000000}"/>
    <cellStyle name="20% - Énfasis4" xfId="40" xr:uid="{00000000-0005-0000-0000-000025000000}"/>
    <cellStyle name="20% - Énfasis5" xfId="41" xr:uid="{00000000-0005-0000-0000-000026000000}"/>
    <cellStyle name="20% - Énfasis6" xfId="42" xr:uid="{00000000-0005-0000-0000-000027000000}"/>
    <cellStyle name="40% - Accent1 2" xfId="43" xr:uid="{00000000-0005-0000-0000-000028000000}"/>
    <cellStyle name="40% - Accent1 2 2" xfId="44" xr:uid="{00000000-0005-0000-0000-000029000000}"/>
    <cellStyle name="40% - Accent1 3" xfId="45" xr:uid="{00000000-0005-0000-0000-00002A000000}"/>
    <cellStyle name="40% - Accent1 4" xfId="46" xr:uid="{00000000-0005-0000-0000-00002B000000}"/>
    <cellStyle name="40% - Accent2 2" xfId="47" xr:uid="{00000000-0005-0000-0000-00002C000000}"/>
    <cellStyle name="40% - Accent2 2 2" xfId="48" xr:uid="{00000000-0005-0000-0000-00002D000000}"/>
    <cellStyle name="40% - Accent2 3" xfId="49" xr:uid="{00000000-0005-0000-0000-00002E000000}"/>
    <cellStyle name="40% - Accent2 4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4" xfId="54" xr:uid="{00000000-0005-0000-0000-000033000000}"/>
    <cellStyle name="40% - Accent4 2" xfId="55" xr:uid="{00000000-0005-0000-0000-000034000000}"/>
    <cellStyle name="40% - Accent4 2 2" xfId="56" xr:uid="{00000000-0005-0000-0000-000035000000}"/>
    <cellStyle name="40% - Accent4 3" xfId="57" xr:uid="{00000000-0005-0000-0000-000036000000}"/>
    <cellStyle name="40% - Accent4 4" xfId="58" xr:uid="{00000000-0005-0000-0000-000037000000}"/>
    <cellStyle name="40% - Accent5 2" xfId="59" xr:uid="{00000000-0005-0000-0000-000038000000}"/>
    <cellStyle name="40% - Accent5 2 2" xfId="60" xr:uid="{00000000-0005-0000-0000-000039000000}"/>
    <cellStyle name="40% - Accent5 3" xfId="61" xr:uid="{00000000-0005-0000-0000-00003A000000}"/>
    <cellStyle name="40% - Accent5 4" xfId="62" xr:uid="{00000000-0005-0000-0000-00003B000000}"/>
    <cellStyle name="40% - Accent6 2" xfId="63" xr:uid="{00000000-0005-0000-0000-00003C000000}"/>
    <cellStyle name="40% - Accent6 2 2" xfId="64" xr:uid="{00000000-0005-0000-0000-00003D000000}"/>
    <cellStyle name="40% - Accent6 3" xfId="65" xr:uid="{00000000-0005-0000-0000-00003E000000}"/>
    <cellStyle name="40% - Accent6 4" xfId="66" xr:uid="{00000000-0005-0000-0000-00003F000000}"/>
    <cellStyle name="40% - Akzent1" xfId="67" xr:uid="{00000000-0005-0000-0000-000040000000}"/>
    <cellStyle name="40% - Akzent2" xfId="68" xr:uid="{00000000-0005-0000-0000-000041000000}"/>
    <cellStyle name="40% - Akzent3" xfId="69" xr:uid="{00000000-0005-0000-0000-000042000000}"/>
    <cellStyle name="40% - Akzent4" xfId="70" xr:uid="{00000000-0005-0000-0000-000043000000}"/>
    <cellStyle name="40% - Akzent5" xfId="71" xr:uid="{00000000-0005-0000-0000-000044000000}"/>
    <cellStyle name="40% - Akzent6" xfId="72" xr:uid="{00000000-0005-0000-0000-000045000000}"/>
    <cellStyle name="40% - Énfasis1" xfId="73" xr:uid="{00000000-0005-0000-0000-000046000000}"/>
    <cellStyle name="40% - Énfasis2" xfId="74" xr:uid="{00000000-0005-0000-0000-000047000000}"/>
    <cellStyle name="40% - Énfasis3" xfId="75" xr:uid="{00000000-0005-0000-0000-000048000000}"/>
    <cellStyle name="40% - Énfasis4" xfId="76" xr:uid="{00000000-0005-0000-0000-000049000000}"/>
    <cellStyle name="40% - Énfasis5" xfId="77" xr:uid="{00000000-0005-0000-0000-00004A000000}"/>
    <cellStyle name="40% - Énfasis6" xfId="78" xr:uid="{00000000-0005-0000-0000-00004B000000}"/>
    <cellStyle name="60% - Accent1 2" xfId="79" xr:uid="{00000000-0005-0000-0000-00004C000000}"/>
    <cellStyle name="60% - Accent1 3" xfId="80" xr:uid="{00000000-0005-0000-0000-00004D000000}"/>
    <cellStyle name="60% - Accent2 2" xfId="81" xr:uid="{00000000-0005-0000-0000-00004E000000}"/>
    <cellStyle name="60% - Accent2 3" xfId="82" xr:uid="{00000000-0005-0000-0000-00004F000000}"/>
    <cellStyle name="60% - Accent3 2" xfId="83" xr:uid="{00000000-0005-0000-0000-000050000000}"/>
    <cellStyle name="60% - Accent3 3" xfId="84" xr:uid="{00000000-0005-0000-0000-000051000000}"/>
    <cellStyle name="60% - Accent4 2" xfId="85" xr:uid="{00000000-0005-0000-0000-000052000000}"/>
    <cellStyle name="60% - Accent4 3" xfId="86" xr:uid="{00000000-0005-0000-0000-000053000000}"/>
    <cellStyle name="60% - Accent5 2" xfId="87" xr:uid="{00000000-0005-0000-0000-000054000000}"/>
    <cellStyle name="60% - Accent5 3" xfId="88" xr:uid="{00000000-0005-0000-0000-000055000000}"/>
    <cellStyle name="60% - Accent6 2" xfId="89" xr:uid="{00000000-0005-0000-0000-000056000000}"/>
    <cellStyle name="60% - Accent6 3" xfId="90" xr:uid="{00000000-0005-0000-0000-000057000000}"/>
    <cellStyle name="60% - Akzent1" xfId="91" xr:uid="{00000000-0005-0000-0000-000058000000}"/>
    <cellStyle name="60% - Akzent2" xfId="92" xr:uid="{00000000-0005-0000-0000-000059000000}"/>
    <cellStyle name="60% - Akzent3" xfId="93" xr:uid="{00000000-0005-0000-0000-00005A000000}"/>
    <cellStyle name="60% - Akzent4" xfId="94" xr:uid="{00000000-0005-0000-0000-00005B000000}"/>
    <cellStyle name="60% - Akzent5" xfId="95" xr:uid="{00000000-0005-0000-0000-00005C000000}"/>
    <cellStyle name="60% - Akzent6" xfId="96" xr:uid="{00000000-0005-0000-0000-00005D000000}"/>
    <cellStyle name="60% - Énfasis1" xfId="97" xr:uid="{00000000-0005-0000-0000-00005E000000}"/>
    <cellStyle name="60% - Énfasis2" xfId="98" xr:uid="{00000000-0005-0000-0000-00005F000000}"/>
    <cellStyle name="60% - Énfasis3" xfId="99" xr:uid="{00000000-0005-0000-0000-000060000000}"/>
    <cellStyle name="60% - Énfasis4" xfId="100" xr:uid="{00000000-0005-0000-0000-000061000000}"/>
    <cellStyle name="60% - Énfasis5" xfId="101" xr:uid="{00000000-0005-0000-0000-000062000000}"/>
    <cellStyle name="60% - Énfasis6" xfId="102" xr:uid="{00000000-0005-0000-0000-000063000000}"/>
    <cellStyle name="Accent1 2" xfId="103" xr:uid="{00000000-0005-0000-0000-000064000000}"/>
    <cellStyle name="Accent1 3" xfId="104" xr:uid="{00000000-0005-0000-0000-000065000000}"/>
    <cellStyle name="Accent2 2" xfId="105" xr:uid="{00000000-0005-0000-0000-000066000000}"/>
    <cellStyle name="Accent2 3" xfId="106" xr:uid="{00000000-0005-0000-0000-000067000000}"/>
    <cellStyle name="Accent3 2" xfId="107" xr:uid="{00000000-0005-0000-0000-000068000000}"/>
    <cellStyle name="Accent3 3" xfId="108" xr:uid="{00000000-0005-0000-0000-000069000000}"/>
    <cellStyle name="Accent4 2" xfId="109" xr:uid="{00000000-0005-0000-0000-00006A000000}"/>
    <cellStyle name="Accent4 3" xfId="110" xr:uid="{00000000-0005-0000-0000-00006B000000}"/>
    <cellStyle name="Accent5 2" xfId="111" xr:uid="{00000000-0005-0000-0000-00006C000000}"/>
    <cellStyle name="Accent5 3" xfId="112" xr:uid="{00000000-0005-0000-0000-00006D000000}"/>
    <cellStyle name="Accent6 2" xfId="113" xr:uid="{00000000-0005-0000-0000-00006E000000}"/>
    <cellStyle name="Accent6 3" xfId="114" xr:uid="{00000000-0005-0000-0000-00006F000000}"/>
    <cellStyle name="Akzent1" xfId="115" xr:uid="{00000000-0005-0000-0000-000070000000}"/>
    <cellStyle name="Akzent2" xfId="116" xr:uid="{00000000-0005-0000-0000-000071000000}"/>
    <cellStyle name="Akzent3" xfId="117" xr:uid="{00000000-0005-0000-0000-000072000000}"/>
    <cellStyle name="Akzent4" xfId="118" xr:uid="{00000000-0005-0000-0000-000073000000}"/>
    <cellStyle name="Akzent5" xfId="119" xr:uid="{00000000-0005-0000-0000-000074000000}"/>
    <cellStyle name="Akzent6" xfId="120" xr:uid="{00000000-0005-0000-0000-000075000000}"/>
    <cellStyle name="ANCLAS,REZONES Y SUS PARTES,DE FUNDICION,DE HIERRO O DE ACERO" xfId="121" xr:uid="{00000000-0005-0000-0000-000076000000}"/>
    <cellStyle name="Ausgabe" xfId="122" xr:uid="{00000000-0005-0000-0000-000077000000}"/>
    <cellStyle name="Bad 2" xfId="123" xr:uid="{00000000-0005-0000-0000-000078000000}"/>
    <cellStyle name="Bad 3" xfId="124" xr:uid="{00000000-0005-0000-0000-000079000000}"/>
    <cellStyle name="Berechnung" xfId="125" xr:uid="{00000000-0005-0000-0000-00007A000000}"/>
    <cellStyle name="bin" xfId="126" xr:uid="{00000000-0005-0000-0000-00007B000000}"/>
    <cellStyle name="Bold" xfId="127" xr:uid="{00000000-0005-0000-0000-00007C000000}"/>
    <cellStyle name="Buena" xfId="128" xr:uid="{00000000-0005-0000-0000-00007D000000}"/>
    <cellStyle name="Calculation 2" xfId="129" xr:uid="{00000000-0005-0000-0000-00007E000000}"/>
    <cellStyle name="Calculation 3" xfId="130" xr:uid="{00000000-0005-0000-0000-00007F000000}"/>
    <cellStyle name="Cálculo" xfId="131" xr:uid="{00000000-0005-0000-0000-000080000000}"/>
    <cellStyle name="Celda de comprobación" xfId="132" xr:uid="{00000000-0005-0000-0000-000081000000}"/>
    <cellStyle name="Celda vinculada" xfId="133" xr:uid="{00000000-0005-0000-0000-000082000000}"/>
    <cellStyle name="cell" xfId="134" xr:uid="{00000000-0005-0000-0000-000083000000}"/>
    <cellStyle name="Check Cell 2" xfId="135" xr:uid="{00000000-0005-0000-0000-000084000000}"/>
    <cellStyle name="Check Cell 3" xfId="136" xr:uid="{00000000-0005-0000-0000-000085000000}"/>
    <cellStyle name="clsAltData" xfId="137" xr:uid="{00000000-0005-0000-0000-000086000000}"/>
    <cellStyle name="clsAltMRVData" xfId="138" xr:uid="{00000000-0005-0000-0000-000087000000}"/>
    <cellStyle name="clsBlank" xfId="139" xr:uid="{00000000-0005-0000-0000-000088000000}"/>
    <cellStyle name="clsColumnHeader" xfId="140" xr:uid="{00000000-0005-0000-0000-000089000000}"/>
    <cellStyle name="clsData" xfId="141" xr:uid="{00000000-0005-0000-0000-00008A000000}"/>
    <cellStyle name="clsDefault" xfId="142" xr:uid="{00000000-0005-0000-0000-00008B000000}"/>
    <cellStyle name="clsFooter" xfId="143" xr:uid="{00000000-0005-0000-0000-00008C000000}"/>
    <cellStyle name="clsIndexTableData" xfId="144" xr:uid="{00000000-0005-0000-0000-00008D000000}"/>
    <cellStyle name="clsIndexTableHdr" xfId="145" xr:uid="{00000000-0005-0000-0000-00008E000000}"/>
    <cellStyle name="clsIndexTableTitle" xfId="146" xr:uid="{00000000-0005-0000-0000-00008F000000}"/>
    <cellStyle name="clsMRVData" xfId="147" xr:uid="{00000000-0005-0000-0000-000090000000}"/>
    <cellStyle name="clsReportFooter" xfId="148" xr:uid="{00000000-0005-0000-0000-000091000000}"/>
    <cellStyle name="clsReportHeader" xfId="149" xr:uid="{00000000-0005-0000-0000-000092000000}"/>
    <cellStyle name="clsRowHeader" xfId="150" xr:uid="{00000000-0005-0000-0000-000093000000}"/>
    <cellStyle name="clsScale" xfId="151" xr:uid="{00000000-0005-0000-0000-000094000000}"/>
    <cellStyle name="clsSection" xfId="152" xr:uid="{00000000-0005-0000-0000-000095000000}"/>
    <cellStyle name="Col&amp;RowHeadings" xfId="153" xr:uid="{00000000-0005-0000-0000-000096000000}"/>
    <cellStyle name="ColCodes" xfId="154" xr:uid="{00000000-0005-0000-0000-000097000000}"/>
    <cellStyle name="ColTitles" xfId="155" xr:uid="{00000000-0005-0000-0000-000098000000}"/>
    <cellStyle name="column" xfId="156" xr:uid="{00000000-0005-0000-0000-000099000000}"/>
    <cellStyle name="Comma" xfId="1" builtinId="3"/>
    <cellStyle name="Comma [0] 2" xfId="157" xr:uid="{00000000-0005-0000-0000-00009B000000}"/>
    <cellStyle name="Comma 2" xfId="158" xr:uid="{00000000-0005-0000-0000-00009C000000}"/>
    <cellStyle name="Comma 2 2" xfId="159" xr:uid="{00000000-0005-0000-0000-00009D000000}"/>
    <cellStyle name="Comma 2 3" xfId="160" xr:uid="{00000000-0005-0000-0000-00009E000000}"/>
    <cellStyle name="Comma 2 4" xfId="161" xr:uid="{00000000-0005-0000-0000-00009F000000}"/>
    <cellStyle name="Comma 2 5" xfId="381" xr:uid="{3F77D4A8-F7C7-48A1-B388-6C4217C8F175}"/>
    <cellStyle name="Comma 3" xfId="162" xr:uid="{00000000-0005-0000-0000-0000A0000000}"/>
    <cellStyle name="Comma 3 2" xfId="163" xr:uid="{00000000-0005-0000-0000-0000A1000000}"/>
    <cellStyle name="Comma 3 3" xfId="164" xr:uid="{00000000-0005-0000-0000-0000A2000000}"/>
    <cellStyle name="Comma 3 4" xfId="383" xr:uid="{32934219-9BD5-4632-A018-E5368443B085}"/>
    <cellStyle name="Comma 4" xfId="165" xr:uid="{00000000-0005-0000-0000-0000A3000000}"/>
    <cellStyle name="Comma 5" xfId="166" xr:uid="{00000000-0005-0000-0000-0000A4000000}"/>
    <cellStyle name="Comma 6" xfId="167" xr:uid="{00000000-0005-0000-0000-0000A5000000}"/>
    <cellStyle name="Comma 7" xfId="168" xr:uid="{00000000-0005-0000-0000-0000A6000000}"/>
    <cellStyle name="Comma 8" xfId="169" xr:uid="{00000000-0005-0000-0000-0000A7000000}"/>
    <cellStyle name="Comma 9" xfId="378" xr:uid="{84800965-32DA-4BD7-BB8A-6A81ECEE5212}"/>
    <cellStyle name="Currency 2" xfId="170" xr:uid="{00000000-0005-0000-0000-0000A8000000}"/>
    <cellStyle name="Currency 2 2" xfId="171" xr:uid="{00000000-0005-0000-0000-0000A9000000}"/>
    <cellStyle name="Currency 2 3" xfId="172" xr:uid="{00000000-0005-0000-0000-0000AA000000}"/>
    <cellStyle name="DataEntryCells" xfId="173" xr:uid="{00000000-0005-0000-0000-0000AB000000}"/>
    <cellStyle name="Eingabe" xfId="174" xr:uid="{00000000-0005-0000-0000-0000AC000000}"/>
    <cellStyle name="Encabezado 4" xfId="175" xr:uid="{00000000-0005-0000-0000-0000AD000000}"/>
    <cellStyle name="ENDARO" xfId="176" xr:uid="{00000000-0005-0000-0000-0000AE000000}"/>
    <cellStyle name="Énfasis1" xfId="177" xr:uid="{00000000-0005-0000-0000-0000AF000000}"/>
    <cellStyle name="Énfasis2" xfId="178" xr:uid="{00000000-0005-0000-0000-0000B0000000}"/>
    <cellStyle name="Énfasis3" xfId="179" xr:uid="{00000000-0005-0000-0000-0000B1000000}"/>
    <cellStyle name="Énfasis4" xfId="180" xr:uid="{00000000-0005-0000-0000-0000B2000000}"/>
    <cellStyle name="Énfasis5" xfId="181" xr:uid="{00000000-0005-0000-0000-0000B3000000}"/>
    <cellStyle name="Énfasis6" xfId="182" xr:uid="{00000000-0005-0000-0000-0000B4000000}"/>
    <cellStyle name="Entrada" xfId="183" xr:uid="{00000000-0005-0000-0000-0000B5000000}"/>
    <cellStyle name="Ergebnis" xfId="184" xr:uid="{00000000-0005-0000-0000-0000B6000000}"/>
    <cellStyle name="Erklärender Text" xfId="185" xr:uid="{00000000-0005-0000-0000-0000B7000000}"/>
    <cellStyle name="Excel Built-in Normal" xfId="351" xr:uid="{00000000-0005-0000-0000-0000B8000000}"/>
    <cellStyle name="Explanatory Text 2" xfId="186" xr:uid="{00000000-0005-0000-0000-0000B9000000}"/>
    <cellStyle name="Explanatory Text 3" xfId="187" xr:uid="{00000000-0005-0000-0000-0000BA000000}"/>
    <cellStyle name="Followed Hyperlink 2" xfId="188" xr:uid="{00000000-0005-0000-0000-0000BB000000}"/>
    <cellStyle name="formula" xfId="189" xr:uid="{00000000-0005-0000-0000-0000BC000000}"/>
    <cellStyle name="formula 2" xfId="190" xr:uid="{00000000-0005-0000-0000-0000BD000000}"/>
    <cellStyle name="gap" xfId="191" xr:uid="{00000000-0005-0000-0000-0000BE000000}"/>
    <cellStyle name="Good 2" xfId="192" xr:uid="{00000000-0005-0000-0000-0000BF000000}"/>
    <cellStyle name="Good 3" xfId="193" xr:uid="{00000000-0005-0000-0000-0000C0000000}"/>
    <cellStyle name="GreyBackground" xfId="194" xr:uid="{00000000-0005-0000-0000-0000C1000000}"/>
    <cellStyle name="Gut" xfId="195" xr:uid="{00000000-0005-0000-0000-0000C2000000}"/>
    <cellStyle name="Header" xfId="196" xr:uid="{00000000-0005-0000-0000-0000C3000000}"/>
    <cellStyle name="Heading 1 2" xfId="197" xr:uid="{00000000-0005-0000-0000-0000C4000000}"/>
    <cellStyle name="Heading 1 3" xfId="198" xr:uid="{00000000-0005-0000-0000-0000C5000000}"/>
    <cellStyle name="Heading 2 2" xfId="199" xr:uid="{00000000-0005-0000-0000-0000C6000000}"/>
    <cellStyle name="Heading 2 3" xfId="200" xr:uid="{00000000-0005-0000-0000-0000C7000000}"/>
    <cellStyle name="Heading 3 2" xfId="201" xr:uid="{00000000-0005-0000-0000-0000C8000000}"/>
    <cellStyle name="Heading 3 3" xfId="202" xr:uid="{00000000-0005-0000-0000-0000C9000000}"/>
    <cellStyle name="Heading 4 2" xfId="203" xr:uid="{00000000-0005-0000-0000-0000CA000000}"/>
    <cellStyle name="Heading 4 3" xfId="204" xr:uid="{00000000-0005-0000-0000-0000CB000000}"/>
    <cellStyle name="Hipervínculo 2" xfId="205" xr:uid="{00000000-0005-0000-0000-0000CC000000}"/>
    <cellStyle name="Hyperlink" xfId="3" builtinId="8"/>
    <cellStyle name="Hyperlink 2" xfId="206" xr:uid="{00000000-0005-0000-0000-0000CE000000}"/>
    <cellStyle name="Hyperlink 3" xfId="207" xr:uid="{00000000-0005-0000-0000-0000CF000000}"/>
    <cellStyle name="Hyperlink 3 2" xfId="208" xr:uid="{00000000-0005-0000-0000-0000D0000000}"/>
    <cellStyle name="Hyperlink 4" xfId="209" xr:uid="{00000000-0005-0000-0000-0000D1000000}"/>
    <cellStyle name="Hyperlink 5" xfId="210" xr:uid="{00000000-0005-0000-0000-0000D2000000}"/>
    <cellStyle name="Hyperlink 6" xfId="211" xr:uid="{00000000-0005-0000-0000-0000D3000000}"/>
    <cellStyle name="Hyperlink 7" xfId="212" xr:uid="{00000000-0005-0000-0000-0000D4000000}"/>
    <cellStyle name="Hyperlink 7 2" xfId="213" xr:uid="{00000000-0005-0000-0000-0000D5000000}"/>
    <cellStyle name="Hyperlink 8" xfId="214" xr:uid="{00000000-0005-0000-0000-0000D6000000}"/>
    <cellStyle name="Hyperlink 9" xfId="215" xr:uid="{00000000-0005-0000-0000-0000D7000000}"/>
    <cellStyle name="Incorrecto" xfId="216" xr:uid="{00000000-0005-0000-0000-0000D8000000}"/>
    <cellStyle name="Input 2" xfId="217" xr:uid="{00000000-0005-0000-0000-0000D9000000}"/>
    <cellStyle name="Input 3" xfId="218" xr:uid="{00000000-0005-0000-0000-0000DA000000}"/>
    <cellStyle name="ISC" xfId="219" xr:uid="{00000000-0005-0000-0000-0000DB000000}"/>
    <cellStyle name="JUJU" xfId="220" xr:uid="{00000000-0005-0000-0000-0000DC000000}"/>
    <cellStyle name="level1a" xfId="221" xr:uid="{00000000-0005-0000-0000-0000DD000000}"/>
    <cellStyle name="level2" xfId="222" xr:uid="{00000000-0005-0000-0000-0000DE000000}"/>
    <cellStyle name="level2a" xfId="223" xr:uid="{00000000-0005-0000-0000-0000DF000000}"/>
    <cellStyle name="level3" xfId="224" xr:uid="{00000000-0005-0000-0000-0000E0000000}"/>
    <cellStyle name="Lien hypertexte 2" xfId="225" xr:uid="{00000000-0005-0000-0000-0000E1000000}"/>
    <cellStyle name="Linked Cell 2" xfId="226" xr:uid="{00000000-0005-0000-0000-0000E2000000}"/>
    <cellStyle name="Linked Cell 3" xfId="227" xr:uid="{00000000-0005-0000-0000-0000E3000000}"/>
    <cellStyle name="Migliaia (0)_conti99" xfId="228" xr:uid="{00000000-0005-0000-0000-0000E4000000}"/>
    <cellStyle name="Millares [0] 2" xfId="229" xr:uid="{00000000-0005-0000-0000-0000E5000000}"/>
    <cellStyle name="Millares [0] 3" xfId="230" xr:uid="{00000000-0005-0000-0000-0000E6000000}"/>
    <cellStyle name="Millares 10" xfId="231" xr:uid="{00000000-0005-0000-0000-0000E7000000}"/>
    <cellStyle name="Millares 11" xfId="232" xr:uid="{00000000-0005-0000-0000-0000E8000000}"/>
    <cellStyle name="Millares 12" xfId="233" xr:uid="{00000000-0005-0000-0000-0000E9000000}"/>
    <cellStyle name="Millares 13" xfId="234" xr:uid="{00000000-0005-0000-0000-0000EA000000}"/>
    <cellStyle name="Millares 14" xfId="235" xr:uid="{00000000-0005-0000-0000-0000EB000000}"/>
    <cellStyle name="Millares 15" xfId="236" xr:uid="{00000000-0005-0000-0000-0000EC000000}"/>
    <cellStyle name="Millares 16" xfId="237" xr:uid="{00000000-0005-0000-0000-0000ED000000}"/>
    <cellStyle name="Millares 17" xfId="238" xr:uid="{00000000-0005-0000-0000-0000EE000000}"/>
    <cellStyle name="Millares 2" xfId="239" xr:uid="{00000000-0005-0000-0000-0000EF000000}"/>
    <cellStyle name="Millares 3" xfId="240" xr:uid="{00000000-0005-0000-0000-0000F0000000}"/>
    <cellStyle name="Millares 4" xfId="241" xr:uid="{00000000-0005-0000-0000-0000F1000000}"/>
    <cellStyle name="Millares 5" xfId="242" xr:uid="{00000000-0005-0000-0000-0000F2000000}"/>
    <cellStyle name="Millares 6" xfId="243" xr:uid="{00000000-0005-0000-0000-0000F3000000}"/>
    <cellStyle name="Millares 7" xfId="244" xr:uid="{00000000-0005-0000-0000-0000F4000000}"/>
    <cellStyle name="Millares 8" xfId="245" xr:uid="{00000000-0005-0000-0000-0000F5000000}"/>
    <cellStyle name="Millares 9" xfId="246" xr:uid="{00000000-0005-0000-0000-0000F6000000}"/>
    <cellStyle name="Neutral 2" xfId="247" xr:uid="{00000000-0005-0000-0000-0000F8000000}"/>
    <cellStyle name="Neutral 3" xfId="248" xr:uid="{00000000-0005-0000-0000-0000F9000000}"/>
    <cellStyle name="Normal" xfId="0" builtinId="0"/>
    <cellStyle name="Normal 10" xfId="249" xr:uid="{00000000-0005-0000-0000-0000FB000000}"/>
    <cellStyle name="Normal 10 2" xfId="250" xr:uid="{00000000-0005-0000-0000-0000FC000000}"/>
    <cellStyle name="Normal 10 2 2" xfId="251" xr:uid="{00000000-0005-0000-0000-0000FD000000}"/>
    <cellStyle name="Normal 10 2 3" xfId="252" xr:uid="{00000000-0005-0000-0000-0000FE000000}"/>
    <cellStyle name="Normal 10 3" xfId="253" xr:uid="{00000000-0005-0000-0000-0000FF000000}"/>
    <cellStyle name="Normal 10 4" xfId="254" xr:uid="{00000000-0005-0000-0000-000000010000}"/>
    <cellStyle name="Normal 10 4 2" xfId="255" xr:uid="{00000000-0005-0000-0000-000001010000}"/>
    <cellStyle name="Normal 10 5" xfId="256" xr:uid="{00000000-0005-0000-0000-000002010000}"/>
    <cellStyle name="Normal 10_Consolidado ECHYP_26jul2012" xfId="257" xr:uid="{00000000-0005-0000-0000-000003010000}"/>
    <cellStyle name="Normal 11" xfId="258" xr:uid="{00000000-0005-0000-0000-000004010000}"/>
    <cellStyle name="Normal 12" xfId="259" xr:uid="{00000000-0005-0000-0000-000005010000}"/>
    <cellStyle name="Normal 13" xfId="260" xr:uid="{00000000-0005-0000-0000-000006010000}"/>
    <cellStyle name="Normal 13 2" xfId="261" xr:uid="{00000000-0005-0000-0000-000007010000}"/>
    <cellStyle name="Normal 14" xfId="262" xr:uid="{00000000-0005-0000-0000-000008010000}"/>
    <cellStyle name="Normal 15" xfId="263" xr:uid="{00000000-0005-0000-0000-000009010000}"/>
    <cellStyle name="Normal 16" xfId="352" xr:uid="{00000000-0005-0000-0000-00000A010000}"/>
    <cellStyle name="Normal 17" xfId="377" xr:uid="{E1F42666-C8E7-4BD5-BB4A-A527DB0F20E5}"/>
    <cellStyle name="Normal 2" xfId="264" xr:uid="{00000000-0005-0000-0000-00000B010000}"/>
    <cellStyle name="Normal 2 2" xfId="265" xr:uid="{00000000-0005-0000-0000-00000C010000}"/>
    <cellStyle name="Normal 2 2 2" xfId="266" xr:uid="{00000000-0005-0000-0000-00000D010000}"/>
    <cellStyle name="Normal 2 2 3" xfId="385" xr:uid="{2E9471B9-5FCF-467F-AD57-079EA08BEBC4}"/>
    <cellStyle name="Normal 2 3" xfId="267" xr:uid="{00000000-0005-0000-0000-00000E010000}"/>
    <cellStyle name="Normal 2 3 2" xfId="268" xr:uid="{00000000-0005-0000-0000-00000F010000}"/>
    <cellStyle name="Normal 2 3 3" xfId="269" xr:uid="{00000000-0005-0000-0000-000010010000}"/>
    <cellStyle name="Normal 2 4" xfId="270" xr:uid="{00000000-0005-0000-0000-000011010000}"/>
    <cellStyle name="Normal 2 5" xfId="271" xr:uid="{00000000-0005-0000-0000-000012010000}"/>
    <cellStyle name="Normal 2 6" xfId="272" xr:uid="{00000000-0005-0000-0000-000013010000}"/>
    <cellStyle name="Normal 2 7" xfId="380" xr:uid="{9FF4DEAA-4518-4181-993D-9D5CCFDB2F97}"/>
    <cellStyle name="Normal 2_AUG_TabChap2" xfId="273" xr:uid="{00000000-0005-0000-0000-000014010000}"/>
    <cellStyle name="Normal 3" xfId="274" xr:uid="{00000000-0005-0000-0000-000015010000}"/>
    <cellStyle name="Normal 3 2" xfId="275" xr:uid="{00000000-0005-0000-0000-000016010000}"/>
    <cellStyle name="Normal 3 3" xfId="382" xr:uid="{DC7AE46F-2A9A-4302-968B-5907E8D68942}"/>
    <cellStyle name="Normal 4" xfId="276" xr:uid="{00000000-0005-0000-0000-000017010000}"/>
    <cellStyle name="Normal 4 2" xfId="277" xr:uid="{00000000-0005-0000-0000-000018010000}"/>
    <cellStyle name="Normal 4 3" xfId="278" xr:uid="{00000000-0005-0000-0000-000019010000}"/>
    <cellStyle name="Normal 4 4" xfId="386" xr:uid="{2CDFE5DA-81E2-450D-BD6C-3426EE9349AE}"/>
    <cellStyle name="Normal 4_Consolidado ECHYP_26jul2012" xfId="279" xr:uid="{00000000-0005-0000-0000-00001A010000}"/>
    <cellStyle name="Normal 5" xfId="280" xr:uid="{00000000-0005-0000-0000-00001B010000}"/>
    <cellStyle name="Normal 5 2" xfId="281" xr:uid="{00000000-0005-0000-0000-00001C010000}"/>
    <cellStyle name="Normal 5 3" xfId="282" xr:uid="{00000000-0005-0000-0000-00001D010000}"/>
    <cellStyle name="Normal 6" xfId="283" xr:uid="{00000000-0005-0000-0000-00001E010000}"/>
    <cellStyle name="Normal 6 2" xfId="284" xr:uid="{00000000-0005-0000-0000-00001F010000}"/>
    <cellStyle name="Normal 7" xfId="285" xr:uid="{00000000-0005-0000-0000-000020010000}"/>
    <cellStyle name="Normal 7 2" xfId="286" xr:uid="{00000000-0005-0000-0000-000021010000}"/>
    <cellStyle name="Normal 7 3" xfId="287" xr:uid="{00000000-0005-0000-0000-000022010000}"/>
    <cellStyle name="Normal 8" xfId="288" xr:uid="{00000000-0005-0000-0000-000023010000}"/>
    <cellStyle name="Normal 8 2" xfId="289" xr:uid="{00000000-0005-0000-0000-000024010000}"/>
    <cellStyle name="Normal 9" xfId="290" xr:uid="{00000000-0005-0000-0000-000025010000}"/>
    <cellStyle name="Normal 9 2" xfId="291" xr:uid="{00000000-0005-0000-0000-000026010000}"/>
    <cellStyle name="Normal 9 3" xfId="292" xr:uid="{00000000-0005-0000-0000-000027010000}"/>
    <cellStyle name="Notas" xfId="293" xr:uid="{00000000-0005-0000-0000-000028010000}"/>
    <cellStyle name="Notas 2" xfId="294" xr:uid="{00000000-0005-0000-0000-000029010000}"/>
    <cellStyle name="Notas 2 2" xfId="295" xr:uid="{00000000-0005-0000-0000-00002A010000}"/>
    <cellStyle name="Notas 2 3" xfId="296" xr:uid="{00000000-0005-0000-0000-00002B010000}"/>
    <cellStyle name="Note 2" xfId="297" xr:uid="{00000000-0005-0000-0000-00002C010000}"/>
    <cellStyle name="Note 2 2" xfId="298" xr:uid="{00000000-0005-0000-0000-00002D010000}"/>
    <cellStyle name="Note 2 3" xfId="299" xr:uid="{00000000-0005-0000-0000-00002E010000}"/>
    <cellStyle name="Note 2 4" xfId="300" xr:uid="{00000000-0005-0000-0000-00002F010000}"/>
    <cellStyle name="Note 3" xfId="301" xr:uid="{00000000-0005-0000-0000-000030010000}"/>
    <cellStyle name="Note 3 2" xfId="302" xr:uid="{00000000-0005-0000-0000-000031010000}"/>
    <cellStyle name="Note 4" xfId="303" xr:uid="{00000000-0005-0000-0000-000032010000}"/>
    <cellStyle name="Note 5" xfId="304" xr:uid="{00000000-0005-0000-0000-000033010000}"/>
    <cellStyle name="Note 6" xfId="305" xr:uid="{00000000-0005-0000-0000-000034010000}"/>
    <cellStyle name="Notiz" xfId="306" xr:uid="{00000000-0005-0000-0000-000035010000}"/>
    <cellStyle name="Output 2" xfId="307" xr:uid="{00000000-0005-0000-0000-000036010000}"/>
    <cellStyle name="Output 3" xfId="308" xr:uid="{00000000-0005-0000-0000-000037010000}"/>
    <cellStyle name="Percent" xfId="2" builtinId="5"/>
    <cellStyle name="Percent 2" xfId="309" xr:uid="{00000000-0005-0000-0000-000039010000}"/>
    <cellStyle name="Percent 2 2" xfId="310" xr:uid="{00000000-0005-0000-0000-00003A010000}"/>
    <cellStyle name="Percent 2 3" xfId="311" xr:uid="{00000000-0005-0000-0000-00003B010000}"/>
    <cellStyle name="Percent 2 4" xfId="312" xr:uid="{00000000-0005-0000-0000-00003C010000}"/>
    <cellStyle name="Percent 2 5" xfId="384" xr:uid="{44B53B9B-4AFC-494D-BAAC-DBFE51BEDD4D}"/>
    <cellStyle name="Percent 3" xfId="313" xr:uid="{00000000-0005-0000-0000-00003D010000}"/>
    <cellStyle name="Percent 4" xfId="314" xr:uid="{00000000-0005-0000-0000-00003E010000}"/>
    <cellStyle name="Percent 5" xfId="315" xr:uid="{00000000-0005-0000-0000-00003F010000}"/>
    <cellStyle name="Percent 6" xfId="379" xr:uid="{1BC0A2B0-83F1-4726-8F5A-025371C95FD1}"/>
    <cellStyle name="Porcentaje 2" xfId="316" xr:uid="{00000000-0005-0000-0000-000040010000}"/>
    <cellStyle name="Prozent_SubCatperStud" xfId="317" xr:uid="{00000000-0005-0000-0000-000041010000}"/>
    <cellStyle name="row" xfId="318" xr:uid="{00000000-0005-0000-0000-000042010000}"/>
    <cellStyle name="RowCodes" xfId="319" xr:uid="{00000000-0005-0000-0000-000043010000}"/>
    <cellStyle name="Row-Col Headings" xfId="320" xr:uid="{00000000-0005-0000-0000-000044010000}"/>
    <cellStyle name="RowTitles_CENTRAL_GOVT" xfId="321" xr:uid="{00000000-0005-0000-0000-000045010000}"/>
    <cellStyle name="RowTitles-Col2" xfId="322" xr:uid="{00000000-0005-0000-0000-000046010000}"/>
    <cellStyle name="RowTitles-Detail" xfId="323" xr:uid="{00000000-0005-0000-0000-000047010000}"/>
    <cellStyle name="Salida" xfId="324" xr:uid="{00000000-0005-0000-0000-000048010000}"/>
    <cellStyle name="Schlecht" xfId="325" xr:uid="{00000000-0005-0000-0000-000049010000}"/>
    <cellStyle name="ss1" xfId="353" xr:uid="{00000000-0005-0000-0000-00004A010000}"/>
    <cellStyle name="ss10" xfId="354" xr:uid="{00000000-0005-0000-0000-00004B010000}"/>
    <cellStyle name="ss11" xfId="355" xr:uid="{00000000-0005-0000-0000-00004C010000}"/>
    <cellStyle name="ss12" xfId="356" xr:uid="{00000000-0005-0000-0000-00004D010000}"/>
    <cellStyle name="ss13" xfId="357" xr:uid="{00000000-0005-0000-0000-00004E010000}"/>
    <cellStyle name="ss14" xfId="358" xr:uid="{00000000-0005-0000-0000-00004F010000}"/>
    <cellStyle name="ss15" xfId="359" xr:uid="{00000000-0005-0000-0000-000050010000}"/>
    <cellStyle name="ss16" xfId="360" xr:uid="{00000000-0005-0000-0000-000051010000}"/>
    <cellStyle name="ss17" xfId="326" xr:uid="{00000000-0005-0000-0000-000052010000}"/>
    <cellStyle name="ss18" xfId="361" xr:uid="{00000000-0005-0000-0000-000053010000}"/>
    <cellStyle name="ss19" xfId="362" xr:uid="{00000000-0005-0000-0000-000054010000}"/>
    <cellStyle name="ss2" xfId="363" xr:uid="{00000000-0005-0000-0000-000055010000}"/>
    <cellStyle name="ss20" xfId="364" xr:uid="{00000000-0005-0000-0000-000056010000}"/>
    <cellStyle name="ss21" xfId="365" xr:uid="{00000000-0005-0000-0000-000057010000}"/>
    <cellStyle name="ss22" xfId="366" xr:uid="{00000000-0005-0000-0000-000058010000}"/>
    <cellStyle name="ss23" xfId="367" xr:uid="{00000000-0005-0000-0000-000059010000}"/>
    <cellStyle name="ss24" xfId="368" xr:uid="{00000000-0005-0000-0000-00005A010000}"/>
    <cellStyle name="ss25" xfId="369" xr:uid="{00000000-0005-0000-0000-00005B010000}"/>
    <cellStyle name="ss3" xfId="370" xr:uid="{00000000-0005-0000-0000-00005C010000}"/>
    <cellStyle name="ss4" xfId="371" xr:uid="{00000000-0005-0000-0000-00005D010000}"/>
    <cellStyle name="ss5" xfId="372" xr:uid="{00000000-0005-0000-0000-00005E010000}"/>
    <cellStyle name="ss6" xfId="373" xr:uid="{00000000-0005-0000-0000-00005F010000}"/>
    <cellStyle name="ss7" xfId="374" xr:uid="{00000000-0005-0000-0000-000060010000}"/>
    <cellStyle name="ss8" xfId="375" xr:uid="{00000000-0005-0000-0000-000061010000}"/>
    <cellStyle name="ss9" xfId="376" xr:uid="{00000000-0005-0000-0000-000062010000}"/>
    <cellStyle name="Standard_Info" xfId="327" xr:uid="{00000000-0005-0000-0000-000063010000}"/>
    <cellStyle name="temp" xfId="328" xr:uid="{00000000-0005-0000-0000-000064010000}"/>
    <cellStyle name="Texto de advertencia" xfId="329" xr:uid="{00000000-0005-0000-0000-000065010000}"/>
    <cellStyle name="Texto explicativo" xfId="330" xr:uid="{00000000-0005-0000-0000-000066010000}"/>
    <cellStyle name="Title 2" xfId="331" xr:uid="{00000000-0005-0000-0000-000067010000}"/>
    <cellStyle name="title1" xfId="332" xr:uid="{00000000-0005-0000-0000-000068010000}"/>
    <cellStyle name="Título" xfId="333" xr:uid="{00000000-0005-0000-0000-000069010000}"/>
    <cellStyle name="Título 1" xfId="334" xr:uid="{00000000-0005-0000-0000-00006A010000}"/>
    <cellStyle name="Título 2" xfId="335" xr:uid="{00000000-0005-0000-0000-00006B010000}"/>
    <cellStyle name="Título 3" xfId="336" xr:uid="{00000000-0005-0000-0000-00006C010000}"/>
    <cellStyle name="Total 2" xfId="337" xr:uid="{00000000-0005-0000-0000-00006D010000}"/>
    <cellStyle name="Total 3" xfId="338" xr:uid="{00000000-0005-0000-0000-00006E010000}"/>
    <cellStyle name="Überschrift" xfId="339" xr:uid="{00000000-0005-0000-0000-00006F010000}"/>
    <cellStyle name="Überschrift 1" xfId="340" xr:uid="{00000000-0005-0000-0000-000070010000}"/>
    <cellStyle name="Überschrift 2" xfId="341" xr:uid="{00000000-0005-0000-0000-000071010000}"/>
    <cellStyle name="Überschrift 3" xfId="342" xr:uid="{00000000-0005-0000-0000-000072010000}"/>
    <cellStyle name="Überschrift 4" xfId="343" xr:uid="{00000000-0005-0000-0000-000073010000}"/>
    <cellStyle name="Verknüpfte Zelle" xfId="344" xr:uid="{00000000-0005-0000-0000-000074010000}"/>
    <cellStyle name="Warnender Text" xfId="345" xr:uid="{00000000-0005-0000-0000-000075010000}"/>
    <cellStyle name="Warning Text 2" xfId="346" xr:uid="{00000000-0005-0000-0000-000076010000}"/>
    <cellStyle name="Warning Text 3" xfId="347" xr:uid="{00000000-0005-0000-0000-000077010000}"/>
    <cellStyle name="WordWrap" xfId="348" xr:uid="{00000000-0005-0000-0000-000078010000}"/>
    <cellStyle name="Zelle überprüfen" xfId="349" xr:uid="{00000000-0005-0000-0000-00007901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39260361541161E-2"/>
          <c:y val="3.1869446516933624E-2"/>
          <c:w val="0.91800446095677335"/>
          <c:h val="0.72852453562241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Resumen!$C$53</c:f>
              <c:strCache>
                <c:ptCount val="1"/>
                <c:pt idx="0">
                  <c:v>Salario mínimo</c:v>
                </c:pt>
              </c:strCache>
            </c:strRef>
          </c:tx>
          <c:invertIfNegative val="0"/>
          <c:cat>
            <c:numRef>
              <c:f>Resumen!$B$54:$B$73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cat>
          <c:val>
            <c:numRef>
              <c:f>Resumen!$C$54:$C$73</c:f>
              <c:numCache>
                <c:formatCode>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4-488D-B9A5-E6BEACDC6F16}"/>
            </c:ext>
          </c:extLst>
        </c:ser>
        <c:ser>
          <c:idx val="1"/>
          <c:order val="1"/>
          <c:tx>
            <c:strRef>
              <c:f>Resumen!$D$53</c:f>
              <c:strCache>
                <c:ptCount val="1"/>
                <c:pt idx="0">
                  <c:v>Seguridad Social del empleador</c:v>
                </c:pt>
              </c:strCache>
            </c:strRef>
          </c:tx>
          <c:invertIfNegative val="0"/>
          <c:cat>
            <c:numRef>
              <c:f>Resumen!$B$54:$B$73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cat>
          <c:val>
            <c:numRef>
              <c:f>Resumen!$D$54:$D$73</c:f>
              <c:numCache>
                <c:formatCode>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4-488D-B9A5-E6BEACDC6F16}"/>
            </c:ext>
          </c:extLst>
        </c:ser>
        <c:ser>
          <c:idx val="2"/>
          <c:order val="2"/>
          <c:tx>
            <c:strRef>
              <c:f>Resumen!$J$53</c:f>
              <c:strCache>
                <c:ptCount val="1"/>
                <c:pt idx="0">
                  <c:v>Vacaciones y aguinaldo</c:v>
                </c:pt>
              </c:strCache>
            </c:strRef>
          </c:tx>
          <c:invertIfNegative val="0"/>
          <c:cat>
            <c:numRef>
              <c:f>Resumen!$B$54:$B$73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cat>
          <c:val>
            <c:numRef>
              <c:f>Resumen!$J$54:$J$73</c:f>
              <c:numCache>
                <c:formatCode>0.0%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4-488D-B9A5-E6BEACDC6F16}"/>
            </c:ext>
          </c:extLst>
        </c:ser>
        <c:ser>
          <c:idx val="3"/>
          <c:order val="3"/>
          <c:tx>
            <c:strRef>
              <c:f>Resumen!$K$53</c:f>
              <c:strCache>
                <c:ptCount val="1"/>
                <c:pt idx="0">
                  <c:v>Costo de despido</c:v>
                </c:pt>
              </c:strCache>
            </c:strRef>
          </c:tx>
          <c:invertIfNegative val="0"/>
          <c:cat>
            <c:numRef>
              <c:f>Resumen!$B$54:$B$73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cat>
          <c:val>
            <c:numRef>
              <c:f>Resumen!$K$54:$K$73</c:f>
              <c:numCache>
                <c:formatCode>0.0%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D4-488D-B9A5-E6BEACDC6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366080"/>
        <c:axId val="258376064"/>
      </c:barChart>
      <c:catAx>
        <c:axId val="258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8376064"/>
        <c:crosses val="autoZero"/>
        <c:auto val="1"/>
        <c:lblAlgn val="ctr"/>
        <c:lblOffset val="100"/>
        <c:noMultiLvlLbl val="0"/>
      </c:catAx>
      <c:valAx>
        <c:axId val="25837606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583660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'4.5'!$Q$5</c:f>
              <c:strCache>
                <c:ptCount val="1"/>
                <c:pt idx="0">
                  <c:v>SM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1D-4AC5-8564-AD5F3332C1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1D-4AC5-8564-AD5F3332C16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71D-4AC5-8564-AD5F3332C16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71D-4AC5-8564-AD5F3332C1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71D-4AC5-8564-AD5F3332C16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71D-4AC5-8564-AD5F3332C16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671D-4AC5-8564-AD5F3332C16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71D-4AC5-8564-AD5F3332C16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71D-4AC5-8564-AD5F3332C16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71D-4AC5-8564-AD5F3332C16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671D-4AC5-8564-AD5F3332C160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671D-4AC5-8564-AD5F3332C16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671D-4AC5-8564-AD5F3332C16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671D-4AC5-8564-AD5F3332C16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671D-4AC5-8564-AD5F3332C160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671D-4AC5-8564-AD5F3332C16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671D-4AC5-8564-AD5F3332C16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671D-4AC5-8564-AD5F3332C160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5-671D-4AC5-8564-AD5F3332C160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671D-4AC5-8564-AD5F3332C16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9-671D-4AC5-8564-AD5F3332C16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B-671D-4AC5-8564-AD5F3332C16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D-671D-4AC5-8564-AD5F3332C16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F-671D-4AC5-8564-AD5F3332C160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1-671D-4AC5-8564-AD5F3332C160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3-671D-4AC5-8564-AD5F3332C160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5-671D-4AC5-8564-AD5F3332C160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7-671D-4AC5-8564-AD5F3332C160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9-671D-4AC5-8564-AD5F3332C160}"/>
              </c:ext>
            </c:extLst>
          </c:dPt>
          <c:cat>
            <c:strRef>
              <c:f>'4.5'!$P$6:$P$47</c:f>
              <c:strCache>
                <c:ptCount val="42"/>
                <c:pt idx="0">
                  <c:v>MEX</c:v>
                </c:pt>
                <c:pt idx="1">
                  <c:v>LUX</c:v>
                </c:pt>
                <c:pt idx="2">
                  <c:v>CHL</c:v>
                </c:pt>
                <c:pt idx="3">
                  <c:v>USA </c:v>
                </c:pt>
                <c:pt idx="4">
                  <c:v>DOM</c:v>
                </c:pt>
                <c:pt idx="5">
                  <c:v>CZE</c:v>
                </c:pt>
                <c:pt idx="6">
                  <c:v>URY</c:v>
                </c:pt>
                <c:pt idx="7">
                  <c:v>ESP</c:v>
                </c:pt>
                <c:pt idx="8">
                  <c:v>SVK</c:v>
                </c:pt>
                <c:pt idx="9">
                  <c:v>EST</c:v>
                </c:pt>
                <c:pt idx="10">
                  <c:v>GRC</c:v>
                </c:pt>
                <c:pt idx="11">
                  <c:v>ISR</c:v>
                </c:pt>
                <c:pt idx="12">
                  <c:v>PRT</c:v>
                </c:pt>
                <c:pt idx="13">
                  <c:v>HUN</c:v>
                </c:pt>
                <c:pt idx="14">
                  <c:v>BRA</c:v>
                </c:pt>
                <c:pt idx="15">
                  <c:v>OCDE (prom)</c:v>
                </c:pt>
                <c:pt idx="16">
                  <c:v>POL</c:v>
                </c:pt>
                <c:pt idx="17">
                  <c:v>IRL</c:v>
                </c:pt>
                <c:pt idx="18">
                  <c:v>VEN</c:v>
                </c:pt>
                <c:pt idx="19">
                  <c:v>CAN</c:v>
                </c:pt>
                <c:pt idx="20">
                  <c:v>JPN</c:v>
                </c:pt>
                <c:pt idx="21">
                  <c:v>JAM</c:v>
                </c:pt>
                <c:pt idx="22">
                  <c:v>PAN</c:v>
                </c:pt>
                <c:pt idx="23">
                  <c:v>GBR</c:v>
                </c:pt>
                <c:pt idx="24">
                  <c:v>AUS</c:v>
                </c:pt>
                <c:pt idx="25">
                  <c:v>NLD</c:v>
                </c:pt>
                <c:pt idx="26">
                  <c:v>KOR</c:v>
                </c:pt>
                <c:pt idx="27">
                  <c:v>ARG</c:v>
                </c:pt>
                <c:pt idx="28">
                  <c:v>SLV</c:v>
                </c:pt>
                <c:pt idx="29">
                  <c:v>SVN</c:v>
                </c:pt>
                <c:pt idx="30">
                  <c:v>BEL</c:v>
                </c:pt>
                <c:pt idx="31">
                  <c:v>CRI</c:v>
                </c:pt>
                <c:pt idx="32">
                  <c:v>COL</c:v>
                </c:pt>
                <c:pt idx="33">
                  <c:v>PER</c:v>
                </c:pt>
                <c:pt idx="34">
                  <c:v>FRA</c:v>
                </c:pt>
                <c:pt idx="35">
                  <c:v>ECU</c:v>
                </c:pt>
                <c:pt idx="36">
                  <c:v>ALC (prom)</c:v>
                </c:pt>
                <c:pt idx="37">
                  <c:v>GTM</c:v>
                </c:pt>
                <c:pt idx="38">
                  <c:v>BOL</c:v>
                </c:pt>
                <c:pt idx="39">
                  <c:v>NIC</c:v>
                </c:pt>
                <c:pt idx="40">
                  <c:v>PRY</c:v>
                </c:pt>
                <c:pt idx="41">
                  <c:v>HND</c:v>
                </c:pt>
              </c:strCache>
            </c:strRef>
          </c:cat>
          <c:val>
            <c:numRef>
              <c:f>'4.5'!$Q$6:$Q$47</c:f>
              <c:numCache>
                <c:formatCode>0%</c:formatCode>
                <c:ptCount val="42"/>
                <c:pt idx="0">
                  <c:v>7.4121610762668086E-2</c:v>
                </c:pt>
                <c:pt idx="1">
                  <c:v>0.11796302701558736</c:v>
                </c:pt>
                <c:pt idx="2">
                  <c:v>0.13389723568086614</c:v>
                </c:pt>
                <c:pt idx="3">
                  <c:v>0.12943867891615304</c:v>
                </c:pt>
                <c:pt idx="4">
                  <c:v>0.13100000403347786</c:v>
                </c:pt>
                <c:pt idx="5">
                  <c:v>0.11900447564871966</c:v>
                </c:pt>
                <c:pt idx="6">
                  <c:v>0.13484123657633859</c:v>
                </c:pt>
                <c:pt idx="7">
                  <c:v>0.12649634399403917</c:v>
                </c:pt>
                <c:pt idx="8">
                  <c:v>0.12826007349775356</c:v>
                </c:pt>
                <c:pt idx="9">
                  <c:v>0.12789624256972945</c:v>
                </c:pt>
                <c:pt idx="10">
                  <c:v>0.13519764299713607</c:v>
                </c:pt>
                <c:pt idx="11">
                  <c:v>0.16965749904950206</c:v>
                </c:pt>
                <c:pt idx="12">
                  <c:v>0.15218340573470884</c:v>
                </c:pt>
                <c:pt idx="13">
                  <c:v>0.15518199322569379</c:v>
                </c:pt>
                <c:pt idx="14">
                  <c:v>0.15211542943894693</c:v>
                </c:pt>
                <c:pt idx="15">
                  <c:v>0.17702549610531129</c:v>
                </c:pt>
                <c:pt idx="16">
                  <c:v>0.17984361451427147</c:v>
                </c:pt>
                <c:pt idx="17">
                  <c:v>0.19247696237756523</c:v>
                </c:pt>
                <c:pt idx="18">
                  <c:v>0.18755270820569553</c:v>
                </c:pt>
                <c:pt idx="19">
                  <c:v>0.19747430270127</c:v>
                </c:pt>
                <c:pt idx="20">
                  <c:v>0.20586985764840676</c:v>
                </c:pt>
                <c:pt idx="21">
                  <c:v>0.21217290770159161</c:v>
                </c:pt>
                <c:pt idx="22">
                  <c:v>0.21750078876419179</c:v>
                </c:pt>
                <c:pt idx="23">
                  <c:v>0.22446393894956923</c:v>
                </c:pt>
                <c:pt idx="24">
                  <c:v>0.23615981623594626</c:v>
                </c:pt>
                <c:pt idx="25">
                  <c:v>0.22943834379939437</c:v>
                </c:pt>
                <c:pt idx="26">
                  <c:v>0.23131487486068367</c:v>
                </c:pt>
                <c:pt idx="27">
                  <c:v>0.20066911840766705</c:v>
                </c:pt>
                <c:pt idx="28">
                  <c:v>0.24361401597427762</c:v>
                </c:pt>
                <c:pt idx="29">
                  <c:v>0.23569510887491038</c:v>
                </c:pt>
                <c:pt idx="30">
                  <c:v>0.21447696996825477</c:v>
                </c:pt>
                <c:pt idx="31">
                  <c:v>0.24361522125498991</c:v>
                </c:pt>
                <c:pt idx="32">
                  <c:v>0.21151491773063891</c:v>
                </c:pt>
                <c:pt idx="33">
                  <c:v>0.26968621833313833</c:v>
                </c:pt>
                <c:pt idx="34">
                  <c:v>0.20904224563224272</c:v>
                </c:pt>
                <c:pt idx="35">
                  <c:v>0.27263947261122223</c:v>
                </c:pt>
                <c:pt idx="36">
                  <c:v>0.27007948085737948</c:v>
                </c:pt>
                <c:pt idx="37">
                  <c:v>0.34315517672834528</c:v>
                </c:pt>
                <c:pt idx="38">
                  <c:v>0.3553804420819659</c:v>
                </c:pt>
                <c:pt idx="39">
                  <c:v>0.51301990300054845</c:v>
                </c:pt>
                <c:pt idx="40">
                  <c:v>0.52296581302102851</c:v>
                </c:pt>
                <c:pt idx="41">
                  <c:v>0.72716327752695609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671D-4AC5-8564-AD5F3332C160}"/>
            </c:ext>
          </c:extLst>
        </c:ser>
        <c:ser>
          <c:idx val="1"/>
          <c:order val="1"/>
          <c:tx>
            <c:strRef>
              <c:f>'4.5'!$R$5</c:f>
              <c:strCache>
                <c:ptCount val="1"/>
                <c:pt idx="0">
                  <c:v>CSS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3C-671D-4AC5-8564-AD5F3332C16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3E-671D-4AC5-8564-AD5F3332C16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0-671D-4AC5-8564-AD5F3332C16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2-671D-4AC5-8564-AD5F3332C160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4-671D-4AC5-8564-AD5F3332C16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6-671D-4AC5-8564-AD5F3332C160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8-671D-4AC5-8564-AD5F3332C160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A-671D-4AC5-8564-AD5F3332C16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C-671D-4AC5-8564-AD5F3332C160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4E-671D-4AC5-8564-AD5F3332C160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50-671D-4AC5-8564-AD5F3332C160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52-671D-4AC5-8564-AD5F3332C160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54-671D-4AC5-8564-AD5F3332C160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56-671D-4AC5-8564-AD5F3332C160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58-671D-4AC5-8564-AD5F3332C160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5A-671D-4AC5-8564-AD5F3332C160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5C-671D-4AC5-8564-AD5F3332C160}"/>
              </c:ext>
            </c:extLst>
          </c:dPt>
          <c:dPt>
            <c:idx val="2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5E-671D-4AC5-8564-AD5F3332C160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60-671D-4AC5-8564-AD5F3332C160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62-671D-4AC5-8564-AD5F3332C160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64-671D-4AC5-8564-AD5F3332C160}"/>
              </c:ext>
            </c:extLst>
          </c:dPt>
          <c:dPt>
            <c:idx val="2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66-671D-4AC5-8564-AD5F3332C160}"/>
              </c:ext>
            </c:extLst>
          </c:dPt>
          <c:dPt>
            <c:idx val="2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68-671D-4AC5-8564-AD5F3332C160}"/>
              </c:ext>
            </c:extLst>
          </c:dPt>
          <c:dPt>
            <c:idx val="2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6A-671D-4AC5-8564-AD5F3332C160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6C-671D-4AC5-8564-AD5F3332C160}"/>
              </c:ext>
            </c:extLst>
          </c:dPt>
          <c:dPt>
            <c:idx val="2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6E-671D-4AC5-8564-AD5F3332C160}"/>
              </c:ext>
            </c:extLst>
          </c:dPt>
          <c:dPt>
            <c:idx val="3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70-671D-4AC5-8564-AD5F3332C160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72-671D-4AC5-8564-AD5F3332C160}"/>
              </c:ext>
            </c:extLst>
          </c:dPt>
          <c:dPt>
            <c:idx val="3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74-671D-4AC5-8564-AD5F3332C160}"/>
              </c:ext>
            </c:extLst>
          </c:dPt>
          <c:cat>
            <c:strRef>
              <c:f>'4.5'!$P$6:$P$47</c:f>
              <c:strCache>
                <c:ptCount val="42"/>
                <c:pt idx="0">
                  <c:v>MEX</c:v>
                </c:pt>
                <c:pt idx="1">
                  <c:v>LUX</c:v>
                </c:pt>
                <c:pt idx="2">
                  <c:v>CHL</c:v>
                </c:pt>
                <c:pt idx="3">
                  <c:v>USA </c:v>
                </c:pt>
                <c:pt idx="4">
                  <c:v>DOM</c:v>
                </c:pt>
                <c:pt idx="5">
                  <c:v>CZE</c:v>
                </c:pt>
                <c:pt idx="6">
                  <c:v>URY</c:v>
                </c:pt>
                <c:pt idx="7">
                  <c:v>ESP</c:v>
                </c:pt>
                <c:pt idx="8">
                  <c:v>SVK</c:v>
                </c:pt>
                <c:pt idx="9">
                  <c:v>EST</c:v>
                </c:pt>
                <c:pt idx="10">
                  <c:v>GRC</c:v>
                </c:pt>
                <c:pt idx="11">
                  <c:v>ISR</c:v>
                </c:pt>
                <c:pt idx="12">
                  <c:v>PRT</c:v>
                </c:pt>
                <c:pt idx="13">
                  <c:v>HUN</c:v>
                </c:pt>
                <c:pt idx="14">
                  <c:v>BRA</c:v>
                </c:pt>
                <c:pt idx="15">
                  <c:v>OCDE (prom)</c:v>
                </c:pt>
                <c:pt idx="16">
                  <c:v>POL</c:v>
                </c:pt>
                <c:pt idx="17">
                  <c:v>IRL</c:v>
                </c:pt>
                <c:pt idx="18">
                  <c:v>VEN</c:v>
                </c:pt>
                <c:pt idx="19">
                  <c:v>CAN</c:v>
                </c:pt>
                <c:pt idx="20">
                  <c:v>JPN</c:v>
                </c:pt>
                <c:pt idx="21">
                  <c:v>JAM</c:v>
                </c:pt>
                <c:pt idx="22">
                  <c:v>PAN</c:v>
                </c:pt>
                <c:pt idx="23">
                  <c:v>GBR</c:v>
                </c:pt>
                <c:pt idx="24">
                  <c:v>AUS</c:v>
                </c:pt>
                <c:pt idx="25">
                  <c:v>NLD</c:v>
                </c:pt>
                <c:pt idx="26">
                  <c:v>KOR</c:v>
                </c:pt>
                <c:pt idx="27">
                  <c:v>ARG</c:v>
                </c:pt>
                <c:pt idx="28">
                  <c:v>SLV</c:v>
                </c:pt>
                <c:pt idx="29">
                  <c:v>SVN</c:v>
                </c:pt>
                <c:pt idx="30">
                  <c:v>BEL</c:v>
                </c:pt>
                <c:pt idx="31">
                  <c:v>CRI</c:v>
                </c:pt>
                <c:pt idx="32">
                  <c:v>COL</c:v>
                </c:pt>
                <c:pt idx="33">
                  <c:v>PER</c:v>
                </c:pt>
                <c:pt idx="34">
                  <c:v>FRA</c:v>
                </c:pt>
                <c:pt idx="35">
                  <c:v>ECU</c:v>
                </c:pt>
                <c:pt idx="36">
                  <c:v>ALC (prom)</c:v>
                </c:pt>
                <c:pt idx="37">
                  <c:v>GTM</c:v>
                </c:pt>
                <c:pt idx="38">
                  <c:v>BOL</c:v>
                </c:pt>
                <c:pt idx="39">
                  <c:v>NIC</c:v>
                </c:pt>
                <c:pt idx="40">
                  <c:v>PRY</c:v>
                </c:pt>
                <c:pt idx="41">
                  <c:v>HND</c:v>
                </c:pt>
              </c:strCache>
            </c:strRef>
          </c:cat>
          <c:val>
            <c:numRef>
              <c:f>'4.5'!$R$6:$R$47</c:f>
              <c:numCache>
                <c:formatCode>0%</c:formatCode>
                <c:ptCount val="42"/>
                <c:pt idx="0">
                  <c:v>1.5768200237372462E-2</c:v>
                </c:pt>
                <c:pt idx="1">
                  <c:v>1.4521248625618804E-2</c:v>
                </c:pt>
                <c:pt idx="2">
                  <c:v>6.1726625648879296E-3</c:v>
                </c:pt>
                <c:pt idx="3">
                  <c:v>1.2749709873241076E-2</c:v>
                </c:pt>
                <c:pt idx="4">
                  <c:v>1.7780783524044424E-2</c:v>
                </c:pt>
                <c:pt idx="5">
                  <c:v>4.0461521720564685E-2</c:v>
                </c:pt>
                <c:pt idx="6">
                  <c:v>2.6327751441530111E-2</c:v>
                </c:pt>
                <c:pt idx="7">
                  <c:v>3.7822406854217706E-2</c:v>
                </c:pt>
                <c:pt idx="8">
                  <c:v>4.0017142931299113E-2</c:v>
                </c:pt>
                <c:pt idx="9">
                  <c:v>4.3484722473708028E-2</c:v>
                </c:pt>
                <c:pt idx="10">
                  <c:v>3.7125272767013572E-2</c:v>
                </c:pt>
                <c:pt idx="11">
                  <c:v>8.465909202570154E-3</c:v>
                </c:pt>
                <c:pt idx="12">
                  <c:v>3.6143558861993344E-2</c:v>
                </c:pt>
                <c:pt idx="13">
                  <c:v>4.4226868069322724E-2</c:v>
                </c:pt>
                <c:pt idx="14">
                  <c:v>5.1875184410443358E-2</c:v>
                </c:pt>
                <c:pt idx="15">
                  <c:v>3.2803705882251247E-2</c:v>
                </c:pt>
                <c:pt idx="16">
                  <c:v>3.0177758515494757E-2</c:v>
                </c:pt>
                <c:pt idx="17">
                  <c:v>2.0691273455588265E-2</c:v>
                </c:pt>
                <c:pt idx="18">
                  <c:v>2.9539551542397041E-2</c:v>
                </c:pt>
                <c:pt idx="19">
                  <c:v>2.3815400905773165E-2</c:v>
                </c:pt>
                <c:pt idx="20">
                  <c:v>3.0242282088550957E-2</c:v>
                </c:pt>
                <c:pt idx="21">
                  <c:v>2.5460203300826136E-2</c:v>
                </c:pt>
                <c:pt idx="22">
                  <c:v>3.0283784002910402E-2</c:v>
                </c:pt>
                <c:pt idx="23">
                  <c:v>2.4174766224868603E-2</c:v>
                </c:pt>
                <c:pt idx="24">
                  <c:v>1.4027893084415205E-2</c:v>
                </c:pt>
                <c:pt idx="25">
                  <c:v>2.1016552292024523E-2</c:v>
                </c:pt>
                <c:pt idx="26">
                  <c:v>2.3686643185734008E-2</c:v>
                </c:pt>
                <c:pt idx="27">
                  <c:v>5.6846266677276429E-2</c:v>
                </c:pt>
                <c:pt idx="28">
                  <c:v>2.6242784631615699E-2</c:v>
                </c:pt>
                <c:pt idx="29">
                  <c:v>3.7946912528860573E-2</c:v>
                </c:pt>
                <c:pt idx="30">
                  <c:v>6.4128614020508165E-2</c:v>
                </c:pt>
                <c:pt idx="31">
                  <c:v>3.5086974679435758E-2</c:v>
                </c:pt>
                <c:pt idx="32">
                  <c:v>7.5990743507351702E-2</c:v>
                </c:pt>
                <c:pt idx="33">
                  <c:v>1.9478087119110914E-2</c:v>
                </c:pt>
                <c:pt idx="34">
                  <c:v>8.3951365845908663E-2</c:v>
                </c:pt>
                <c:pt idx="35">
                  <c:v>3.5709625350187492E-2</c:v>
                </c:pt>
                <c:pt idx="36">
                  <c:v>4.0166710775231824E-2</c:v>
                </c:pt>
                <c:pt idx="37">
                  <c:v>3.6897760377715333E-2</c:v>
                </c:pt>
                <c:pt idx="38">
                  <c:v>5.9384071871896503E-2</c:v>
                </c:pt>
                <c:pt idx="39">
                  <c:v>7.2741628037391204E-2</c:v>
                </c:pt>
                <c:pt idx="40">
                  <c:v>8.5469785859406913E-2</c:v>
                </c:pt>
                <c:pt idx="41">
                  <c:v>3.3489576671919118E-2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671D-4AC5-8564-AD5F3332C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0567040"/>
        <c:axId val="260568576"/>
      </c:barChart>
      <c:catAx>
        <c:axId val="26056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0568576"/>
        <c:crosses val="autoZero"/>
        <c:auto val="1"/>
        <c:lblAlgn val="ctr"/>
        <c:lblOffset val="100"/>
        <c:noMultiLvlLbl val="0"/>
      </c:catAx>
      <c:valAx>
        <c:axId val="260568576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Costos salariales y de</a:t>
                </a:r>
                <a:r>
                  <a:rPr lang="en-US" b="0" baseline="0"/>
                  <a:t> seguridad social </a:t>
                </a:r>
                <a:r>
                  <a:rPr lang="en-US" b="0"/>
                  <a:t>como porcentaje del PIB por trabajador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60567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057103573555283E-2"/>
          <c:y val="0.92158349654851557"/>
          <c:w val="0.40217669088033764"/>
          <c:h val="5.04932953519071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dLbls>
            <c:dLbl>
              <c:idx val="0"/>
              <c:tx>
                <c:strRef>
                  <c:f>'2.7'!$H$3</c:f>
                  <c:strCache>
                    <c:ptCount val="1"/>
                    <c:pt idx="0">
                      <c:v>ALC (prom)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{ED003BFA-5319-4308-B2CA-0E1CC8EC2A30}</c15:txfldGUID>
                      <c15:f>'2.7'!$H$3</c15:f>
                      <c15:dlblFieldTableCache>
                        <c:ptCount val="1"/>
                        <c:pt idx="0">
                          <c:v>ALC (prom)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A07-4FF8-9CF6-F79082975162}"/>
                </c:ext>
              </c:extLst>
            </c:dLbl>
            <c:dLbl>
              <c:idx val="1"/>
              <c:layout>
                <c:manualLayout>
                  <c:x val="-1.5374020393674179E-2"/>
                  <c:y val="1.8841489791432679E-2"/>
                </c:manualLayout>
              </c:layout>
              <c:tx>
                <c:strRef>
                  <c:f>'2.7'!$H$4</c:f>
                  <c:strCache>
                    <c:ptCount val="1"/>
                    <c:pt idx="0">
                      <c:v>ARG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{2453AC39-A113-4674-97A2-E6EB1A9BB951}</c15:txfldGUID>
                      <c15:f>'2.7'!$H$4</c15:f>
                      <c15:dlblFieldTableCache>
                        <c:ptCount val="1"/>
                        <c:pt idx="0">
                          <c:v>ARG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A07-4FF8-9CF6-F79082975162}"/>
                </c:ext>
              </c:extLst>
            </c:dLbl>
            <c:dLbl>
              <c:idx val="2"/>
              <c:layout>
                <c:manualLayout>
                  <c:x val="-3.6175221009675941E-2"/>
                  <c:y val="-4.889467657735018E-2"/>
                </c:manualLayout>
              </c:layout>
              <c:tx>
                <c:strRef>
                  <c:f>'2.7'!$H$5</c:f>
                  <c:strCache>
                    <c:ptCount val="1"/>
                    <c:pt idx="0">
                      <c:v>BOL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{4A9AC78F-06DA-421B-AF08-DED3D5786CC9}</c15:txfldGUID>
                      <c15:f>'2.7'!$H$5</c15:f>
                      <c15:dlblFieldTableCache>
                        <c:ptCount val="1"/>
                        <c:pt idx="0">
                          <c:v>BOL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A07-4FF8-9CF6-F79082975162}"/>
                </c:ext>
              </c:extLst>
            </c:dLbl>
            <c:dLbl>
              <c:idx val="3"/>
              <c:tx>
                <c:strRef>
                  <c:f>'2.7'!$H$6</c:f>
                  <c:strCache>
                    <c:ptCount val="1"/>
                    <c:pt idx="0">
                      <c:v>BRA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{A0DF8B46-06B6-425A-A353-78CDC7611906}</c15:txfldGUID>
                      <c15:f>'2.7'!$H$6</c15:f>
                      <c15:dlblFieldTableCache>
                        <c:ptCount val="1"/>
                        <c:pt idx="0">
                          <c:v>BRA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A07-4FF8-9CF6-F79082975162}"/>
                </c:ext>
              </c:extLst>
            </c:dLbl>
            <c:dLbl>
              <c:idx val="4"/>
              <c:tx>
                <c:strRef>
                  <c:f>'2.7'!$H$7</c:f>
                  <c:strCache>
                    <c:ptCount val="1"/>
                    <c:pt idx="0">
                      <c:v>CHL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{1A780F7A-A1F5-4095-BD67-F1224AD361A6}</c15:txfldGUID>
                      <c15:f>'2.7'!$H$7</c15:f>
                      <c15:dlblFieldTableCache>
                        <c:ptCount val="1"/>
                        <c:pt idx="0">
                          <c:v>CHL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A07-4FF8-9CF6-F79082975162}"/>
                </c:ext>
              </c:extLst>
            </c:dLbl>
            <c:dLbl>
              <c:idx val="5"/>
              <c:tx>
                <c:strRef>
                  <c:f>'2.7'!$H$8</c:f>
                  <c:strCache>
                    <c:ptCount val="1"/>
                    <c:pt idx="0">
                      <c:v>COL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{33084E28-CAA1-4D28-887E-5FFF3091BD6A}</c15:txfldGUID>
                      <c15:f>'2.7'!$H$8</c15:f>
                      <c15:dlblFieldTableCache>
                        <c:ptCount val="1"/>
                        <c:pt idx="0">
                          <c:v>COL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A07-4FF8-9CF6-F79082975162}"/>
                </c:ext>
              </c:extLst>
            </c:dLbl>
            <c:dLbl>
              <c:idx val="6"/>
              <c:tx>
                <c:strRef>
                  <c:f>'2.7'!$H$9</c:f>
                  <c:strCache>
                    <c:ptCount val="1"/>
                    <c:pt idx="0">
                      <c:v>CRI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{857D715F-4A74-4964-819E-656F300F71AD}</c15:txfldGUID>
                      <c15:f>'2.7'!$H$9</c15:f>
                      <c15:dlblFieldTableCache>
                        <c:ptCount val="1"/>
                        <c:pt idx="0">
                          <c:v>CRI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A07-4FF8-9CF6-F79082975162}"/>
                </c:ext>
              </c:extLst>
            </c:dLbl>
            <c:dLbl>
              <c:idx val="7"/>
              <c:tx>
                <c:strRef>
                  <c:f>'2.7'!$H$10</c:f>
                  <c:strCache>
                    <c:ptCount val="1"/>
                    <c:pt idx="0">
                      <c:v>DOM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{8559D658-44F2-4F5E-BF7E-4BBAC6756B70}</c15:txfldGUID>
                      <c15:f>'2.7'!$H$10</c15:f>
                      <c15:dlblFieldTableCache>
                        <c:ptCount val="1"/>
                        <c:pt idx="0">
                          <c:v>DOM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A07-4FF8-9CF6-F79082975162}"/>
                </c:ext>
              </c:extLst>
            </c:dLbl>
            <c:dLbl>
              <c:idx val="8"/>
              <c:layout>
                <c:manualLayout>
                  <c:x val="-3.166817920045556E-2"/>
                  <c:y val="-4.5329615189519508E-2"/>
                </c:manualLayout>
              </c:layout>
              <c:tx>
                <c:strRef>
                  <c:f>'2.7'!$H$11</c:f>
                  <c:strCache>
                    <c:ptCount val="1"/>
                    <c:pt idx="0">
                      <c:v>ECU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{A97D1A91-2969-4ADC-9F8E-9A854DF8B93B}</c15:txfldGUID>
                      <c15:f>'2.7'!$H$11</c15:f>
                      <c15:dlblFieldTableCache>
                        <c:ptCount val="1"/>
                        <c:pt idx="0">
                          <c:v>ECU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A07-4FF8-9CF6-F79082975162}"/>
                </c:ext>
              </c:extLst>
            </c:dLbl>
            <c:dLbl>
              <c:idx val="9"/>
              <c:layout>
                <c:manualLayout>
                  <c:x val="-5.0960920635252364E-2"/>
                  <c:y val="3.3101735342755387E-2"/>
                </c:manualLayout>
              </c:layout>
              <c:tx>
                <c:strRef>
                  <c:f>'2.7'!$H$12</c:f>
                  <c:strCache>
                    <c:ptCount val="1"/>
                    <c:pt idx="0">
                      <c:v>GTM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{48BB607F-D413-4C3E-8D65-1DB8E15E7829}</c15:txfldGUID>
                      <c15:f>'2.7'!$H$12</c15:f>
                      <c15:dlblFieldTableCache>
                        <c:ptCount val="1"/>
                        <c:pt idx="0">
                          <c:v>GTM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A07-4FF8-9CF6-F79082975162}"/>
                </c:ext>
              </c:extLst>
            </c:dLbl>
            <c:dLbl>
              <c:idx val="10"/>
              <c:tx>
                <c:strRef>
                  <c:f>'2.7'!$H$13</c:f>
                  <c:strCache>
                    <c:ptCount val="1"/>
                    <c:pt idx="0">
                      <c:v>HND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{37467D68-06A5-40F9-8623-67E67BC59373}</c15:txfldGUID>
                      <c15:f>'2.7'!$H$13</c15:f>
                      <c15:dlblFieldTableCache>
                        <c:ptCount val="1"/>
                        <c:pt idx="0">
                          <c:v>HND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A07-4FF8-9CF6-F79082975162}"/>
                </c:ext>
              </c:extLst>
            </c:dLbl>
            <c:dLbl>
              <c:idx val="11"/>
              <c:tx>
                <c:strRef>
                  <c:f>'2.7'!$H$14</c:f>
                  <c:strCache>
                    <c:ptCount val="1"/>
                    <c:pt idx="0">
                      <c:v>JAM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{CBD57764-7A2D-45B1-92DC-0DD94E898AFD}</c15:txfldGUID>
                      <c15:f>'2.7'!$H$14</c15:f>
                      <c15:dlblFieldTableCache>
                        <c:ptCount val="1"/>
                        <c:pt idx="0">
                          <c:v>JAM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A07-4FF8-9CF6-F79082975162}"/>
                </c:ext>
              </c:extLst>
            </c:dLbl>
            <c:dLbl>
              <c:idx val="12"/>
              <c:tx>
                <c:strRef>
                  <c:f>'2.7'!$H$15</c:f>
                  <c:strCache>
                    <c:ptCount val="1"/>
                    <c:pt idx="0">
                      <c:v>MEX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{72DAF2EA-D9E7-44B9-821B-9B5101162E2F}</c15:txfldGUID>
                      <c15:f>'2.7'!$H$15</c15:f>
                      <c15:dlblFieldTableCache>
                        <c:ptCount val="1"/>
                        <c:pt idx="0">
                          <c:v>MEX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A07-4FF8-9CF6-F79082975162}"/>
                </c:ext>
              </c:extLst>
            </c:dLbl>
            <c:dLbl>
              <c:idx val="13"/>
              <c:layout>
                <c:manualLayout>
                  <c:x val="-3.5974908040377257E-2"/>
                  <c:y val="4.3796919506247423E-2"/>
                </c:manualLayout>
              </c:layout>
              <c:tx>
                <c:strRef>
                  <c:f>'2.7'!$H$16</c:f>
                  <c:strCache>
                    <c:ptCount val="1"/>
                    <c:pt idx="0">
                      <c:v> NIC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{05778095-0082-407A-8FDA-75319E235A12}</c15:txfldGUID>
                      <c15:f>'2.7'!$H$16</c15:f>
                      <c15:dlblFieldTableCache>
                        <c:ptCount val="1"/>
                        <c:pt idx="0">
                          <c:v> NIC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A07-4FF8-9CF6-F79082975162}"/>
                </c:ext>
              </c:extLst>
            </c:dLbl>
            <c:dLbl>
              <c:idx val="14"/>
              <c:tx>
                <c:strRef>
                  <c:f>'2.7'!$H$17</c:f>
                  <c:strCache>
                    <c:ptCount val="1"/>
                    <c:pt idx="0">
                      <c:v>PAN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{1AD17011-2BC2-4D83-ACCA-FCDD38196FC6}</c15:txfldGUID>
                      <c15:f>'2.7'!$H$17</c15:f>
                      <c15:dlblFieldTableCache>
                        <c:ptCount val="1"/>
                        <c:pt idx="0">
                          <c:v>PAN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A07-4FF8-9CF6-F79082975162}"/>
                </c:ext>
              </c:extLst>
            </c:dLbl>
            <c:dLbl>
              <c:idx val="15"/>
              <c:tx>
                <c:strRef>
                  <c:f>'2.7'!$H$18</c:f>
                  <c:strCache>
                    <c:ptCount val="1"/>
                    <c:pt idx="0">
                      <c:v>PER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{B41CE694-F203-4B82-835A-498D9DC2B374}</c15:txfldGUID>
                      <c15:f>'2.7'!$H$18</c15:f>
                      <c15:dlblFieldTableCache>
                        <c:ptCount val="1"/>
                        <c:pt idx="0">
                          <c:v>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A07-4FF8-9CF6-F79082975162}"/>
                </c:ext>
              </c:extLst>
            </c:dLbl>
            <c:dLbl>
              <c:idx val="16"/>
              <c:tx>
                <c:strRef>
                  <c:f>'2.7'!$H$19</c:f>
                  <c:strCache>
                    <c:ptCount val="1"/>
                    <c:pt idx="0">
                      <c:v>PRY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{8C179E1E-7063-43B7-AC1B-C619F72A1786}</c15:txfldGUID>
                      <c15:f>'2.7'!$H$19</c15:f>
                      <c15:dlblFieldTableCache>
                        <c:ptCount val="1"/>
                        <c:pt idx="0">
                          <c:v>PRY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A07-4FF8-9CF6-F79082975162}"/>
                </c:ext>
              </c:extLst>
            </c:dLbl>
            <c:dLbl>
              <c:idx val="17"/>
              <c:layout>
                <c:manualLayout>
                  <c:x val="-4.8726129781905311E-2"/>
                  <c:y val="3.6666796730586065E-2"/>
                </c:manualLayout>
              </c:layout>
              <c:tx>
                <c:strRef>
                  <c:f>'2.7'!$H$20</c:f>
                  <c:strCache>
                    <c:ptCount val="1"/>
                    <c:pt idx="0">
                      <c:v>SLV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{6C8CA4F3-2554-4770-881A-835DACAA5C01}</c15:txfldGUID>
                      <c15:f>'2.7'!$H$20</c15:f>
                      <c15:dlblFieldTableCache>
                        <c:ptCount val="1"/>
                        <c:pt idx="0">
                          <c:v>SLV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A07-4FF8-9CF6-F79082975162}"/>
                </c:ext>
              </c:extLst>
            </c:dLbl>
            <c:dLbl>
              <c:idx val="18"/>
              <c:tx>
                <c:strRef>
                  <c:f>'2.7'!$H$21</c:f>
                  <c:strCache>
                    <c:ptCount val="1"/>
                    <c:pt idx="0">
                      <c:v>URY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{6FF11FE9-83E7-4844-A695-4D14AE497740}</c15:txfldGUID>
                      <c15:f>'2.7'!$H$21</c15:f>
                      <c15:dlblFieldTableCache>
                        <c:ptCount val="1"/>
                        <c:pt idx="0">
                          <c:v>URY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A07-4FF8-9CF6-F79082975162}"/>
                </c:ext>
              </c:extLst>
            </c:dLbl>
            <c:dLbl>
              <c:idx val="19"/>
              <c:layout>
                <c:manualLayout>
                  <c:x val="-4.7211361530801174E-2"/>
                  <c:y val="-3.1069369638196797E-2"/>
                </c:manualLayout>
              </c:layout>
              <c:tx>
                <c:strRef>
                  <c:f>'2.7'!$H$22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{93CFAE50-D572-4CE1-A9F7-70F259681D9F}</c15:txfldGUID>
                      <c15:f>'2.7'!$H$22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A07-4FF8-9CF6-F790829751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9.6742647049707864E-2"/>
                  <c:y val="-0.2058866424650983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R² = 0.3916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'2.7'!$O$3:$O$22</c:f>
              <c:numCache>
                <c:formatCode>_(* #,##0.00_);_(* \(#,##0.00\);_(* "-"??_);_(@_)</c:formatCode>
                <c:ptCount val="20"/>
                <c:pt idx="0">
                  <c:v>0.39233280724862701</c:v>
                </c:pt>
                <c:pt idx="1">
                  <c:v>0.29865799716306268</c:v>
                </c:pt>
                <c:pt idx="2">
                  <c:v>0.55101934978387745</c:v>
                </c:pt>
                <c:pt idx="3">
                  <c:v>0.2401814159259848</c:v>
                </c:pt>
                <c:pt idx="4">
                  <c:v>0.15903867330054344</c:v>
                </c:pt>
                <c:pt idx="5">
                  <c:v>0.31229901458452908</c:v>
                </c:pt>
                <c:pt idx="6">
                  <c:v>0.33849727195402068</c:v>
                </c:pt>
                <c:pt idx="7">
                  <c:v>0.17608864704808239</c:v>
                </c:pt>
                <c:pt idx="8">
                  <c:v>0.37797680498248354</c:v>
                </c:pt>
                <c:pt idx="9">
                  <c:v>0.50860283690109698</c:v>
                </c:pt>
                <c:pt idx="10">
                  <c:v>1.0156166706847269</c:v>
                </c:pt>
                <c:pt idx="12">
                  <c:v>0.10954799921093442</c:v>
                </c:pt>
                <c:pt idx="13">
                  <c:v>0.71298310509010343</c:v>
                </c:pt>
                <c:pt idx="14">
                  <c:v>0.31261457848495922</c:v>
                </c:pt>
                <c:pt idx="15">
                  <c:v>0.4011183447084013</c:v>
                </c:pt>
                <c:pt idx="16">
                  <c:v>0.6924938974086785</c:v>
                </c:pt>
                <c:pt idx="17">
                  <c:v>0.31669729963725379</c:v>
                </c:pt>
                <c:pt idx="18">
                  <c:v>0.19588891304600051</c:v>
                </c:pt>
                <c:pt idx="19">
                  <c:v>0.25637413252228547</c:v>
                </c:pt>
              </c:numCache>
            </c:numRef>
          </c:xVal>
          <c:yVal>
            <c:numRef>
              <c:f>'2.7'!$P$3:$P$22</c:f>
              <c:numCache>
                <c:formatCode>_(* #,##0.000_);_(* \(#,##0.000\);_(* "-"??_);_(@_)</c:formatCode>
                <c:ptCount val="20"/>
                <c:pt idx="1">
                  <c:v>0.51520750000000004</c:v>
                </c:pt>
                <c:pt idx="2">
                  <c:v>0.2228861</c:v>
                </c:pt>
                <c:pt idx="3">
                  <c:v>0.63435520000000001</c:v>
                </c:pt>
                <c:pt idx="4">
                  <c:v>0.71080500000000002</c:v>
                </c:pt>
                <c:pt idx="5">
                  <c:v>0.35349419999999998</c:v>
                </c:pt>
                <c:pt idx="6">
                  <c:v>0.71580730000000004</c:v>
                </c:pt>
                <c:pt idx="7">
                  <c:v>0.34745340000000002</c:v>
                </c:pt>
                <c:pt idx="8">
                  <c:v>0.3290728</c:v>
                </c:pt>
                <c:pt idx="9">
                  <c:v>0.19593169999999999</c:v>
                </c:pt>
                <c:pt idx="10">
                  <c:v>0.17400689999999999</c:v>
                </c:pt>
                <c:pt idx="11">
                  <c:v>0</c:v>
                </c:pt>
                <c:pt idx="12">
                  <c:v>0.3061585</c:v>
                </c:pt>
                <c:pt idx="13">
                  <c:v>0.1856611</c:v>
                </c:pt>
                <c:pt idx="14">
                  <c:v>0.56090859999999998</c:v>
                </c:pt>
                <c:pt idx="15">
                  <c:v>0.21107490000000001</c:v>
                </c:pt>
                <c:pt idx="16">
                  <c:v>0.23029350000000001</c:v>
                </c:pt>
                <c:pt idx="17">
                  <c:v>0.30485570000000001</c:v>
                </c:pt>
                <c:pt idx="18">
                  <c:v>0.76619320000000002</c:v>
                </c:pt>
                <c:pt idx="19">
                  <c:v>0.3371961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A07-4FF8-9CF6-F79082975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036672"/>
        <c:axId val="259038592"/>
      </c:scatterChart>
      <c:valAx>
        <c:axId val="25903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Costo salarial y no salarial (En porcentaje del</a:t>
                </a:r>
                <a:r>
                  <a:rPr lang="en-US" b="0" baseline="0"/>
                  <a:t>  </a:t>
                </a:r>
                <a:r>
                  <a:rPr lang="en-US" b="0"/>
                  <a:t>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038592"/>
        <c:crosses val="autoZero"/>
        <c:crossBetween val="midCat"/>
      </c:valAx>
      <c:valAx>
        <c:axId val="25903859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</a:t>
                </a:r>
                <a:r>
                  <a:rPr lang="en-US" b="0" baseline="0"/>
                  <a:t> de </a:t>
                </a:r>
                <a:r>
                  <a:rPr lang="en-US" b="0"/>
                  <a:t> trabajadores formales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036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</c:marker>
          <c:dLbls>
            <c:dLbl>
              <c:idx val="0"/>
              <c:layout>
                <c:manualLayout>
                  <c:x val="-1.270476498077253E-3"/>
                  <c:y val="-9.0795560711917265E-4"/>
                </c:manualLayout>
              </c:layout>
              <c:tx>
                <c:strRef>
                  <c:f>'2.7'!$B$29</c:f>
                  <c:strCache>
                    <c:ptCount val="1"/>
                    <c:pt idx="0">
                      <c:v>ARG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{2DF62C98-F33D-46C3-A6C9-8B3973849EF0}</c15:txfldGUID>
                      <c15:f>'2.7'!$B$29</c15:f>
                      <c15:dlblFieldTableCache>
                        <c:ptCount val="1"/>
                        <c:pt idx="0">
                          <c:v>ARG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0D8-4C5E-9937-4C4D153560B7}"/>
                </c:ext>
              </c:extLst>
            </c:dLbl>
            <c:dLbl>
              <c:idx val="1"/>
              <c:tx>
                <c:strRef>
                  <c:f>'2.7'!$B$30</c:f>
                  <c:strCache>
                    <c:ptCount val="1"/>
                    <c:pt idx="0">
                      <c:v>BOL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{6D3765B5-1FFA-4216-8C2E-8301F5B96D12}</c15:txfldGUID>
                      <c15:f>'2.7'!$B$30</c15:f>
                      <c15:dlblFieldTableCache>
                        <c:ptCount val="1"/>
                        <c:pt idx="0">
                          <c:v>BOL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0D8-4C5E-9937-4C4D153560B7}"/>
                </c:ext>
              </c:extLst>
            </c:dLbl>
            <c:dLbl>
              <c:idx val="2"/>
              <c:tx>
                <c:strRef>
                  <c:f>'2.7'!$B$31</c:f>
                  <c:strCache>
                    <c:ptCount val="1"/>
                    <c:pt idx="0">
                      <c:v>BRA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{BA565A96-35E3-4C98-8DB7-7404724FA8C0}</c15:txfldGUID>
                      <c15:f>'2.7'!$B$31</c15:f>
                      <c15:dlblFieldTableCache>
                        <c:ptCount val="1"/>
                        <c:pt idx="0">
                          <c:v>BRA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0D8-4C5E-9937-4C4D153560B7}"/>
                </c:ext>
              </c:extLst>
            </c:dLbl>
            <c:dLbl>
              <c:idx val="3"/>
              <c:layout>
                <c:manualLayout>
                  <c:x val="-7.0958518554832553E-2"/>
                  <c:y val="-2.6330712606456006E-2"/>
                </c:manualLayout>
              </c:layout>
              <c:tx>
                <c:strRef>
                  <c:f>'2.7'!$B$32</c:f>
                  <c:strCache>
                    <c:ptCount val="1"/>
                    <c:pt idx="0">
                      <c:v>CHL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{0EABE1C2-4ACE-4139-B935-0616D34B6360}</c15:txfldGUID>
                      <c15:f>'2.7'!$B$32</c15:f>
                      <c15:dlblFieldTableCache>
                        <c:ptCount val="1"/>
                        <c:pt idx="0">
                          <c:v>CHL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0D8-4C5E-9937-4C4D153560B7}"/>
                </c:ext>
              </c:extLst>
            </c:dLbl>
            <c:dLbl>
              <c:idx val="4"/>
              <c:layout>
                <c:manualLayout>
                  <c:x val="-4.3490704920703852E-2"/>
                  <c:y val="-3.3594357463409392E-2"/>
                </c:manualLayout>
              </c:layout>
              <c:tx>
                <c:strRef>
                  <c:f>'2.7'!$B$33</c:f>
                  <c:strCache>
                    <c:ptCount val="1"/>
                    <c:pt idx="0">
                      <c:v>COL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{FCFE5160-0257-4CB5-9CF2-05278693BC3B}</c15:txfldGUID>
                      <c15:f>'2.7'!$B$33</c15:f>
                      <c15:dlblFieldTableCache>
                        <c:ptCount val="1"/>
                        <c:pt idx="0">
                          <c:v>COL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0D8-4C5E-9937-4C4D153560B7}"/>
                </c:ext>
              </c:extLst>
            </c:dLbl>
            <c:dLbl>
              <c:idx val="5"/>
              <c:tx>
                <c:strRef>
                  <c:f>'2.7'!$B$34</c:f>
                  <c:strCache>
                    <c:ptCount val="1"/>
                    <c:pt idx="0">
                      <c:v>CRI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{68B51A83-BAE4-47A0-8A89-744E5B219D6C}</c15:txfldGUID>
                      <c15:f>'2.7'!$B$34</c15:f>
                      <c15:dlblFieldTableCache>
                        <c:ptCount val="1"/>
                        <c:pt idx="0">
                          <c:v>CRI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0D8-4C5E-9937-4C4D153560B7}"/>
                </c:ext>
              </c:extLst>
            </c:dLbl>
            <c:dLbl>
              <c:idx val="6"/>
              <c:tx>
                <c:strRef>
                  <c:f>'2.7'!$B$35</c:f>
                  <c:strCache>
                    <c:ptCount val="1"/>
                    <c:pt idx="0">
                      <c:v>DOM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{DDC701AE-2AD1-4CC7-B6F0-96D8EFE63D89}</c15:txfldGUID>
                      <c15:f>'2.7'!$B$35</c15:f>
                      <c15:dlblFieldTableCache>
                        <c:ptCount val="1"/>
                        <c:pt idx="0">
                          <c:v>DOM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0D8-4C5E-9937-4C4D153560B7}"/>
                </c:ext>
              </c:extLst>
            </c:dLbl>
            <c:dLbl>
              <c:idx val="7"/>
              <c:layout>
                <c:manualLayout>
                  <c:x val="-9.1559378780429069E-3"/>
                  <c:y val="-4.0858002320362768E-2"/>
                </c:manualLayout>
              </c:layout>
              <c:tx>
                <c:strRef>
                  <c:f>'2.7'!$B$36</c:f>
                  <c:strCache>
                    <c:ptCount val="1"/>
                    <c:pt idx="0">
                      <c:v>ECU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{6BC9BA6C-26C3-4243-BEC6-8B7660FB3D4D}</c15:txfldGUID>
                      <c15:f>'2.7'!$B$36</c15:f>
                      <c15:dlblFieldTableCache>
                        <c:ptCount val="1"/>
                        <c:pt idx="0">
                          <c:v>ECU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0D8-4C5E-9937-4C4D153560B7}"/>
                </c:ext>
              </c:extLst>
            </c:dLbl>
            <c:dLbl>
              <c:idx val="8"/>
              <c:tx>
                <c:strRef>
                  <c:f>'2.7'!$B$37</c:f>
                  <c:strCache>
                    <c:ptCount val="1"/>
                    <c:pt idx="0">
                      <c:v>GTM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{44296E24-4BB6-4D08-81E3-9A8B91A0747D}</c15:txfldGUID>
                      <c15:f>'2.7'!$B$37</c15:f>
                      <c15:dlblFieldTableCache>
                        <c:ptCount val="1"/>
                        <c:pt idx="0">
                          <c:v>GTM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0D8-4C5E-9937-4C4D153560B7}"/>
                </c:ext>
              </c:extLst>
            </c:dLbl>
            <c:dLbl>
              <c:idx val="9"/>
              <c:tx>
                <c:strRef>
                  <c:f>'2.7'!$B$38</c:f>
                  <c:strCache>
                    <c:ptCount val="1"/>
                    <c:pt idx="0">
                      <c:v>HND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{97B46488-8378-41E6-AF54-CC581825D8E3}</c15:txfldGUID>
                      <c15:f>'2.7'!$B$38</c15:f>
                      <c15:dlblFieldTableCache>
                        <c:ptCount val="1"/>
                        <c:pt idx="0">
                          <c:v>HND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0D8-4C5E-9937-4C4D153560B7}"/>
                </c:ext>
              </c:extLst>
            </c:dLbl>
            <c:dLbl>
              <c:idx val="10"/>
              <c:layout>
                <c:manualLayout>
                  <c:x val="-7.3499291315989437E-2"/>
                  <c:y val="-2.6330712606456006E-2"/>
                </c:manualLayout>
              </c:layout>
              <c:tx>
                <c:strRef>
                  <c:f>'2.7'!$B$39</c:f>
                  <c:strCache>
                    <c:ptCount val="1"/>
                    <c:pt idx="0">
                      <c:v>MEX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{AB0C91DE-E160-4CF6-AEC8-E1877EC56389}</c15:txfldGUID>
                      <c15:f>'2.7'!$B$39</c15:f>
                      <c15:dlblFieldTableCache>
                        <c:ptCount val="1"/>
                        <c:pt idx="0">
                          <c:v>MEX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0D8-4C5E-9937-4C4D153560B7}"/>
                </c:ext>
              </c:extLst>
            </c:dLbl>
            <c:dLbl>
              <c:idx val="11"/>
              <c:layout>
                <c:manualLayout>
                  <c:x val="-4.0309016508083897E-2"/>
                  <c:y val="2.4514801392217664E-2"/>
                </c:manualLayout>
              </c:layout>
              <c:tx>
                <c:strRef>
                  <c:f>'2.7'!$B$40</c:f>
                  <c:strCache>
                    <c:ptCount val="1"/>
                    <c:pt idx="0">
                      <c:v>NIC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{F48037F6-D3CE-41A4-B26C-CE9601293D19}</c15:txfldGUID>
                      <c15:f>'2.7'!$B$40</c15:f>
                      <c15:dlblFieldTableCache>
                        <c:ptCount val="1"/>
                        <c:pt idx="0">
                          <c:v>NIC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0D8-4C5E-9937-4C4D153560B7}"/>
                </c:ext>
              </c:extLst>
            </c:dLbl>
            <c:dLbl>
              <c:idx val="12"/>
              <c:tx>
                <c:strRef>
                  <c:f>'2.7'!$B$41</c:f>
                  <c:strCache>
                    <c:ptCount val="1"/>
                    <c:pt idx="0">
                      <c:v>PAN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{2CD5D3BA-65EC-412B-91CB-29A362E668B8}</c15:txfldGUID>
                      <c15:f>'2.7'!$B$41</c15:f>
                      <c15:dlblFieldTableCache>
                        <c:ptCount val="1"/>
                        <c:pt idx="0">
                          <c:v>PAN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0D8-4C5E-9937-4C4D153560B7}"/>
                </c:ext>
              </c:extLst>
            </c:dLbl>
            <c:dLbl>
              <c:idx val="13"/>
              <c:tx>
                <c:strRef>
                  <c:f>'2.7'!$B$42</c:f>
                  <c:strCache>
                    <c:ptCount val="1"/>
                    <c:pt idx="0">
                      <c:v>PER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{E25A4847-198A-449B-AA34-E8D15C0ED48D}</c15:txfldGUID>
                      <c15:f>'2.7'!$B$42</c15:f>
                      <c15:dlblFieldTableCache>
                        <c:ptCount val="1"/>
                        <c:pt idx="0">
                          <c:v>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0D8-4C5E-9937-4C4D153560B7}"/>
                </c:ext>
              </c:extLst>
            </c:dLbl>
            <c:dLbl>
              <c:idx val="14"/>
              <c:tx>
                <c:strRef>
                  <c:f>'2.7'!$B$43</c:f>
                  <c:strCache>
                    <c:ptCount val="1"/>
                    <c:pt idx="0">
                      <c:v>PRY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{EC251A5C-5F07-439C-8F2C-80DDCFCE518B}</c15:txfldGUID>
                      <c15:f>'2.7'!$B$43</c15:f>
                      <c15:dlblFieldTableCache>
                        <c:ptCount val="1"/>
                        <c:pt idx="0">
                          <c:v>PRY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0D8-4C5E-9937-4C4D153560B7}"/>
                </c:ext>
              </c:extLst>
            </c:dLbl>
            <c:dLbl>
              <c:idx val="15"/>
              <c:layout>
                <c:manualLayout>
                  <c:x val="-5.5954315474688515E-2"/>
                  <c:y val="2.4514801392217664E-2"/>
                </c:manualLayout>
              </c:layout>
              <c:tx>
                <c:strRef>
                  <c:f>'2.7'!$B$44</c:f>
                  <c:strCache>
                    <c:ptCount val="1"/>
                    <c:pt idx="0">
                      <c:v>SLV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{B5E07A0C-A53D-494E-A030-AFF8AD186381}</c15:txfldGUID>
                      <c15:f>'2.7'!$B$44</c15:f>
                      <c15:dlblFieldTableCache>
                        <c:ptCount val="1"/>
                        <c:pt idx="0">
                          <c:v>SLV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0D8-4C5E-9937-4C4D153560B7}"/>
                </c:ext>
              </c:extLst>
            </c:dLbl>
            <c:dLbl>
              <c:idx val="16"/>
              <c:tx>
                <c:strRef>
                  <c:f>'2.7'!$B$45</c:f>
                  <c:strCache>
                    <c:ptCount val="1"/>
                    <c:pt idx="0">
                      <c:v>URY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{4408BBFC-6F2B-44B8-BAF9-441F4B402189}</c15:txfldGUID>
                      <c15:f>'2.7'!$B$45</c15:f>
                      <c15:dlblFieldTableCache>
                        <c:ptCount val="1"/>
                        <c:pt idx="0">
                          <c:v>URY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0D8-4C5E-9937-4C4D153560B7}"/>
                </c:ext>
              </c:extLst>
            </c:dLbl>
            <c:dLbl>
              <c:idx val="17"/>
              <c:layout>
                <c:manualLayout>
                  <c:x val="-7.1588079401446778E-2"/>
                  <c:y val="-4.5397780355958635E-3"/>
                </c:manualLayout>
              </c:layout>
              <c:tx>
                <c:strRef>
                  <c:f>'2.7'!$B$46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{E0164BD0-A022-4CAA-BBF7-9853FCA99E11}</c15:txfldGUID>
                      <c15:f>'2.7'!$B$46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0D8-4C5E-9937-4C4D153560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0"/>
            <c:dispEq val="0"/>
          </c:trendline>
          <c:xVal>
            <c:numRef>
              <c:f>'2.7'!$F$29:$F$46</c:f>
              <c:numCache>
                <c:formatCode>General</c:formatCode>
                <c:ptCount val="18"/>
                <c:pt idx="0">
                  <c:v>0.30545300781566398</c:v>
                </c:pt>
                <c:pt idx="1">
                  <c:v>0.54112200447189474</c:v>
                </c:pt>
                <c:pt idx="2">
                  <c:v>0.24198566778036282</c:v>
                </c:pt>
                <c:pt idx="3">
                  <c:v>0.15903867330054344</c:v>
                </c:pt>
                <c:pt idx="4">
                  <c:v>0.32775224975062606</c:v>
                </c:pt>
                <c:pt idx="5">
                  <c:v>0.32258086282098192</c:v>
                </c:pt>
                <c:pt idx="6">
                  <c:v>0.17665467730464562</c:v>
                </c:pt>
                <c:pt idx="7">
                  <c:v>0.37861205392521091</c:v>
                </c:pt>
                <c:pt idx="8">
                  <c:v>0.48013986365182804</c:v>
                </c:pt>
                <c:pt idx="9">
                  <c:v>0.99496102140200549</c:v>
                </c:pt>
                <c:pt idx="10">
                  <c:v>0.10368466633642601</c:v>
                </c:pt>
                <c:pt idx="11">
                  <c:v>0.70831628564362625</c:v>
                </c:pt>
                <c:pt idx="12">
                  <c:v>0.29841392304054465</c:v>
                </c:pt>
                <c:pt idx="13">
                  <c:v>0.39029663732717612</c:v>
                </c:pt>
                <c:pt idx="14">
                  <c:v>0.70431266460095732</c:v>
                </c:pt>
                <c:pt idx="15">
                  <c:v>0.32539511334163207</c:v>
                </c:pt>
                <c:pt idx="16">
                  <c:v>0.19368070839238588</c:v>
                </c:pt>
                <c:pt idx="17">
                  <c:v>0.25824965960434243</c:v>
                </c:pt>
              </c:numCache>
            </c:numRef>
          </c:xVal>
          <c:yVal>
            <c:numRef>
              <c:f>'2.7'!$C$29:$C$46</c:f>
              <c:numCache>
                <c:formatCode>General</c:formatCode>
                <c:ptCount val="18"/>
                <c:pt idx="0">
                  <c:v>0.51520750000000004</c:v>
                </c:pt>
                <c:pt idx="1">
                  <c:v>0.2228861</c:v>
                </c:pt>
                <c:pt idx="2">
                  <c:v>0.63435520000000001</c:v>
                </c:pt>
                <c:pt idx="3">
                  <c:v>0.71080500000000002</c:v>
                </c:pt>
                <c:pt idx="4">
                  <c:v>0.35349419999999998</c:v>
                </c:pt>
                <c:pt idx="5">
                  <c:v>0.71580730000000004</c:v>
                </c:pt>
                <c:pt idx="6">
                  <c:v>0.34745340000000002</c:v>
                </c:pt>
                <c:pt idx="7">
                  <c:v>0.3290728</c:v>
                </c:pt>
                <c:pt idx="8">
                  <c:v>0.19593169999999999</c:v>
                </c:pt>
                <c:pt idx="9">
                  <c:v>0.17400689999999999</c:v>
                </c:pt>
                <c:pt idx="10">
                  <c:v>0.3061585</c:v>
                </c:pt>
                <c:pt idx="11">
                  <c:v>0.1856611</c:v>
                </c:pt>
                <c:pt idx="12">
                  <c:v>0.56090859999999998</c:v>
                </c:pt>
                <c:pt idx="13">
                  <c:v>0.21107490000000001</c:v>
                </c:pt>
                <c:pt idx="14">
                  <c:v>0.23029350000000001</c:v>
                </c:pt>
                <c:pt idx="15">
                  <c:v>0.30485570000000001</c:v>
                </c:pt>
                <c:pt idx="16">
                  <c:v>0.76619320000000002</c:v>
                </c:pt>
                <c:pt idx="17">
                  <c:v>0.3371961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0D8-4C5E-9937-4C4D1535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784640"/>
        <c:axId val="258799104"/>
      </c:scatterChart>
      <c:valAx>
        <c:axId val="25878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Costo salarial y no salarial (En porcentaje del 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8799104"/>
        <c:crosses val="autoZero"/>
        <c:crossBetween val="midCat"/>
      </c:valAx>
      <c:valAx>
        <c:axId val="258799104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Porcentaje de trabajadores formales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87846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dLbls>
            <c:dLbl>
              <c:idx val="0"/>
              <c:layout>
                <c:manualLayout>
                  <c:x val="-3.9327067427031258E-2"/>
                  <c:y val="6.13026714242320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337-4CC2-8282-E18E7B812A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337-4CC2-8282-E18E7B812A82}"/>
                </c:ext>
              </c:extLst>
            </c:dLbl>
            <c:dLbl>
              <c:idx val="2"/>
              <c:layout>
                <c:manualLayout>
                  <c:x val="-1.5730826970812503E-2"/>
                  <c:y val="-4.81663846904680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37-4CC2-8282-E18E7B812A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CHL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37-4CC2-8282-E18E7B812A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COL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337-4CC2-8282-E18E7B812A8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CRI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337-4CC2-8282-E18E7B812A82}"/>
                </c:ext>
              </c:extLst>
            </c:dLbl>
            <c:dLbl>
              <c:idx val="6"/>
              <c:layout>
                <c:manualLayout>
                  <c:x val="-8.6519548339468774E-2"/>
                  <c:y val="-1.31362867337640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337-4CC2-8282-E18E7B812A8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ECU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337-4CC2-8282-E18E7B812A8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SLV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337-4CC2-8282-E18E7B812A8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GTM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337-4CC2-8282-E18E7B812A8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HND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337-4CC2-8282-E18E7B812A82}"/>
                </c:ext>
              </c:extLst>
            </c:dLbl>
            <c:dLbl>
              <c:idx val="11"/>
              <c:layout>
                <c:manualLayout>
                  <c:x val="-5.7679698892979178E-2"/>
                  <c:y val="4.81663846904680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337-4CC2-8282-E18E7B812A82}"/>
                </c:ext>
              </c:extLst>
            </c:dLbl>
            <c:dLbl>
              <c:idx val="12"/>
              <c:layout>
                <c:manualLayout>
                  <c:x val="-2.3596240456218755E-2"/>
                  <c:y val="3.0651335712116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337-4CC2-8282-E18E7B812A82}"/>
                </c:ext>
              </c:extLst>
            </c:dLbl>
            <c:dLbl>
              <c:idx val="13"/>
              <c:layout>
                <c:manualLayout>
                  <c:x val="-7.8654134854062516E-2"/>
                  <c:y val="-2.6272573467528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337-4CC2-8282-E18E7B812A8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PER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337-4CC2-8282-E18E7B812A8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PRY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337-4CC2-8282-E18E7B812A82}"/>
                </c:ext>
              </c:extLst>
            </c:dLbl>
            <c:dLbl>
              <c:idx val="16"/>
              <c:layout>
                <c:manualLayout>
                  <c:x val="-7.8654134854062516E-2"/>
                  <c:y val="-3.9408860201292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337-4CC2-8282-E18E7B812A8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VEN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337-4CC2-8282-E18E7B812A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8771542149532863"/>
                  <c:y val="8.6967734728377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
R² = 0.3906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'2.8'!$AB$3:$AB$20</c:f>
              <c:numCache>
                <c:formatCode>0%</c:formatCode>
                <c:ptCount val="18"/>
                <c:pt idx="0">
                  <c:v>0.29865799716306268</c:v>
                </c:pt>
                <c:pt idx="1">
                  <c:v>0.55101934978387745</c:v>
                </c:pt>
                <c:pt idx="2">
                  <c:v>0.2401814159259848</c:v>
                </c:pt>
                <c:pt idx="3">
                  <c:v>0.15903867330054344</c:v>
                </c:pt>
                <c:pt idx="4">
                  <c:v>0.31229901458452908</c:v>
                </c:pt>
                <c:pt idx="5">
                  <c:v>0.33849727195402068</c:v>
                </c:pt>
                <c:pt idx="6">
                  <c:v>0.17608864704808239</c:v>
                </c:pt>
                <c:pt idx="7">
                  <c:v>0.37797680498248354</c:v>
                </c:pt>
                <c:pt idx="8">
                  <c:v>0.31669729963725379</c:v>
                </c:pt>
                <c:pt idx="9">
                  <c:v>0.50860283690109698</c:v>
                </c:pt>
                <c:pt idx="10">
                  <c:v>1.0156166706847269</c:v>
                </c:pt>
                <c:pt idx="11">
                  <c:v>0.10954799921093442</c:v>
                </c:pt>
                <c:pt idx="12">
                  <c:v>0.71298310509010343</c:v>
                </c:pt>
                <c:pt idx="13">
                  <c:v>0.31261457848495922</c:v>
                </c:pt>
                <c:pt idx="14">
                  <c:v>0.4011183447084013</c:v>
                </c:pt>
                <c:pt idx="15">
                  <c:v>0.6924938974086785</c:v>
                </c:pt>
                <c:pt idx="16">
                  <c:v>0.19588891304600051</c:v>
                </c:pt>
                <c:pt idx="17">
                  <c:v>0.25637413252228547</c:v>
                </c:pt>
              </c:numCache>
            </c:numRef>
          </c:xVal>
          <c:yVal>
            <c:numRef>
              <c:f>'2.8'!$Z$3:$Z$20</c:f>
              <c:numCache>
                <c:formatCode>0%</c:formatCode>
                <c:ptCount val="18"/>
                <c:pt idx="0">
                  <c:v>0.64192530026701522</c:v>
                </c:pt>
                <c:pt idx="1">
                  <c:v>0.34918855206999377</c:v>
                </c:pt>
                <c:pt idx="2">
                  <c:v>0.84118137279148331</c:v>
                </c:pt>
                <c:pt idx="3">
                  <c:v>0.95164460391565708</c:v>
                </c:pt>
                <c:pt idx="4">
                  <c:v>0.64844749982120864</c:v>
                </c:pt>
                <c:pt idx="5">
                  <c:v>0.81732811099688785</c:v>
                </c:pt>
                <c:pt idx="6">
                  <c:v>0.75572562098927576</c:v>
                </c:pt>
                <c:pt idx="7">
                  <c:v>0.74919226608388811</c:v>
                </c:pt>
                <c:pt idx="8">
                  <c:v>0.57405704973502847</c:v>
                </c:pt>
                <c:pt idx="9">
                  <c:v>0.64005400271040924</c:v>
                </c:pt>
                <c:pt idx="10">
                  <c:v>0.55413369889630903</c:v>
                </c:pt>
                <c:pt idx="11">
                  <c:v>0.71448980888650004</c:v>
                </c:pt>
                <c:pt idx="12">
                  <c:v>0.46305813021695258</c:v>
                </c:pt>
                <c:pt idx="13">
                  <c:v>0.74549007269365863</c:v>
                </c:pt>
                <c:pt idx="14">
                  <c:v>0.47682511521235854</c:v>
                </c:pt>
                <c:pt idx="15">
                  <c:v>0.58546789224621554</c:v>
                </c:pt>
                <c:pt idx="16">
                  <c:v>0.83470061527365447</c:v>
                </c:pt>
                <c:pt idx="17">
                  <c:v>0.7598382622049441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337-4CC2-8282-E18E7B812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091840"/>
        <c:axId val="259094016"/>
      </c:scatterChart>
      <c:valAx>
        <c:axId val="2590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Costo salarial y no salarial (En porcentaje del PIB por trabajador)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59094016"/>
        <c:crosses val="autoZero"/>
        <c:crossBetween val="midCat"/>
      </c:valAx>
      <c:valAx>
        <c:axId val="259094016"/>
        <c:scaling>
          <c:orientation val="minMax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Rratio jóvenes/adultos </a:t>
                </a:r>
              </a:p>
              <a:p>
                <a:pPr>
                  <a:defRPr b="0"/>
                </a:pPr>
                <a:r>
                  <a:rPr lang="en-US" b="0"/>
                  <a:t>(trabajadores formales)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59091840"/>
        <c:crosses val="autoZero"/>
        <c:crossBetween val="midCat"/>
        <c:min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</c:marker>
          <c:dLbls>
            <c:dLbl>
              <c:idx val="0"/>
              <c:layout>
                <c:manualLayout>
                  <c:x val="-6.2146504414220989E-2"/>
                  <c:y val="-2.025770262186808E-2"/>
                </c:manualLayout>
              </c:layout>
              <c:tx>
                <c:strRef>
                  <c:f>'2.8'!$A$29</c:f>
                  <c:strCache>
                    <c:ptCount val="1"/>
                    <c:pt idx="0">
                      <c:v>ARG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{9E6315B1-0B7C-438C-90F6-BB43C4EDEA01}</c15:txfldGUID>
                      <c15:f>'2.8'!$A$29</c15:f>
                      <c15:dlblFieldTableCache>
                        <c:ptCount val="1"/>
                        <c:pt idx="0">
                          <c:v>ARG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F3D-4C2B-8377-2B4EFB268810}"/>
                </c:ext>
              </c:extLst>
            </c:dLbl>
            <c:dLbl>
              <c:idx val="1"/>
              <c:tx>
                <c:strRef>
                  <c:f>'2.8'!$A$30</c:f>
                  <c:strCache>
                    <c:ptCount val="1"/>
                    <c:pt idx="0">
                      <c:v>BOL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{CFE8166C-CCEF-41D5-9B02-7B6B62169977}</c15:txfldGUID>
                      <c15:f>'2.8'!$A$30</c15:f>
                      <c15:dlblFieldTableCache>
                        <c:ptCount val="1"/>
                        <c:pt idx="0">
                          <c:v>BOL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F3D-4C2B-8377-2B4EFB268810}"/>
                </c:ext>
              </c:extLst>
            </c:dLbl>
            <c:dLbl>
              <c:idx val="2"/>
              <c:tx>
                <c:strRef>
                  <c:f>'2.8'!$A$31</c:f>
                  <c:strCache>
                    <c:ptCount val="1"/>
                    <c:pt idx="0">
                      <c:v>BRA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{40DBB2CB-C129-48DB-8295-5F838BF4DE7D}</c15:txfldGUID>
                      <c15:f>'2.8'!$A$31</c15:f>
                      <c15:dlblFieldTableCache>
                        <c:ptCount val="1"/>
                        <c:pt idx="0">
                          <c:v>BRA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F3D-4C2B-8377-2B4EFB268810}"/>
                </c:ext>
              </c:extLst>
            </c:dLbl>
            <c:dLbl>
              <c:idx val="3"/>
              <c:tx>
                <c:strRef>
                  <c:f>'2.8'!$A$32</c:f>
                  <c:strCache>
                    <c:ptCount val="1"/>
                    <c:pt idx="0">
                      <c:v>CHL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{39EB6E36-1054-4D26-97FD-0A4343C2E7C4}</c15:txfldGUID>
                      <c15:f>'2.8'!$A$32</c15:f>
                      <c15:dlblFieldTableCache>
                        <c:ptCount val="1"/>
                        <c:pt idx="0">
                          <c:v>CHL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F3D-4C2B-8377-2B4EFB268810}"/>
                </c:ext>
              </c:extLst>
            </c:dLbl>
            <c:dLbl>
              <c:idx val="4"/>
              <c:tx>
                <c:strRef>
                  <c:f>'2.8'!$A$33</c:f>
                  <c:strCache>
                    <c:ptCount val="1"/>
                    <c:pt idx="0">
                      <c:v>COL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{788A9B68-E9D3-49A4-8EEA-2EC5B04273B7}</c15:txfldGUID>
                      <c15:f>'2.8'!$A$33</c15:f>
                      <c15:dlblFieldTableCache>
                        <c:ptCount val="1"/>
                        <c:pt idx="0">
                          <c:v>COL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F3D-4C2B-8377-2B4EFB268810}"/>
                </c:ext>
              </c:extLst>
            </c:dLbl>
            <c:dLbl>
              <c:idx val="5"/>
              <c:tx>
                <c:strRef>
                  <c:f>'2.8'!$A$34</c:f>
                  <c:strCache>
                    <c:ptCount val="1"/>
                    <c:pt idx="0">
                      <c:v>CRI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{781850EB-8F29-42A4-8064-2656D54D1142}</c15:txfldGUID>
                      <c15:f>'2.8'!$A$34</c15:f>
                      <c15:dlblFieldTableCache>
                        <c:ptCount val="1"/>
                        <c:pt idx="0">
                          <c:v>CRI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F3D-4C2B-8377-2B4EFB268810}"/>
                </c:ext>
              </c:extLst>
            </c:dLbl>
            <c:dLbl>
              <c:idx val="6"/>
              <c:layout>
                <c:manualLayout>
                  <c:x val="-7.6080808080808082E-2"/>
                  <c:y val="-5.7944226973276813E-3"/>
                </c:manualLayout>
              </c:layout>
              <c:tx>
                <c:strRef>
                  <c:f>'2.8'!$A$35</c:f>
                  <c:strCache>
                    <c:ptCount val="1"/>
                    <c:pt idx="0">
                      <c:v>DOM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{E3F71896-53A2-4DEC-9E92-DE3A36B25571}</c15:txfldGUID>
                      <c15:f>'2.8'!$A$35</c15:f>
                      <c15:dlblFieldTableCache>
                        <c:ptCount val="1"/>
                        <c:pt idx="0">
                          <c:v>DOM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F3D-4C2B-8377-2B4EFB268810}"/>
                </c:ext>
              </c:extLst>
            </c:dLbl>
            <c:dLbl>
              <c:idx val="7"/>
              <c:tx>
                <c:strRef>
                  <c:f>'2.8'!$A$36</c:f>
                  <c:strCache>
                    <c:ptCount val="1"/>
                    <c:pt idx="0">
                      <c:v>ECU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{3C087690-B395-44FA-B3EA-F71F754CE58C}</c15:txfldGUID>
                      <c15:f>'2.8'!$A$36</c15:f>
                      <c15:dlblFieldTableCache>
                        <c:ptCount val="1"/>
                        <c:pt idx="0">
                          <c:v>ECU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F3D-4C2B-8377-2B4EFB268810}"/>
                </c:ext>
              </c:extLst>
            </c:dLbl>
            <c:dLbl>
              <c:idx val="8"/>
              <c:tx>
                <c:strRef>
                  <c:f>'2.8'!$A$37</c:f>
                  <c:strCache>
                    <c:ptCount val="1"/>
                    <c:pt idx="0">
                      <c:v>SLV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{1249B2DB-D7DC-4914-A4D9-D1DB87283805}</c15:txfldGUID>
                      <c15:f>'2.8'!$A$37</c15:f>
                      <c15:dlblFieldTableCache>
                        <c:ptCount val="1"/>
                        <c:pt idx="0">
                          <c:v>SLV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F3D-4C2B-8377-2B4EFB268810}"/>
                </c:ext>
              </c:extLst>
            </c:dLbl>
            <c:dLbl>
              <c:idx val="9"/>
              <c:tx>
                <c:strRef>
                  <c:f>'2.8'!$A$38</c:f>
                  <c:strCache>
                    <c:ptCount val="1"/>
                    <c:pt idx="0">
                      <c:v>GTM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{0E3F0A9F-E5FB-4181-B899-957ADC48D6C5}</c15:txfldGUID>
                      <c15:f>'2.8'!$A$38</c15:f>
                      <c15:dlblFieldTableCache>
                        <c:ptCount val="1"/>
                        <c:pt idx="0">
                          <c:v>GTM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F3D-4C2B-8377-2B4EFB268810}"/>
                </c:ext>
              </c:extLst>
            </c:dLbl>
            <c:dLbl>
              <c:idx val="10"/>
              <c:tx>
                <c:strRef>
                  <c:f>'2.8'!$A$39</c:f>
                  <c:strCache>
                    <c:ptCount val="1"/>
                    <c:pt idx="0">
                      <c:v>HND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{EDE676A3-FF7B-4D41-BF40-D2C25820A91A}</c15:txfldGUID>
                      <c15:f>'2.8'!$A$39</c15:f>
                      <c15:dlblFieldTableCache>
                        <c:ptCount val="1"/>
                        <c:pt idx="0">
                          <c:v>HND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F3D-4C2B-8377-2B4EFB268810}"/>
                </c:ext>
              </c:extLst>
            </c:dLbl>
            <c:dLbl>
              <c:idx val="11"/>
              <c:layout>
                <c:manualLayout>
                  <c:x val="-3.6994989262705801E-2"/>
                  <c:y val="3.7595417076293519E-2"/>
                </c:manualLayout>
              </c:layout>
              <c:tx>
                <c:strRef>
                  <c:f>'2.8'!$A$40</c:f>
                  <c:strCache>
                    <c:ptCount val="1"/>
                    <c:pt idx="0">
                      <c:v>MEX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{BB7D4ED5-9B42-42E5-A0FB-DD2DE233AB71}</c15:txfldGUID>
                      <c15:f>'2.8'!$A$40</c15:f>
                      <c15:dlblFieldTableCache>
                        <c:ptCount val="1"/>
                        <c:pt idx="0">
                          <c:v>MEX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F3D-4C2B-8377-2B4EFB268810}"/>
                </c:ext>
              </c:extLst>
            </c:dLbl>
            <c:dLbl>
              <c:idx val="12"/>
              <c:tx>
                <c:strRef>
                  <c:f>'2.8'!$A$41</c:f>
                  <c:strCache>
                    <c:ptCount val="1"/>
                    <c:pt idx="0">
                      <c:v>NIC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{16B84A6D-FFCB-4322-B434-C37EC1F34D74}</c15:txfldGUID>
                      <c15:f>'2.8'!$A$41</c15:f>
                      <c15:dlblFieldTableCache>
                        <c:ptCount val="1"/>
                        <c:pt idx="0">
                          <c:v>NIC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F3D-4C2B-8377-2B4EFB268810}"/>
                </c:ext>
              </c:extLst>
            </c:dLbl>
            <c:dLbl>
              <c:idx val="13"/>
              <c:layout>
                <c:manualLayout>
                  <c:x val="-2.3641453909170444E-2"/>
                  <c:y val="-3.1105162565273379E-2"/>
                </c:manualLayout>
              </c:layout>
              <c:tx>
                <c:strRef>
                  <c:f>'2.8'!$A$42</c:f>
                  <c:strCache>
                    <c:ptCount val="1"/>
                    <c:pt idx="0">
                      <c:v>PAN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{F565FEDC-38C8-4E37-93A1-EC9C6B5441EB}</c15:txfldGUID>
                      <c15:f>'2.8'!$A$42</c15:f>
                      <c15:dlblFieldTableCache>
                        <c:ptCount val="1"/>
                        <c:pt idx="0">
                          <c:v>PAN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F3D-4C2B-8377-2B4EFB268810}"/>
                </c:ext>
              </c:extLst>
            </c:dLbl>
            <c:dLbl>
              <c:idx val="14"/>
              <c:tx>
                <c:strRef>
                  <c:f>'2.8'!$A$43</c:f>
                  <c:strCache>
                    <c:ptCount val="1"/>
                    <c:pt idx="0">
                      <c:v>PER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{ED0F9B45-E489-4CAE-8D10-3C7E5752D95D}</c15:txfldGUID>
                      <c15:f>'2.8'!$A$43</c15:f>
                      <c15:dlblFieldTableCache>
                        <c:ptCount val="1"/>
                        <c:pt idx="0">
                          <c:v>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F3D-4C2B-8377-2B4EFB268810}"/>
                </c:ext>
              </c:extLst>
            </c:dLbl>
            <c:dLbl>
              <c:idx val="15"/>
              <c:tx>
                <c:strRef>
                  <c:f>'2.8'!$A$44</c:f>
                  <c:strCache>
                    <c:ptCount val="1"/>
                    <c:pt idx="0">
                      <c:v>PRY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{7305F956-215B-4FB5-BC69-5E525F8C1E54}</c15:txfldGUID>
                      <c15:f>'2.8'!$A$44</c15:f>
                      <c15:dlblFieldTableCache>
                        <c:ptCount val="1"/>
                        <c:pt idx="0">
                          <c:v>PRY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F3D-4C2B-8377-2B4EFB268810}"/>
                </c:ext>
              </c:extLst>
            </c:dLbl>
            <c:dLbl>
              <c:idx val="16"/>
              <c:layout>
                <c:manualLayout>
                  <c:x val="-6.5373737373737389E-2"/>
                  <c:y val="-4.556844248981378E-2"/>
                </c:manualLayout>
              </c:layout>
              <c:tx>
                <c:strRef>
                  <c:f>'2.8'!$A$45</c:f>
                  <c:strCache>
                    <c:ptCount val="1"/>
                    <c:pt idx="0">
                      <c:v>URY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{68BAFFA0-930F-4572-8C7F-007A50B79E4E}</c15:txfldGUID>
                      <c15:f>'2.8'!$A$45</c15:f>
                      <c15:dlblFieldTableCache>
                        <c:ptCount val="1"/>
                        <c:pt idx="0">
                          <c:v>URY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F3D-4C2B-8377-2B4EFB268810}"/>
                </c:ext>
              </c:extLst>
            </c:dLbl>
            <c:dLbl>
              <c:idx val="17"/>
              <c:layout>
                <c:manualLayout>
                  <c:x val="-3.7389008192157798E-2"/>
                  <c:y val="-3.1105162565273414E-2"/>
                </c:manualLayout>
              </c:layout>
              <c:tx>
                <c:strRef>
                  <c:f>'2.8'!$A$46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Calibri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{0C57A3EE-F904-4B18-8E02-8EBC02770F2C}</c15:txfldGUID>
                      <c15:f>'2.8'!$A$46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F3D-4C2B-8377-2B4EFB2688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1"/>
            <c:dispEq val="0"/>
            <c:trendlineLbl>
              <c:layout>
                <c:manualLayout>
                  <c:x val="6.8503141652747956E-2"/>
                  <c:y val="6.7914779393698166E-2"/>
                </c:manualLayout>
              </c:layout>
              <c:numFmt formatCode="General" sourceLinked="0"/>
            </c:trendlineLbl>
          </c:trendline>
          <c:xVal>
            <c:numRef>
              <c:f>'2.8'!$E$29:$E$46</c:f>
              <c:numCache>
                <c:formatCode>General</c:formatCode>
                <c:ptCount val="18"/>
                <c:pt idx="0">
                  <c:v>0.30545300781566398</c:v>
                </c:pt>
                <c:pt idx="1">
                  <c:v>0.54112200447189474</c:v>
                </c:pt>
                <c:pt idx="2">
                  <c:v>0.24198566778036282</c:v>
                </c:pt>
                <c:pt idx="3">
                  <c:v>0.15903867330054344</c:v>
                </c:pt>
                <c:pt idx="4">
                  <c:v>0.32775224975062606</c:v>
                </c:pt>
                <c:pt idx="5">
                  <c:v>0.32258086282098192</c:v>
                </c:pt>
                <c:pt idx="6">
                  <c:v>0.17665467730464562</c:v>
                </c:pt>
                <c:pt idx="7">
                  <c:v>0.37861205392521091</c:v>
                </c:pt>
                <c:pt idx="8">
                  <c:v>0.32539511334163207</c:v>
                </c:pt>
                <c:pt idx="9">
                  <c:v>0.48013986365182804</c:v>
                </c:pt>
                <c:pt idx="10">
                  <c:v>0.99496102140200549</c:v>
                </c:pt>
                <c:pt idx="11">
                  <c:v>0.10368466633642601</c:v>
                </c:pt>
                <c:pt idx="12">
                  <c:v>0.70831628564362625</c:v>
                </c:pt>
                <c:pt idx="13">
                  <c:v>0.29841392304054465</c:v>
                </c:pt>
                <c:pt idx="14">
                  <c:v>0.39029663732717612</c:v>
                </c:pt>
                <c:pt idx="15">
                  <c:v>0.70431266460095732</c:v>
                </c:pt>
                <c:pt idx="16">
                  <c:v>0.19368070839238588</c:v>
                </c:pt>
                <c:pt idx="17">
                  <c:v>0.25824965960434243</c:v>
                </c:pt>
              </c:numCache>
            </c:numRef>
          </c:xVal>
          <c:yVal>
            <c:numRef>
              <c:f>'2.8'!$B$29:$B$46</c:f>
              <c:numCache>
                <c:formatCode>General</c:formatCode>
                <c:ptCount val="18"/>
                <c:pt idx="0">
                  <c:v>0.64192530026701522</c:v>
                </c:pt>
                <c:pt idx="1">
                  <c:v>0.34918855206999377</c:v>
                </c:pt>
                <c:pt idx="2">
                  <c:v>0.84118137279148331</c:v>
                </c:pt>
                <c:pt idx="3">
                  <c:v>0.95164460391565708</c:v>
                </c:pt>
                <c:pt idx="4">
                  <c:v>0.64844749982120864</c:v>
                </c:pt>
                <c:pt idx="5">
                  <c:v>0.81732811099688785</c:v>
                </c:pt>
                <c:pt idx="6">
                  <c:v>0.75572562098927576</c:v>
                </c:pt>
                <c:pt idx="7">
                  <c:v>0.74919226608388811</c:v>
                </c:pt>
                <c:pt idx="8">
                  <c:v>0.57405704973502847</c:v>
                </c:pt>
                <c:pt idx="9">
                  <c:v>0.64005400271040924</c:v>
                </c:pt>
                <c:pt idx="10">
                  <c:v>0.55413369889630903</c:v>
                </c:pt>
                <c:pt idx="11">
                  <c:v>0.71448980888650004</c:v>
                </c:pt>
                <c:pt idx="12">
                  <c:v>0.46305813021695258</c:v>
                </c:pt>
                <c:pt idx="13">
                  <c:v>0.74549007269365863</c:v>
                </c:pt>
                <c:pt idx="14">
                  <c:v>0.47682511521235854</c:v>
                </c:pt>
                <c:pt idx="15">
                  <c:v>0.58546789224621554</c:v>
                </c:pt>
                <c:pt idx="16">
                  <c:v>0.83470061527365447</c:v>
                </c:pt>
                <c:pt idx="17">
                  <c:v>0.7598382622049441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F3D-4C2B-8377-2B4EFB26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80032"/>
        <c:axId val="259181952"/>
      </c:scatterChart>
      <c:valAx>
        <c:axId val="2591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Costo salarial y no salarial (En porcentaje del 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181952"/>
        <c:crosses val="autoZero"/>
        <c:crossBetween val="midCat"/>
      </c:valAx>
      <c:valAx>
        <c:axId val="259181952"/>
        <c:scaling>
          <c:orientation val="minMax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jóvenes/adultos </a:t>
                </a:r>
              </a:p>
              <a:p>
                <a:pPr>
                  <a:defRPr/>
                </a:pPr>
                <a:r>
                  <a:rPr lang="en-US"/>
                  <a:t>(trabajadores formales)</a:t>
                </a:r>
              </a:p>
            </c:rich>
          </c:tx>
          <c:layout>
            <c:manualLayout>
              <c:xMode val="edge"/>
              <c:yMode val="edge"/>
              <c:x val="1.2121212121212121E-2"/>
              <c:y val="0.2863968581656176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591800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'2.9'!$M$24</c:f>
              <c:strCache>
                <c:ptCount val="1"/>
                <c:pt idx="0">
                  <c:v>% de salidas del desempleo hacia trabajo asalariado formal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</c:marker>
          <c:dLbls>
            <c:dLbl>
              <c:idx val="0"/>
              <c:layout>
                <c:manualLayout>
                  <c:x val="-9.34809348093480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A72-4B7C-BA88-9B108F91C5DF}"/>
                </c:ext>
              </c:extLst>
            </c:dLbl>
            <c:dLbl>
              <c:idx val="3"/>
              <c:layout>
                <c:manualLayout>
                  <c:x val="-0.13582118524655229"/>
                  <c:y val="-1.85898950131233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ARG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A72-4B7C-BA88-9B108F91C5D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 BRA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A72-4B7C-BA88-9B108F91C5D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 COL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A72-4B7C-BA88-9B108F91C5DF}"/>
                </c:ext>
              </c:extLst>
            </c:dLbl>
            <c:dLbl>
              <c:idx val="10"/>
              <c:layout>
                <c:manualLayout>
                  <c:x val="-7.3800738007380073E-2"/>
                  <c:y val="2.30083384392519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A72-4B7C-BA88-9B108F91C5DF}"/>
                </c:ext>
              </c:extLst>
            </c:dLbl>
            <c:dLbl>
              <c:idx val="11"/>
              <c:layout>
                <c:manualLayout>
                  <c:x val="-1.2300123001230012E-2"/>
                  <c:y val="5.06183445663544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PER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A72-4B7C-BA88-9B108F91C5D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 VEN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A72-4B7C-BA88-9B108F91C5D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 PRY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A72-4B7C-BA88-9B108F91C5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1"/>
            <c:dispEq val="0"/>
            <c:trendlineLbl>
              <c:numFmt formatCode="General" sourceLinked="0"/>
            </c:trendlineLbl>
          </c:trendline>
          <c:xVal>
            <c:numRef>
              <c:f>'2.9'!$H$25:$H$44</c:f>
              <c:numCache>
                <c:formatCode>_(* #,##0.00_);_(* \(#,##0.00\);_(* "-"??_);_(@_)</c:formatCode>
                <c:ptCount val="20"/>
                <c:pt idx="0">
                  <c:v>0.10954799921093442</c:v>
                </c:pt>
                <c:pt idx="1">
                  <c:v>0.15903867330054344</c:v>
                </c:pt>
                <c:pt idx="2">
                  <c:v>0.17608864704808239</c:v>
                </c:pt>
                <c:pt idx="3">
                  <c:v>0.29865799716306268</c:v>
                </c:pt>
                <c:pt idx="4">
                  <c:v>0.19588891304600051</c:v>
                </c:pt>
                <c:pt idx="5">
                  <c:v>0.2401814159259848</c:v>
                </c:pt>
                <c:pt idx="6">
                  <c:v>0.31229901458452908</c:v>
                </c:pt>
                <c:pt idx="7">
                  <c:v>0.31261457848495922</c:v>
                </c:pt>
                <c:pt idx="8">
                  <c:v>0.31669729963725379</c:v>
                </c:pt>
                <c:pt idx="9">
                  <c:v>0.33849727195402068</c:v>
                </c:pt>
                <c:pt idx="10">
                  <c:v>0.37797680498248354</c:v>
                </c:pt>
                <c:pt idx="11">
                  <c:v>0.4011183447084013</c:v>
                </c:pt>
                <c:pt idx="12">
                  <c:v>0.40315551717936138</c:v>
                </c:pt>
                <c:pt idx="13">
                  <c:v>0.47862638528688678</c:v>
                </c:pt>
                <c:pt idx="14">
                  <c:v>0.50860283690109698</c:v>
                </c:pt>
                <c:pt idx="15">
                  <c:v>0.55101934978387745</c:v>
                </c:pt>
                <c:pt idx="16">
                  <c:v>0.25637413252228547</c:v>
                </c:pt>
                <c:pt idx="17">
                  <c:v>0.6924938974086785</c:v>
                </c:pt>
                <c:pt idx="18">
                  <c:v>0.71298310509010343</c:v>
                </c:pt>
                <c:pt idx="19">
                  <c:v>1.0156166706847269</c:v>
                </c:pt>
              </c:numCache>
            </c:numRef>
          </c:xVal>
          <c:yVal>
            <c:numRef>
              <c:f>'2.9'!$M$25:$M$42</c:f>
              <c:numCache>
                <c:formatCode>_(* #,##0.00_);_(* \(#,##0.00\);_(* "-"??_);_(@_)</c:formatCode>
                <c:ptCount val="18"/>
                <c:pt idx="0">
                  <c:v>0.38127145407112456</c:v>
                </c:pt>
                <c:pt idx="3">
                  <c:v>0.28624305983960519</c:v>
                </c:pt>
                <c:pt idx="5">
                  <c:v>0.5315934065934067</c:v>
                </c:pt>
                <c:pt idx="6">
                  <c:v>0.38375301828216629</c:v>
                </c:pt>
                <c:pt idx="10">
                  <c:v>0.17641544806899137</c:v>
                </c:pt>
                <c:pt idx="11">
                  <c:v>0.24543557642149189</c:v>
                </c:pt>
                <c:pt idx="16">
                  <c:v>0.32051034216122165</c:v>
                </c:pt>
                <c:pt idx="17">
                  <c:v>0.10048939641109299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A72-4B7C-BA88-9B108F91C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98432"/>
        <c:axId val="259300352"/>
      </c:scatterChart>
      <c:valAx>
        <c:axId val="25929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Costo salarial y no salarial (En porcentaje del  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300352"/>
        <c:crosses val="autoZero"/>
        <c:crossBetween val="midCat"/>
      </c:valAx>
      <c:valAx>
        <c:axId val="25930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 salidas del desempleo hacia trabajos formales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298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</c:marker>
          <c:dLbls>
            <c:dLbl>
              <c:idx val="0"/>
              <c:tx>
                <c:strRef>
                  <c:f>'2.9'!$A$51</c:f>
                  <c:strCache>
                    <c:ptCount val="1"/>
                    <c:pt idx="0">
                      <c:v>ARG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{31DE495A-CED6-404A-990E-77B8F81F26DC}</c15:txfldGUID>
                      <c15:f>'2.9'!$A$51</c15:f>
                      <c15:dlblFieldTableCache>
                        <c:ptCount val="1"/>
                        <c:pt idx="0">
                          <c:v>ARG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10A-4536-9B15-A4FAAAF5FF98}"/>
                </c:ext>
              </c:extLst>
            </c:dLbl>
            <c:dLbl>
              <c:idx val="1"/>
              <c:tx>
                <c:strRef>
                  <c:f>'2.9'!$A$52</c:f>
                  <c:strCache>
                    <c:ptCount val="1"/>
                    <c:pt idx="0">
                      <c:v>BOL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{21BA6E33-7D44-477B-83DC-CE8866F43339}</c15:txfldGUID>
                      <c15:f>'2.9'!$A$52</c15:f>
                      <c15:dlblFieldTableCache>
                        <c:ptCount val="1"/>
                        <c:pt idx="0">
                          <c:v>BOL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10A-4536-9B15-A4FAAAF5FF98}"/>
                </c:ext>
              </c:extLst>
            </c:dLbl>
            <c:dLbl>
              <c:idx val="2"/>
              <c:tx>
                <c:strRef>
                  <c:f>'2.9'!$A$53</c:f>
                  <c:strCache>
                    <c:ptCount val="1"/>
                    <c:pt idx="0">
                      <c:v>BRA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{A07EB67F-877F-456F-85FA-5F97EBCE759B}</c15:txfldGUID>
                      <c15:f>'2.9'!$A$53</c15:f>
                      <c15:dlblFieldTableCache>
                        <c:ptCount val="1"/>
                        <c:pt idx="0">
                          <c:v>BRA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10A-4536-9B15-A4FAAAF5FF98}"/>
                </c:ext>
              </c:extLst>
            </c:dLbl>
            <c:dLbl>
              <c:idx val="3"/>
              <c:tx>
                <c:strRef>
                  <c:f>'2.9'!$A$54</c:f>
                  <c:strCache>
                    <c:ptCount val="1"/>
                    <c:pt idx="0">
                      <c:v>CHL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{8E2EF5D4-CA62-475A-93CC-2734662AEDB7}</c15:txfldGUID>
                      <c15:f>'2.9'!$A$54</c15:f>
                      <c15:dlblFieldTableCache>
                        <c:ptCount val="1"/>
                        <c:pt idx="0">
                          <c:v>CHL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10A-4536-9B15-A4FAAAF5FF98}"/>
                </c:ext>
              </c:extLst>
            </c:dLbl>
            <c:dLbl>
              <c:idx val="4"/>
              <c:tx>
                <c:strRef>
                  <c:f>'2.9'!$A$55</c:f>
                  <c:strCache>
                    <c:ptCount val="1"/>
                    <c:pt idx="0">
                      <c:v>COL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{B3434B2E-C341-4963-AFFB-2705CBE3734B}</c15:txfldGUID>
                      <c15:f>'2.9'!$A$55</c15:f>
                      <c15:dlblFieldTableCache>
                        <c:ptCount val="1"/>
                        <c:pt idx="0">
                          <c:v>COL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10A-4536-9B15-A4FAAAF5FF98}"/>
                </c:ext>
              </c:extLst>
            </c:dLbl>
            <c:dLbl>
              <c:idx val="5"/>
              <c:tx>
                <c:strRef>
                  <c:f>'2.9'!$A$56</c:f>
                  <c:strCache>
                    <c:ptCount val="1"/>
                    <c:pt idx="0">
                      <c:v>CRI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{425E9FF8-0529-4C4D-9939-55A0AEC83CBB}</c15:txfldGUID>
                      <c15:f>'2.9'!$A$56</c15:f>
                      <c15:dlblFieldTableCache>
                        <c:ptCount val="1"/>
                        <c:pt idx="0">
                          <c:v>CRI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10A-4536-9B15-A4FAAAF5FF98}"/>
                </c:ext>
              </c:extLst>
            </c:dLbl>
            <c:dLbl>
              <c:idx val="6"/>
              <c:tx>
                <c:strRef>
                  <c:f>'2.9'!$A$57</c:f>
                  <c:strCache>
                    <c:ptCount val="1"/>
                    <c:pt idx="0">
                      <c:v>DOM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{8B25B340-26E4-423D-B67B-3248BF2E5F70}</c15:txfldGUID>
                      <c15:f>'2.9'!$A$57</c15:f>
                      <c15:dlblFieldTableCache>
                        <c:ptCount val="1"/>
                        <c:pt idx="0">
                          <c:v>DOM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10A-4536-9B15-A4FAAAF5FF98}"/>
                </c:ext>
              </c:extLst>
            </c:dLbl>
            <c:dLbl>
              <c:idx val="7"/>
              <c:tx>
                <c:strRef>
                  <c:f>'2.9'!$A$58</c:f>
                  <c:strCache>
                    <c:ptCount val="1"/>
                    <c:pt idx="0">
                      <c:v>ECU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{2FD4AF6C-22E1-495A-A0DB-B521F30D64FE}</c15:txfldGUID>
                      <c15:f>'2.9'!$A$58</c15:f>
                      <c15:dlblFieldTableCache>
                        <c:ptCount val="1"/>
                        <c:pt idx="0">
                          <c:v>ECU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10A-4536-9B15-A4FAAAF5FF98}"/>
                </c:ext>
              </c:extLst>
            </c:dLbl>
            <c:dLbl>
              <c:idx val="8"/>
              <c:tx>
                <c:strRef>
                  <c:f>'2.9'!$A$59</c:f>
                  <c:strCache>
                    <c:ptCount val="1"/>
                    <c:pt idx="0">
                      <c:v>GTM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{7AF1BB76-2511-4A43-ADD2-A9DFEE97E9ED}</c15:txfldGUID>
                      <c15:f>'2.9'!$A$59</c15:f>
                      <c15:dlblFieldTableCache>
                        <c:ptCount val="1"/>
                        <c:pt idx="0">
                          <c:v>GTM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10A-4536-9B15-A4FAAAF5FF98}"/>
                </c:ext>
              </c:extLst>
            </c:dLbl>
            <c:dLbl>
              <c:idx val="9"/>
              <c:tx>
                <c:strRef>
                  <c:f>'2.9'!$A$60</c:f>
                  <c:strCache>
                    <c:ptCount val="1"/>
                    <c:pt idx="0">
                      <c:v>HND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{88B660D9-BBE6-4A43-A246-D3CD68CC04C2}</c15:txfldGUID>
                      <c15:f>'2.9'!$A$60</c15:f>
                      <c15:dlblFieldTableCache>
                        <c:ptCount val="1"/>
                        <c:pt idx="0">
                          <c:v>HND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10A-4536-9B15-A4FAAAF5FF98}"/>
                </c:ext>
              </c:extLst>
            </c:dLbl>
            <c:dLbl>
              <c:idx val="10"/>
              <c:tx>
                <c:strRef>
                  <c:f>'2.9'!$A$61</c:f>
                  <c:strCache>
                    <c:ptCount val="1"/>
                    <c:pt idx="0">
                      <c:v>JAM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{A56F77E9-1701-4534-80E1-D64820C20F25}</c15:txfldGUID>
                      <c15:f>'2.9'!$A$61</c15:f>
                      <c15:dlblFieldTableCache>
                        <c:ptCount val="1"/>
                        <c:pt idx="0">
                          <c:v>JAM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10A-4536-9B15-A4FAAAF5FF98}"/>
                </c:ext>
              </c:extLst>
            </c:dLbl>
            <c:dLbl>
              <c:idx val="11"/>
              <c:tx>
                <c:strRef>
                  <c:f>'2.9'!$A$62</c:f>
                  <c:strCache>
                    <c:ptCount val="1"/>
                    <c:pt idx="0">
                      <c:v>MEX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{F99DD2A4-017E-494D-A5EA-F9F12DED0B97}</c15:txfldGUID>
                      <c15:f>'2.9'!$A$62</c15:f>
                      <c15:dlblFieldTableCache>
                        <c:ptCount val="1"/>
                        <c:pt idx="0">
                          <c:v>MEX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10A-4536-9B15-A4FAAAF5FF98}"/>
                </c:ext>
              </c:extLst>
            </c:dLbl>
            <c:dLbl>
              <c:idx val="12"/>
              <c:tx>
                <c:strRef>
                  <c:f>'2.9'!$A$63</c:f>
                  <c:strCache>
                    <c:ptCount val="1"/>
                    <c:pt idx="0">
                      <c:v>NIC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{36BFEF80-EC7C-49C6-A91A-C5F43D2E1A46}</c15:txfldGUID>
                      <c15:f>'2.9'!$A$63</c15:f>
                      <c15:dlblFieldTableCache>
                        <c:ptCount val="1"/>
                        <c:pt idx="0">
                          <c:v>NIC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10A-4536-9B15-A4FAAAF5FF98}"/>
                </c:ext>
              </c:extLst>
            </c:dLbl>
            <c:dLbl>
              <c:idx val="13"/>
              <c:tx>
                <c:strRef>
                  <c:f>'2.9'!$A$64</c:f>
                  <c:strCache>
                    <c:ptCount val="1"/>
                    <c:pt idx="0">
                      <c:v>PAN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{29E3AEB1-A4EE-450D-9A7F-C2D28D5EB9F9}</c15:txfldGUID>
                      <c15:f>'2.9'!$A$64</c15:f>
                      <c15:dlblFieldTableCache>
                        <c:ptCount val="1"/>
                        <c:pt idx="0">
                          <c:v>PAN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10A-4536-9B15-A4FAAAF5FF98}"/>
                </c:ext>
              </c:extLst>
            </c:dLbl>
            <c:dLbl>
              <c:idx val="14"/>
              <c:tx>
                <c:strRef>
                  <c:f>'2.9'!$A$65</c:f>
                  <c:strCache>
                    <c:ptCount val="1"/>
                    <c:pt idx="0">
                      <c:v>PER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{C1BAC1A9-FD85-400E-8E7F-5C182C922FD6}</c15:txfldGUID>
                      <c15:f>'2.9'!$A$65</c15:f>
                      <c15:dlblFieldTableCache>
                        <c:ptCount val="1"/>
                        <c:pt idx="0">
                          <c:v>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10A-4536-9B15-A4FAAAF5FF98}"/>
                </c:ext>
              </c:extLst>
            </c:dLbl>
            <c:dLbl>
              <c:idx val="15"/>
              <c:tx>
                <c:strRef>
                  <c:f>'2.9'!$A$66</c:f>
                  <c:strCache>
                    <c:ptCount val="1"/>
                    <c:pt idx="0">
                      <c:v>PRY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{38778BA1-3FB5-46FF-8BEC-2132DF5B8AE6}</c15:txfldGUID>
                      <c15:f>'2.9'!$A$66</c15:f>
                      <c15:dlblFieldTableCache>
                        <c:ptCount val="1"/>
                        <c:pt idx="0">
                          <c:v>PRY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10A-4536-9B15-A4FAAAF5FF98}"/>
                </c:ext>
              </c:extLst>
            </c:dLbl>
            <c:dLbl>
              <c:idx val="16"/>
              <c:tx>
                <c:strRef>
                  <c:f>'2.9'!$A$67</c:f>
                  <c:strCache>
                    <c:ptCount val="1"/>
                    <c:pt idx="0">
                      <c:v>SLV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{4DC52EDB-BFF2-4FC7-8D2C-A7CC99117968}</c15:txfldGUID>
                      <c15:f>'2.9'!$A$67</c15:f>
                      <c15:dlblFieldTableCache>
                        <c:ptCount val="1"/>
                        <c:pt idx="0">
                          <c:v>SLV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10A-4536-9B15-A4FAAAF5FF98}"/>
                </c:ext>
              </c:extLst>
            </c:dLbl>
            <c:dLbl>
              <c:idx val="17"/>
              <c:tx>
                <c:strRef>
                  <c:f>'2.9'!$A$68</c:f>
                  <c:strCache>
                    <c:ptCount val="1"/>
                    <c:pt idx="0">
                      <c:v>URY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{8645C9DF-9444-4306-99B9-4836FA3C239E}</c15:txfldGUID>
                      <c15:f>'2.9'!$A$68</c15:f>
                      <c15:dlblFieldTableCache>
                        <c:ptCount val="1"/>
                        <c:pt idx="0">
                          <c:v>URY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10A-4536-9B15-A4FAAAF5FF98}"/>
                </c:ext>
              </c:extLst>
            </c:dLbl>
            <c:dLbl>
              <c:idx val="18"/>
              <c:tx>
                <c:strRef>
                  <c:f>'2.9'!$A$69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{68EC38F2-2523-4B36-B9D4-F98DDEC8845B}</c15:txfldGUID>
                      <c15:f>'2.9'!$A$69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10A-4536-9B15-A4FAAAF5FF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0"/>
            <c:dispEq val="0"/>
          </c:trendline>
          <c:xVal>
            <c:numRef>
              <c:f>'2.9'!$E$51:$E$69</c:f>
              <c:numCache>
                <c:formatCode>General</c:formatCode>
                <c:ptCount val="19"/>
                <c:pt idx="0">
                  <c:v>0.30545300781566398</c:v>
                </c:pt>
                <c:pt idx="1">
                  <c:v>0.54112200447189474</c:v>
                </c:pt>
                <c:pt idx="2">
                  <c:v>0.24198566778036282</c:v>
                </c:pt>
                <c:pt idx="3">
                  <c:v>0.15903867330054344</c:v>
                </c:pt>
                <c:pt idx="4">
                  <c:v>0.32775224975062606</c:v>
                </c:pt>
                <c:pt idx="5">
                  <c:v>0.32258086282098192</c:v>
                </c:pt>
                <c:pt idx="6">
                  <c:v>0.17665467730464562</c:v>
                </c:pt>
                <c:pt idx="7">
                  <c:v>0.37861205392521091</c:v>
                </c:pt>
                <c:pt idx="8">
                  <c:v>0.48013986365182804</c:v>
                </c:pt>
                <c:pt idx="9">
                  <c:v>0.99496102140200549</c:v>
                </c:pt>
                <c:pt idx="11">
                  <c:v>0.10368466633642601</c:v>
                </c:pt>
                <c:pt idx="12">
                  <c:v>0.70831628564362625</c:v>
                </c:pt>
                <c:pt idx="13">
                  <c:v>0.29841392304054465</c:v>
                </c:pt>
                <c:pt idx="14">
                  <c:v>0.39029663732717612</c:v>
                </c:pt>
                <c:pt idx="15">
                  <c:v>0.70431266460095732</c:v>
                </c:pt>
                <c:pt idx="16">
                  <c:v>0.32539511334163207</c:v>
                </c:pt>
                <c:pt idx="17">
                  <c:v>0.19368070839238588</c:v>
                </c:pt>
                <c:pt idx="18">
                  <c:v>0.25824965960434243</c:v>
                </c:pt>
              </c:numCache>
            </c:numRef>
          </c:xVal>
          <c:yVal>
            <c:numRef>
              <c:f>'2.9'!$B$51:$B$69</c:f>
              <c:numCache>
                <c:formatCode>_(* #,##0.00_);_(* \(#,##0.00\);_(* "-"??_);_(@_)</c:formatCode>
                <c:ptCount val="19"/>
                <c:pt idx="0">
                  <c:v>0.28624305983960519</c:v>
                </c:pt>
                <c:pt idx="2">
                  <c:v>0.5315934065934067</c:v>
                </c:pt>
                <c:pt idx="4">
                  <c:v>0.38375301828216629</c:v>
                </c:pt>
                <c:pt idx="7">
                  <c:v>0.17641544806899137</c:v>
                </c:pt>
                <c:pt idx="11">
                  <c:v>0.38127145407112456</c:v>
                </c:pt>
                <c:pt idx="14">
                  <c:v>0.24543557642149189</c:v>
                </c:pt>
                <c:pt idx="15" formatCode="0%">
                  <c:v>0.10048939641109299</c:v>
                </c:pt>
                <c:pt idx="18">
                  <c:v>0.32051034216122165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10A-4536-9B15-A4FAAAF5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583360"/>
        <c:axId val="259728896"/>
      </c:scatterChart>
      <c:valAx>
        <c:axId val="25958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Costo salarial y no salarial (En porcentaje del 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728896"/>
        <c:crosses val="autoZero"/>
        <c:crossBetween val="midCat"/>
      </c:valAx>
      <c:valAx>
        <c:axId val="259728896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Porcentaje de salidas del desempleo hacia trabajos formales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583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dLbls>
            <c:dLbl>
              <c:idx val="0"/>
              <c:layout>
                <c:manualLayout>
                  <c:x val="-6.0937244443257668E-2"/>
                  <c:y val="4.34310383506327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D5C-44B7-8396-43780C56E7B5}"/>
                </c:ext>
              </c:extLst>
            </c:dLbl>
            <c:dLbl>
              <c:idx val="1"/>
              <c:layout>
                <c:manualLayout>
                  <c:x val="-6.093724444325764E-2"/>
                  <c:y val="-6.51465575259491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D5C-44B7-8396-43780C56E7B5}"/>
                </c:ext>
              </c:extLst>
            </c:dLbl>
            <c:dLbl>
              <c:idx val="2"/>
              <c:layout>
                <c:manualLayout>
                  <c:x val="-6.093724444325764E-2"/>
                  <c:y val="3.47448306805062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D5C-44B7-8396-43780C56E7B5}"/>
                </c:ext>
              </c:extLst>
            </c:dLbl>
            <c:dLbl>
              <c:idx val="3"/>
              <c:layout>
                <c:manualLayout>
                  <c:x val="-3.6105179120511602E-2"/>
                  <c:y val="-4.79326880967624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D5C-44B7-8396-43780C56E7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 URY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D5C-44B7-8396-43780C56E7B5}"/>
                </c:ext>
              </c:extLst>
            </c:dLbl>
            <c:dLbl>
              <c:idx val="5"/>
              <c:layout>
                <c:manualLayout>
                  <c:x val="-5.0339462800951966E-2"/>
                  <c:y val="4.34310383506327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D5C-44B7-8396-43780C56E7B5}"/>
                </c:ext>
              </c:extLst>
            </c:dLbl>
            <c:dLbl>
              <c:idx val="6"/>
              <c:layout>
                <c:manualLayout>
                  <c:x val="-3.7092235748069871E-2"/>
                  <c:y val="3.90879345155695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D5C-44B7-8396-43780C56E7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PAN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D5C-44B7-8396-43780C56E7B5}"/>
                </c:ext>
              </c:extLst>
            </c:dLbl>
            <c:dLbl>
              <c:idx val="8"/>
              <c:layout>
                <c:manualLayout>
                  <c:x val="-9.2730589370174671E-2"/>
                  <c:y val="-1.30293115051898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SLV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D5C-44B7-8396-43780C56E7B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CRI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D5C-44B7-8396-43780C56E7B5}"/>
                </c:ext>
              </c:extLst>
            </c:dLbl>
            <c:dLbl>
              <c:idx val="10"/>
              <c:layout>
                <c:manualLayout>
                  <c:x val="-4.7690017390375546E-2"/>
                  <c:y val="5.21172460207593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D5C-44B7-8396-43780C56E7B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PER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D5C-44B7-8396-43780C56E7B5}"/>
                </c:ext>
              </c:extLst>
            </c:dLbl>
            <c:dLbl>
              <c:idx val="14"/>
              <c:layout>
                <c:manualLayout>
                  <c:x val="-5.828779903268122E-2"/>
                  <c:y val="-4.77741421856960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GTM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D5C-44B7-8396-43780C56E7B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 BOL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D5C-44B7-8396-43780C56E7B5}"/>
                </c:ext>
              </c:extLst>
            </c:dLbl>
            <c:dLbl>
              <c:idx val="16"/>
              <c:layout>
                <c:manualLayout>
                  <c:x val="1.6834893304520145E-2"/>
                  <c:y val="-3.9087841255170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FD5C-44B7-8396-43780C56E7B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PRY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D5C-44B7-8396-43780C56E7B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NIC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FD5C-44B7-8396-43780C56E7B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HND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FD5C-44B7-8396-43780C56E7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1"/>
            <c:dispEq val="0"/>
            <c:trendlineLbl>
              <c:layout>
                <c:manualLayout>
                  <c:x val="4.2644687087537991E-2"/>
                  <c:y val="-0.12662298309505349"/>
                </c:manualLayout>
              </c:layout>
              <c:numFmt formatCode="General" sourceLinked="0"/>
            </c:trendlineLbl>
          </c:trendline>
          <c:xVal>
            <c:numRef>
              <c:f>'2.10'!$R$3:$R$22</c:f>
              <c:numCache>
                <c:formatCode>_(* #,##0.00_);_(* \(#,##0.00\);_(* "-"??_);_(@_)</c:formatCode>
                <c:ptCount val="20"/>
                <c:pt idx="0">
                  <c:v>0.10954799921093442</c:v>
                </c:pt>
                <c:pt idx="1">
                  <c:v>0.15903867330054344</c:v>
                </c:pt>
                <c:pt idx="2">
                  <c:v>0.17608864704808239</c:v>
                </c:pt>
                <c:pt idx="3">
                  <c:v>0.29865799716306268</c:v>
                </c:pt>
                <c:pt idx="4">
                  <c:v>0.19588891304600051</c:v>
                </c:pt>
                <c:pt idx="5">
                  <c:v>0.2401814159259848</c:v>
                </c:pt>
                <c:pt idx="6">
                  <c:v>0.31229901458452908</c:v>
                </c:pt>
                <c:pt idx="7">
                  <c:v>0.31261457848495922</c:v>
                </c:pt>
                <c:pt idx="8">
                  <c:v>0.31669729963725379</c:v>
                </c:pt>
                <c:pt idx="9">
                  <c:v>0.33849727195402068</c:v>
                </c:pt>
                <c:pt idx="10">
                  <c:v>0.37797680498248354</c:v>
                </c:pt>
                <c:pt idx="11">
                  <c:v>0.4011183447084013</c:v>
                </c:pt>
                <c:pt idx="12">
                  <c:v>0.40315551717936138</c:v>
                </c:pt>
                <c:pt idx="13">
                  <c:v>0.47862638528688678</c:v>
                </c:pt>
                <c:pt idx="14">
                  <c:v>0.50860283690109698</c:v>
                </c:pt>
                <c:pt idx="15">
                  <c:v>0.55101934978387745</c:v>
                </c:pt>
                <c:pt idx="16">
                  <c:v>0.25637413252228547</c:v>
                </c:pt>
                <c:pt idx="17">
                  <c:v>0.6924938974086785</c:v>
                </c:pt>
                <c:pt idx="18">
                  <c:v>0.71298310509010343</c:v>
                </c:pt>
                <c:pt idx="19">
                  <c:v>1.0156166706847269</c:v>
                </c:pt>
              </c:numCache>
            </c:numRef>
          </c:xVal>
          <c:yVal>
            <c:numRef>
              <c:f>'2.10'!$U$3:$U$22</c:f>
              <c:numCache>
                <c:formatCode>_(* #,##0.00_);_(* \(#,##0.00\);_(* "-"??_);_(@_)</c:formatCode>
                <c:ptCount val="20"/>
                <c:pt idx="0">
                  <c:v>0.71038505986065414</c:v>
                </c:pt>
                <c:pt idx="1">
                  <c:v>0.79902851995094115</c:v>
                </c:pt>
                <c:pt idx="2">
                  <c:v>0.55507115967985543</c:v>
                </c:pt>
                <c:pt idx="3">
                  <c:v>0.777413700262365</c:v>
                </c:pt>
                <c:pt idx="4">
                  <c:v>0.74278747503045539</c:v>
                </c:pt>
                <c:pt idx="5">
                  <c:v>0.70642204689403187</c:v>
                </c:pt>
                <c:pt idx="6">
                  <c:v>0.45916516784767591</c:v>
                </c:pt>
                <c:pt idx="7">
                  <c:v>0.70631908201684401</c:v>
                </c:pt>
                <c:pt idx="8">
                  <c:v>0.60057151185394553</c:v>
                </c:pt>
                <c:pt idx="9">
                  <c:v>0.76846602219250515</c:v>
                </c:pt>
                <c:pt idx="10">
                  <c:v>0.59894356904174773</c:v>
                </c:pt>
                <c:pt idx="11">
                  <c:v>0.50455238859245144</c:v>
                </c:pt>
                <c:pt idx="13">
                  <c:v>0.60819001881511336</c:v>
                </c:pt>
                <c:pt idx="14">
                  <c:v>0.60239212749779025</c:v>
                </c:pt>
                <c:pt idx="15">
                  <c:v>0.41825527216165093</c:v>
                </c:pt>
                <c:pt idx="16">
                  <c:v>0.6041601406031617</c:v>
                </c:pt>
                <c:pt idx="17">
                  <c:v>0.57569183785482436</c:v>
                </c:pt>
                <c:pt idx="18">
                  <c:v>0.4380734050324116</c:v>
                </c:pt>
                <c:pt idx="19">
                  <c:v>0.46089902219994955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D5C-44B7-8396-43780C56E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812352"/>
        <c:axId val="259843200"/>
      </c:scatterChart>
      <c:valAx>
        <c:axId val="259812352"/>
        <c:scaling>
          <c:orientation val="minMax"/>
          <c:max val="1.2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Costo salarial y no salarial (En porcentaje del 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843200"/>
        <c:crosses val="autoZero"/>
        <c:crossBetween val="midCat"/>
      </c:valAx>
      <c:valAx>
        <c:axId val="259843200"/>
        <c:scaling>
          <c:orientation val="minMax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  trabajadores asalariados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81235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</c:marker>
          <c:dLbls>
            <c:dLbl>
              <c:idx val="0"/>
              <c:tx>
                <c:strRef>
                  <c:f>'2.10'!$A$32</c:f>
                  <c:strCache>
                    <c:ptCount val="1"/>
                    <c:pt idx="0">
                      <c:v>ARG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{DAD52450-F3AB-4BEA-B788-9F11A3A3FB07}</c15:txfldGUID>
                      <c15:f>'2.10'!$A$32</c15:f>
                      <c15:dlblFieldTableCache>
                        <c:ptCount val="1"/>
                        <c:pt idx="0">
                          <c:v>ARG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A25-45BF-A4AB-0A55EEE56FE2}"/>
                </c:ext>
              </c:extLst>
            </c:dLbl>
            <c:dLbl>
              <c:idx val="1"/>
              <c:tx>
                <c:strRef>
                  <c:f>'2.10'!$A$33</c:f>
                  <c:strCache>
                    <c:ptCount val="1"/>
                    <c:pt idx="0">
                      <c:v>BOL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{2D3F3FF1-059F-4211-B2BA-73F930005AC7}</c15:txfldGUID>
                      <c15:f>'2.10'!$A$33</c15:f>
                      <c15:dlblFieldTableCache>
                        <c:ptCount val="1"/>
                        <c:pt idx="0">
                          <c:v>BOL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A25-45BF-A4AB-0A55EEE56FE2}"/>
                </c:ext>
              </c:extLst>
            </c:dLbl>
            <c:dLbl>
              <c:idx val="2"/>
              <c:layout>
                <c:manualLayout>
                  <c:x val="-3.9701412482784589E-2"/>
                  <c:y val="4.4022927028292386E-2"/>
                </c:manualLayout>
              </c:layout>
              <c:tx>
                <c:strRef>
                  <c:f>'2.10'!$A$34</c:f>
                  <c:strCache>
                    <c:ptCount val="1"/>
                    <c:pt idx="0">
                      <c:v>BRA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{7B1DBB45-9A3E-482E-B48A-1055E335F6E5}</c15:txfldGUID>
                      <c15:f>'2.10'!$A$34</c15:f>
                      <c15:dlblFieldTableCache>
                        <c:ptCount val="1"/>
                        <c:pt idx="0">
                          <c:v>BRA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A25-45BF-A4AB-0A55EEE56FE2}"/>
                </c:ext>
              </c:extLst>
            </c:dLbl>
            <c:dLbl>
              <c:idx val="3"/>
              <c:tx>
                <c:strRef>
                  <c:f>'2.10'!$A$35</c:f>
                  <c:strCache>
                    <c:ptCount val="1"/>
                    <c:pt idx="0">
                      <c:v>CHL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{96A3A3D8-A406-4D84-B80B-B39AEEEFA5B5}</c15:txfldGUID>
                      <c15:f>'2.10'!$A$35</c15:f>
                      <c15:dlblFieldTableCache>
                        <c:ptCount val="1"/>
                        <c:pt idx="0">
                          <c:v>CHL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A25-45BF-A4AB-0A55EEE56FE2}"/>
                </c:ext>
              </c:extLst>
            </c:dLbl>
            <c:dLbl>
              <c:idx val="4"/>
              <c:tx>
                <c:strRef>
                  <c:f>'2.10'!$A$36</c:f>
                  <c:strCache>
                    <c:ptCount val="1"/>
                    <c:pt idx="0">
                      <c:v>COL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{A86475E5-A6CA-4428-8DDB-62BB4BEEF564}</c15:txfldGUID>
                      <c15:f>'2.10'!$A$36</c15:f>
                      <c15:dlblFieldTableCache>
                        <c:ptCount val="1"/>
                        <c:pt idx="0">
                          <c:v>COL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A25-45BF-A4AB-0A55EEE56FE2}"/>
                </c:ext>
              </c:extLst>
            </c:dLbl>
            <c:dLbl>
              <c:idx val="5"/>
              <c:layout>
                <c:manualLayout>
                  <c:x val="-2.7491155971085938E-3"/>
                  <c:y val="6.5566061531499289E-3"/>
                </c:manualLayout>
              </c:layout>
              <c:tx>
                <c:strRef>
                  <c:f>'2.10'!$A$37</c:f>
                  <c:strCache>
                    <c:ptCount val="1"/>
                    <c:pt idx="0">
                      <c:v>CRI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{3ECBB3FA-AAF2-4773-B26D-BA3559990E43}</c15:txfldGUID>
                      <c15:f>'2.10'!$A$37</c15:f>
                      <c15:dlblFieldTableCache>
                        <c:ptCount val="1"/>
                        <c:pt idx="0">
                          <c:v>CRI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A25-45BF-A4AB-0A55EEE56FE2}"/>
                </c:ext>
              </c:extLst>
            </c:dLbl>
            <c:dLbl>
              <c:idx val="6"/>
              <c:layout>
                <c:manualLayout>
                  <c:x val="-7.3441516558415326E-2"/>
                  <c:y val="-3.0909714721992592E-2"/>
                </c:manualLayout>
              </c:layout>
              <c:tx>
                <c:strRef>
                  <c:f>'2.10'!$A$38</c:f>
                  <c:strCache>
                    <c:ptCount val="1"/>
                    <c:pt idx="0">
                      <c:v>DOM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{DB52ADD1-71F2-4CDE-BEBD-89CADB8EB3D6}</c15:txfldGUID>
                      <c15:f>'2.10'!$A$38</c15:f>
                      <c15:dlblFieldTableCache>
                        <c:ptCount val="1"/>
                        <c:pt idx="0">
                          <c:v>DOM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A25-45BF-A4AB-0A55EEE56FE2}"/>
                </c:ext>
              </c:extLst>
            </c:dLbl>
            <c:dLbl>
              <c:idx val="7"/>
              <c:layout>
                <c:manualLayout>
                  <c:x val="-2.8828826491648557E-2"/>
                  <c:y val="-3.8402978897021017E-2"/>
                </c:manualLayout>
              </c:layout>
              <c:tx>
                <c:strRef>
                  <c:f>'2.10'!$A$39</c:f>
                  <c:strCache>
                    <c:ptCount val="1"/>
                    <c:pt idx="0">
                      <c:v>ECU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{98E271A2-DAB1-4B92-8BF6-A375EE17D64D}</c15:txfldGUID>
                      <c15:f>'2.10'!$A$39</c15:f>
                      <c15:dlblFieldTableCache>
                        <c:ptCount val="1"/>
                        <c:pt idx="0">
                          <c:v>ECU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A25-45BF-A4AB-0A55EEE56FE2}"/>
                </c:ext>
              </c:extLst>
            </c:dLbl>
            <c:dLbl>
              <c:idx val="8"/>
              <c:tx>
                <c:strRef>
                  <c:f>'2.10'!$A$40</c:f>
                  <c:strCache>
                    <c:ptCount val="1"/>
                    <c:pt idx="0">
                      <c:v>GTM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{79B2C0A1-89D6-4F8D-9B3B-F9D2F8B99E5B}</c15:txfldGUID>
                      <c15:f>'2.10'!$A$40</c15:f>
                      <c15:dlblFieldTableCache>
                        <c:ptCount val="1"/>
                        <c:pt idx="0">
                          <c:v>GTM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A25-45BF-A4AB-0A55EEE56FE2}"/>
                </c:ext>
              </c:extLst>
            </c:dLbl>
            <c:dLbl>
              <c:idx val="9"/>
              <c:tx>
                <c:strRef>
                  <c:f>'2.10'!$A$41</c:f>
                  <c:strCache>
                    <c:ptCount val="1"/>
                    <c:pt idx="0">
                      <c:v>HND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{9A250145-C408-495C-B88B-DBCDCB00FC52}</c15:txfldGUID>
                      <c15:f>'2.10'!$A$41</c15:f>
                      <c15:dlblFieldTableCache>
                        <c:ptCount val="1"/>
                        <c:pt idx="0">
                          <c:v>HND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A25-45BF-A4AB-0A55EEE56FE2}"/>
                </c:ext>
              </c:extLst>
            </c:dLbl>
            <c:dLbl>
              <c:idx val="10"/>
              <c:tx>
                <c:strRef>
                  <c:f>'2.10'!$A$42</c:f>
                  <c:strCache>
                    <c:ptCount val="1"/>
                    <c:pt idx="0">
                      <c:v>MEX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{925E6DE7-84C7-43CF-98AD-DDFFB3D86E6D}</c15:txfldGUID>
                      <c15:f>'2.10'!$A$42</c15:f>
                      <c15:dlblFieldTableCache>
                        <c:ptCount val="1"/>
                        <c:pt idx="0">
                          <c:v>MEX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A25-45BF-A4AB-0A55EEE56FE2}"/>
                </c:ext>
              </c:extLst>
            </c:dLbl>
            <c:dLbl>
              <c:idx val="11"/>
              <c:tx>
                <c:strRef>
                  <c:f>'2.10'!$A$43</c:f>
                  <c:strCache>
                    <c:ptCount val="1"/>
                    <c:pt idx="0">
                      <c:v>NIC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{AC534920-7C45-4052-A497-38493DE825F7}</c15:txfldGUID>
                      <c15:f>'2.10'!$A$43</c15:f>
                      <c15:dlblFieldTableCache>
                        <c:ptCount val="1"/>
                        <c:pt idx="0">
                          <c:v>NIC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A25-45BF-A4AB-0A55EEE56FE2}"/>
                </c:ext>
              </c:extLst>
            </c:dLbl>
            <c:dLbl>
              <c:idx val="12"/>
              <c:layout>
                <c:manualLayout>
                  <c:x val="0"/>
                  <c:y val="-8.4299221969070526E-3"/>
                </c:manualLayout>
              </c:layout>
              <c:tx>
                <c:strRef>
                  <c:f>'2.10'!$A$44</c:f>
                  <c:strCache>
                    <c:ptCount val="1"/>
                    <c:pt idx="0">
                      <c:v>PAN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{28F3CB09-D185-4041-9342-8FBC728D7460}</c15:txfldGUID>
                      <c15:f>'2.10'!$A$44</c15:f>
                      <c15:dlblFieldTableCache>
                        <c:ptCount val="1"/>
                        <c:pt idx="0">
                          <c:v>PAN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A25-45BF-A4AB-0A55EEE56FE2}"/>
                </c:ext>
              </c:extLst>
            </c:dLbl>
            <c:dLbl>
              <c:idx val="13"/>
              <c:tx>
                <c:strRef>
                  <c:f>'2.10'!$A$45</c:f>
                  <c:strCache>
                    <c:ptCount val="1"/>
                    <c:pt idx="0">
                      <c:v>PER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{E07A573F-8938-4771-8F90-C47B4101A25E}</c15:txfldGUID>
                      <c15:f>'2.10'!$A$45</c15:f>
                      <c15:dlblFieldTableCache>
                        <c:ptCount val="1"/>
                        <c:pt idx="0">
                          <c:v>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A25-45BF-A4AB-0A55EEE56FE2}"/>
                </c:ext>
              </c:extLst>
            </c:dLbl>
            <c:dLbl>
              <c:idx val="14"/>
              <c:tx>
                <c:strRef>
                  <c:f>'2.10'!$A$46</c:f>
                  <c:strCache>
                    <c:ptCount val="1"/>
                    <c:pt idx="0">
                      <c:v>PRY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{2F166DCB-DFDD-4997-AD69-5F3CB40CEC9A}</c15:txfldGUID>
                      <c15:f>'2.10'!$A$46</c15:f>
                      <c15:dlblFieldTableCache>
                        <c:ptCount val="1"/>
                        <c:pt idx="0">
                          <c:v>PRY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A25-45BF-A4AB-0A55EEE56FE2}"/>
                </c:ext>
              </c:extLst>
            </c:dLbl>
            <c:dLbl>
              <c:idx val="15"/>
              <c:tx>
                <c:strRef>
                  <c:f>'2.10'!$A$47</c:f>
                  <c:strCache>
                    <c:ptCount val="1"/>
                    <c:pt idx="0">
                      <c:v>SLV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{079E7344-0C03-4A7B-B214-CAD1E1731F6F}</c15:txfldGUID>
                      <c15:f>'2.10'!$A$47</c15:f>
                      <c15:dlblFieldTableCache>
                        <c:ptCount val="1"/>
                        <c:pt idx="0">
                          <c:v>SLV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A25-45BF-A4AB-0A55EEE56FE2}"/>
                </c:ext>
              </c:extLst>
            </c:dLbl>
            <c:dLbl>
              <c:idx val="16"/>
              <c:tx>
                <c:strRef>
                  <c:f>'2.10'!$A$48</c:f>
                  <c:strCache>
                    <c:ptCount val="1"/>
                    <c:pt idx="0">
                      <c:v>URY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{3B5C4880-746C-422C-9213-0EA8156A2822}</c15:txfldGUID>
                      <c15:f>'2.10'!$A$48</c15:f>
                      <c15:dlblFieldTableCache>
                        <c:ptCount val="1"/>
                        <c:pt idx="0">
                          <c:v>URY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A25-45BF-A4AB-0A55EEE56FE2}"/>
                </c:ext>
              </c:extLst>
            </c:dLbl>
            <c:dLbl>
              <c:idx val="17"/>
              <c:layout>
                <c:manualLayout>
                  <c:x val="-6.2342418359130645E-2"/>
                  <c:y val="-2.3416450546964035E-2"/>
                </c:manualLayout>
              </c:layout>
              <c:tx>
                <c:strRef>
                  <c:f>'2.10'!$A$49</c:f>
                  <c:strCache>
                    <c:ptCount val="1"/>
                    <c:pt idx="0">
                      <c:v>VEN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Times New Roman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{C83C5CC3-CBEE-4AF1-8CAE-E723EAE3080E}</c15:txfldGUID>
                      <c15:f>'2.10'!$A$49</c15:f>
                      <c15:dlblFieldTableCache>
                        <c:ptCount val="1"/>
                        <c:pt idx="0">
                          <c:v>VEN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A25-45BF-A4AB-0A55EEE56F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poly"/>
            <c:order val="2"/>
            <c:dispRSqr val="0"/>
            <c:dispEq val="0"/>
          </c:trendline>
          <c:xVal>
            <c:numRef>
              <c:f>'2.10'!$E$32:$E$49</c:f>
              <c:numCache>
                <c:formatCode>General</c:formatCode>
                <c:ptCount val="18"/>
                <c:pt idx="0">
                  <c:v>0.30545300781566398</c:v>
                </c:pt>
                <c:pt idx="1">
                  <c:v>0.54112200447189474</c:v>
                </c:pt>
                <c:pt idx="2">
                  <c:v>0.24198566778036282</c:v>
                </c:pt>
                <c:pt idx="3">
                  <c:v>0.15903867330054344</c:v>
                </c:pt>
                <c:pt idx="4">
                  <c:v>0.32775224975062606</c:v>
                </c:pt>
                <c:pt idx="5">
                  <c:v>0.32258086282098192</c:v>
                </c:pt>
                <c:pt idx="6">
                  <c:v>0.17665467730464562</c:v>
                </c:pt>
                <c:pt idx="7">
                  <c:v>0.37861205392521091</c:v>
                </c:pt>
                <c:pt idx="8">
                  <c:v>0.48013986365182804</c:v>
                </c:pt>
                <c:pt idx="9">
                  <c:v>0.99496102140200549</c:v>
                </c:pt>
                <c:pt idx="10">
                  <c:v>0.10368466633642601</c:v>
                </c:pt>
                <c:pt idx="11">
                  <c:v>0.70831628564362625</c:v>
                </c:pt>
                <c:pt idx="12">
                  <c:v>0.29841392304054465</c:v>
                </c:pt>
                <c:pt idx="13">
                  <c:v>0.39029663732717612</c:v>
                </c:pt>
                <c:pt idx="14">
                  <c:v>0.70431266460095732</c:v>
                </c:pt>
                <c:pt idx="15">
                  <c:v>0.32539511334163207</c:v>
                </c:pt>
                <c:pt idx="16">
                  <c:v>0.19368070839238588</c:v>
                </c:pt>
                <c:pt idx="17">
                  <c:v>0.25824965960434243</c:v>
                </c:pt>
              </c:numCache>
            </c:numRef>
          </c:xVal>
          <c:yVal>
            <c:numRef>
              <c:f>'2.10'!$B$32:$B$49</c:f>
              <c:numCache>
                <c:formatCode>General</c:formatCode>
                <c:ptCount val="18"/>
                <c:pt idx="0">
                  <c:v>0.777413700262365</c:v>
                </c:pt>
                <c:pt idx="1">
                  <c:v>0.41825527216165093</c:v>
                </c:pt>
                <c:pt idx="2">
                  <c:v>0.70642204689403187</c:v>
                </c:pt>
                <c:pt idx="3">
                  <c:v>0.79902851995094115</c:v>
                </c:pt>
                <c:pt idx="4">
                  <c:v>0.45916516784767591</c:v>
                </c:pt>
                <c:pt idx="5">
                  <c:v>0.76846602219250515</c:v>
                </c:pt>
                <c:pt idx="6">
                  <c:v>0.55507115967985543</c:v>
                </c:pt>
                <c:pt idx="7">
                  <c:v>0.59894356904174773</c:v>
                </c:pt>
                <c:pt idx="8">
                  <c:v>0.60239212749779025</c:v>
                </c:pt>
                <c:pt idx="9">
                  <c:v>0.46089902219994955</c:v>
                </c:pt>
                <c:pt idx="10">
                  <c:v>0.71038505986065414</c:v>
                </c:pt>
                <c:pt idx="11">
                  <c:v>0.4380734050324116</c:v>
                </c:pt>
                <c:pt idx="12">
                  <c:v>0.70631908201684401</c:v>
                </c:pt>
                <c:pt idx="13">
                  <c:v>0.50455238859245144</c:v>
                </c:pt>
                <c:pt idx="14">
                  <c:v>0.57569183785482436</c:v>
                </c:pt>
                <c:pt idx="15">
                  <c:v>0.60057151185394553</c:v>
                </c:pt>
                <c:pt idx="16">
                  <c:v>0.74278747503045539</c:v>
                </c:pt>
                <c:pt idx="17">
                  <c:v>0.6041601406031617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A25-45BF-A4AB-0A55EEE5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912832"/>
        <c:axId val="259914752"/>
      </c:scatterChart>
      <c:valAx>
        <c:axId val="25991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Costo salarial y no salarial (En porcentaje del PIB por trabajador)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914752"/>
        <c:crosses val="autoZero"/>
        <c:crossBetween val="midCat"/>
      </c:valAx>
      <c:valAx>
        <c:axId val="259914752"/>
        <c:scaling>
          <c:orientation val="minMax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Porcentaje de trabajadores asalariados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9912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25</xdr:row>
      <xdr:rowOff>71436</xdr:rowOff>
    </xdr:from>
    <xdr:to>
      <xdr:col>10</xdr:col>
      <xdr:colOff>581024</xdr:colOff>
      <xdr:row>48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33336</xdr:rowOff>
    </xdr:from>
    <xdr:to>
      <xdr:col>6</xdr:col>
      <xdr:colOff>833438</xdr:colOff>
      <xdr:row>20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702470</xdr:colOff>
      <xdr:row>27</xdr:row>
      <xdr:rowOff>27382</xdr:rowOff>
    </xdr:from>
    <xdr:to>
      <xdr:col>15</xdr:col>
      <xdr:colOff>321469</xdr:colOff>
      <xdr:row>45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297656</xdr:colOff>
      <xdr:row>2</xdr:row>
      <xdr:rowOff>40480</xdr:rowOff>
    </xdr:from>
    <xdr:to>
      <xdr:col>10</xdr:col>
      <xdr:colOff>64293</xdr:colOff>
      <xdr:row>20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25</xdr:row>
      <xdr:rowOff>142875</xdr:rowOff>
    </xdr:from>
    <xdr:to>
      <xdr:col>16</xdr:col>
      <xdr:colOff>23813</xdr:colOff>
      <xdr:row>46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207168</xdr:colOff>
      <xdr:row>2</xdr:row>
      <xdr:rowOff>95250</xdr:rowOff>
    </xdr:from>
    <xdr:to>
      <xdr:col>9</xdr:col>
      <xdr:colOff>440532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321467</xdr:colOff>
      <xdr:row>49</xdr:row>
      <xdr:rowOff>98822</xdr:rowOff>
    </xdr:from>
    <xdr:to>
      <xdr:col>12</xdr:col>
      <xdr:colOff>261937</xdr:colOff>
      <xdr:row>69</xdr:row>
      <xdr:rowOff>83344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452438</xdr:colOff>
      <xdr:row>2</xdr:row>
      <xdr:rowOff>133350</xdr:rowOff>
    </xdr:from>
    <xdr:to>
      <xdr:col>10</xdr:col>
      <xdr:colOff>261937</xdr:colOff>
      <xdr:row>23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583406</xdr:colOff>
      <xdr:row>29</xdr:row>
      <xdr:rowOff>27383</xdr:rowOff>
    </xdr:from>
    <xdr:to>
      <xdr:col>16</xdr:col>
      <xdr:colOff>71438</xdr:colOff>
      <xdr:row>49</xdr:row>
      <xdr:rowOff>83344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3</xdr:row>
      <xdr:rowOff>47625</xdr:rowOff>
    </xdr:from>
    <xdr:to>
      <xdr:col>13</xdr:col>
      <xdr:colOff>202406</xdr:colOff>
      <xdr:row>26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0.41888</cdr:x>
      <cdr:y>0.911</cdr:y>
    </cdr:from>
    <cdr:to>
      <cdr:x>0.91593</cdr:x>
      <cdr:y>0.9712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81392" y="4143383"/>
          <a:ext cx="4012389" cy="273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         Salario mínimo OECD                 Costo por</a:t>
          </a:r>
          <a:r>
            <a:rPr lang="en-US" sz="1100" baseline="0"/>
            <a:t> Seg. Social </a:t>
          </a:r>
          <a:r>
            <a:rPr lang="en-US" sz="1100"/>
            <a:t>OECD</a:t>
          </a:r>
        </a:p>
      </cdr:txBody>
    </cdr:sp>
  </cdr:relSizeAnchor>
  <cdr:relSizeAnchor xmlns:cdr="http://schemas.openxmlformats.org/drawingml/2006/chartDrawing">
    <cdr:from>
      <cdr:x>0.43068</cdr:x>
      <cdr:y>0.93455</cdr:y>
    </cdr:from>
    <cdr:to>
      <cdr:x>0.44248</cdr:x>
      <cdr:y>0.95026</cdr:y>
    </cdr:to>
    <cdr:sp macro="" textlink="">
      <cdr:nvSpPr>
        <cdr:cNvPr id="3" name="Rectangle 2"/>
        <cdr:cNvSpPr/>
      </cdr:nvSpPr>
      <cdr:spPr>
        <a:xfrm xmlns:a="http://schemas.openxmlformats.org/drawingml/2006/main" flipH="1">
          <a:off x="3476625" y="4250509"/>
          <a:ext cx="95250" cy="7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0.65782</cdr:x>
      <cdr:y>0.9267</cdr:y>
    </cdr:from>
    <cdr:to>
      <cdr:x>0.66667</cdr:x>
      <cdr:y>0.94503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310188" y="4214813"/>
          <a:ext cx="71437" cy="83344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Altamirano Montoya Alvaro Jose" id="{AAEA81B5-F758-4EBB-9906-6CD2D21927E7}" userId="S::ALVAROALT@iadb.org::98b7ddac-2f8f-402d-aa98-53dad9a5560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6" dT="2024-12-20T20:41:17.34" personId="{AAEA81B5-F758-4EBB-9906-6CD2D21927E7}" id="{26B41ADF-6ECE-473E-9F1E-732782F4FCD9}">
    <text>3 weeks' basic pay for each year of service.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showGridLines="0" tabSelected="1" view="pageLayout" zoomScale="57" zoomScaleNormal="70" zoomScalePageLayoutView="57" workbookViewId="0">
      <selection sqref="A1:C1"/>
    </sheetView>
  </sheetViews>
  <sheetFormatPr defaultColWidth="9.1796875" defaultRowHeight="14.5"/>
  <cols>
    <col min="1" max="1" width="17.453125" style="2" customWidth="1"/>
    <col min="2" max="2" width="54.1796875" style="2" bestFit="1" customWidth="1"/>
    <col min="3" max="3" width="36.54296875" style="2" customWidth="1"/>
    <col min="4" max="4" width="26.1796875" style="2" customWidth="1"/>
    <col min="5" max="5" width="23.26953125" style="2" customWidth="1"/>
    <col min="6" max="6" width="21.1796875" style="2" customWidth="1"/>
    <col min="7" max="7" width="12.54296875" style="2" customWidth="1"/>
    <col min="8" max="8" width="11.7265625" style="2" customWidth="1"/>
    <col min="9" max="9" width="11.26953125" style="2" bestFit="1" customWidth="1"/>
    <col min="10" max="10" width="9.1796875" style="2"/>
    <col min="11" max="11" width="76" style="2" bestFit="1" customWidth="1"/>
    <col min="12" max="16384" width="9.1796875" style="2"/>
  </cols>
  <sheetData>
    <row r="1" spans="1:9" ht="28.5">
      <c r="A1" s="458" t="s">
        <v>0</v>
      </c>
      <c r="B1" s="458"/>
      <c r="C1" s="458"/>
    </row>
    <row r="2" spans="1:9" ht="18.5">
      <c r="A2" s="34">
        <v>2025</v>
      </c>
    </row>
    <row r="4" spans="1:9">
      <c r="B4" s="39"/>
      <c r="G4" s="40"/>
    </row>
    <row r="5" spans="1:9" ht="18.75" customHeight="1">
      <c r="A5" s="459" t="s">
        <v>219</v>
      </c>
      <c r="B5" s="459"/>
      <c r="C5" s="459"/>
      <c r="D5" s="459"/>
      <c r="E5" s="459"/>
      <c r="F5" s="459"/>
      <c r="G5" s="40"/>
    </row>
    <row r="6" spans="1:9" ht="15" thickBot="1">
      <c r="C6" s="200"/>
      <c r="G6" s="40"/>
    </row>
    <row r="7" spans="1:9">
      <c r="A7" s="286"/>
      <c r="B7" s="201"/>
      <c r="C7" s="202">
        <v>2024</v>
      </c>
      <c r="D7" s="202" t="s">
        <v>386</v>
      </c>
      <c r="E7" s="228" t="s">
        <v>255</v>
      </c>
      <c r="F7" s="210"/>
      <c r="G7" s="40"/>
    </row>
    <row r="8" spans="1:9">
      <c r="A8" s="443" t="s">
        <v>220</v>
      </c>
      <c r="B8" s="287" t="s">
        <v>221</v>
      </c>
      <c r="C8" s="328">
        <v>579245.8032349</v>
      </c>
      <c r="D8" s="325" t="s">
        <v>225</v>
      </c>
      <c r="E8" s="203" t="s">
        <v>224</v>
      </c>
      <c r="F8" s="1"/>
      <c r="G8" s="40"/>
    </row>
    <row r="9" spans="1:9">
      <c r="A9" s="443"/>
      <c r="B9" s="287" t="s">
        <v>238</v>
      </c>
      <c r="C9" s="328">
        <v>420.07632549364502</v>
      </c>
      <c r="D9" s="203" t="s">
        <v>226</v>
      </c>
      <c r="E9" s="203" t="s">
        <v>224</v>
      </c>
      <c r="F9" s="1"/>
    </row>
    <row r="10" spans="1:9" ht="15.5">
      <c r="A10" s="443"/>
      <c r="B10" s="287" t="s">
        <v>222</v>
      </c>
      <c r="C10" s="328">
        <v>22285744</v>
      </c>
      <c r="D10" s="203" t="s">
        <v>227</v>
      </c>
      <c r="E10" s="203" t="s">
        <v>224</v>
      </c>
      <c r="F10" s="318"/>
    </row>
    <row r="11" spans="1:9">
      <c r="A11" s="443"/>
      <c r="B11" s="287" t="s">
        <v>223</v>
      </c>
      <c r="C11" s="329">
        <f>+(C8/C9*1000000000)/C10</f>
        <v>61873.908692367106</v>
      </c>
      <c r="D11" s="203" t="s">
        <v>387</v>
      </c>
      <c r="E11" s="203" t="s">
        <v>229</v>
      </c>
      <c r="F11" s="1"/>
    </row>
    <row r="12" spans="1:9">
      <c r="A12" s="460"/>
      <c r="B12" s="460"/>
      <c r="C12" s="460"/>
      <c r="D12" s="460"/>
      <c r="E12" s="460"/>
      <c r="F12" s="460"/>
    </row>
    <row r="13" spans="1:9">
      <c r="C13" s="4"/>
      <c r="D13" s="1"/>
      <c r="E13" s="1"/>
      <c r="F13" s="1"/>
    </row>
    <row r="14" spans="1:9" ht="15.5">
      <c r="A14" s="330"/>
      <c r="B14" s="330"/>
      <c r="C14" s="314">
        <v>2024</v>
      </c>
      <c r="D14" s="314" t="s">
        <v>261</v>
      </c>
      <c r="E14" s="314" t="s">
        <v>255</v>
      </c>
      <c r="F14" s="210"/>
      <c r="I14" s="250"/>
    </row>
    <row r="15" spans="1:9" ht="36.65" customHeight="1">
      <c r="A15" s="443" t="s">
        <v>278</v>
      </c>
      <c r="B15" s="287" t="s">
        <v>231</v>
      </c>
      <c r="C15" s="328">
        <v>317800</v>
      </c>
      <c r="D15" s="203" t="s">
        <v>4</v>
      </c>
      <c r="E15" s="288" t="s">
        <v>359</v>
      </c>
      <c r="F15" s="213"/>
    </row>
    <row r="16" spans="1:9">
      <c r="A16" s="443"/>
      <c r="B16" s="287" t="s">
        <v>388</v>
      </c>
      <c r="C16" s="221">
        <f>+C15/C9</f>
        <v>756.52918461078025</v>
      </c>
      <c r="D16" s="203" t="s">
        <v>387</v>
      </c>
      <c r="E16" s="203" t="s">
        <v>229</v>
      </c>
      <c r="F16" s="214"/>
    </row>
    <row r="17" spans="1:8">
      <c r="A17" s="443"/>
      <c r="B17" s="287" t="s">
        <v>389</v>
      </c>
      <c r="C17" s="221">
        <f>+C16*12</f>
        <v>9078.350215329363</v>
      </c>
      <c r="D17" s="203" t="s">
        <v>387</v>
      </c>
      <c r="E17" s="203" t="s">
        <v>229</v>
      </c>
      <c r="F17" s="214"/>
    </row>
    <row r="18" spans="1:8">
      <c r="A18" s="443"/>
      <c r="B18" s="287" t="s">
        <v>390</v>
      </c>
      <c r="C18" s="221">
        <v>2064.417243654259</v>
      </c>
      <c r="D18" s="203" t="s">
        <v>387</v>
      </c>
      <c r="E18" s="203" t="s">
        <v>229</v>
      </c>
    </row>
    <row r="19" spans="1:8" ht="30.75" customHeight="1">
      <c r="A19" s="443"/>
      <c r="B19" s="287" t="s">
        <v>391</v>
      </c>
      <c r="C19" s="221">
        <f>+C18*12</f>
        <v>24773.006923851106</v>
      </c>
      <c r="D19" s="203" t="s">
        <v>387</v>
      </c>
      <c r="E19" s="203" t="s">
        <v>229</v>
      </c>
    </row>
    <row r="20" spans="1:8" ht="30.75" customHeight="1">
      <c r="A20" s="443"/>
      <c r="B20" s="287" t="s">
        <v>392</v>
      </c>
      <c r="C20" s="221">
        <v>10489.424927296124</v>
      </c>
      <c r="D20" s="203" t="s">
        <v>387</v>
      </c>
      <c r="E20" s="203" t="s">
        <v>229</v>
      </c>
    </row>
    <row r="21" spans="1:8" ht="30.75" customHeight="1">
      <c r="A21" s="178"/>
      <c r="B21" s="178"/>
      <c r="C21" s="178"/>
      <c r="D21" s="178"/>
      <c r="E21" s="178"/>
    </row>
    <row r="22" spans="1:8">
      <c r="D22" s="1"/>
      <c r="E22" s="1"/>
    </row>
    <row r="23" spans="1:8" ht="15" thickBot="1">
      <c r="A23" s="456" t="s">
        <v>402</v>
      </c>
      <c r="B23" s="456"/>
      <c r="C23" s="456"/>
      <c r="D23" s="456"/>
      <c r="E23" s="456"/>
      <c r="F23" s="456"/>
      <c r="G23" s="457"/>
      <c r="H23" s="457"/>
    </row>
    <row r="24" spans="1:8" ht="29.25" customHeight="1">
      <c r="A24" s="447"/>
      <c r="B24" s="449" t="s">
        <v>242</v>
      </c>
      <c r="C24" s="451" t="s">
        <v>44</v>
      </c>
      <c r="D24" s="449" t="s">
        <v>243</v>
      </c>
      <c r="E24" s="449" t="s">
        <v>254</v>
      </c>
      <c r="F24" s="451" t="s">
        <v>253</v>
      </c>
      <c r="G24" s="445" t="s">
        <v>260</v>
      </c>
      <c r="H24" s="445"/>
    </row>
    <row r="25" spans="1:8" ht="15.75" customHeight="1">
      <c r="A25" s="448"/>
      <c r="B25" s="450"/>
      <c r="C25" s="452"/>
      <c r="D25" s="450"/>
      <c r="E25" s="450"/>
      <c r="F25" s="452"/>
      <c r="G25" s="338" t="s">
        <v>6</v>
      </c>
      <c r="H25" s="338" t="s">
        <v>7</v>
      </c>
    </row>
    <row r="26" spans="1:8" ht="28.5" customHeight="1">
      <c r="A26" s="443" t="s">
        <v>232</v>
      </c>
      <c r="B26" s="391" t="s">
        <v>316</v>
      </c>
      <c r="C26" s="398" t="s">
        <v>248</v>
      </c>
      <c r="D26" s="303">
        <v>0.11</v>
      </c>
      <c r="E26" s="303">
        <v>0.1077</v>
      </c>
      <c r="F26" s="454" t="s">
        <v>247</v>
      </c>
      <c r="G26" s="446">
        <f>SUM(D26:E31)</f>
        <v>0.4194</v>
      </c>
      <c r="H26" s="446">
        <f>SUM(D26:E31)</f>
        <v>0.4194</v>
      </c>
    </row>
    <row r="27" spans="1:8">
      <c r="A27" s="443"/>
      <c r="B27" s="453" t="s">
        <v>233</v>
      </c>
      <c r="C27" s="399" t="s">
        <v>249</v>
      </c>
      <c r="D27" s="304">
        <v>0.03</v>
      </c>
      <c r="E27" s="304">
        <v>0.06</v>
      </c>
      <c r="F27" s="454"/>
      <c r="G27" s="446"/>
      <c r="H27" s="446"/>
    </row>
    <row r="28" spans="1:8">
      <c r="A28" s="443"/>
      <c r="B28" s="453"/>
      <c r="C28" s="399" t="s">
        <v>252</v>
      </c>
      <c r="D28" s="304">
        <v>0.03</v>
      </c>
      <c r="E28" s="304">
        <v>1.5699999999999999E-2</v>
      </c>
      <c r="F28" s="454"/>
      <c r="G28" s="446"/>
      <c r="H28" s="446"/>
    </row>
    <row r="29" spans="1:8">
      <c r="A29" s="443"/>
      <c r="B29" s="455" t="s">
        <v>234</v>
      </c>
      <c r="C29" s="398" t="s">
        <v>250</v>
      </c>
      <c r="D29" s="303"/>
      <c r="E29" s="303">
        <v>0.01</v>
      </c>
      <c r="F29" s="454"/>
      <c r="G29" s="446"/>
      <c r="H29" s="446"/>
    </row>
    <row r="30" spans="1:8">
      <c r="A30" s="443"/>
      <c r="B30" s="455"/>
      <c r="C30" s="398" t="s">
        <v>312</v>
      </c>
      <c r="D30" s="303"/>
      <c r="E30" s="303">
        <v>8.9999999999999993E-3</v>
      </c>
      <c r="F30" s="454"/>
      <c r="G30" s="446"/>
      <c r="H30" s="446"/>
    </row>
    <row r="31" spans="1:8">
      <c r="A31" s="443"/>
      <c r="B31" s="455"/>
      <c r="C31" s="398" t="s">
        <v>251</v>
      </c>
      <c r="D31" s="303"/>
      <c r="E31" s="303">
        <v>4.7E-2</v>
      </c>
      <c r="F31" s="454"/>
      <c r="G31" s="446"/>
      <c r="H31" s="446"/>
    </row>
    <row r="32" spans="1:8">
      <c r="A32" s="208"/>
      <c r="B32" s="172"/>
      <c r="C32" s="62"/>
      <c r="D32" s="62"/>
      <c r="E32" s="321"/>
      <c r="F32" s="251"/>
    </row>
    <row r="33" spans="1:8">
      <c r="A33" s="208"/>
      <c r="B33" s="172"/>
      <c r="C33" s="8"/>
      <c r="D33" s="264"/>
      <c r="E33" s="8"/>
      <c r="F33" s="252"/>
      <c r="G33" s="59"/>
      <c r="H33" s="59"/>
    </row>
    <row r="34" spans="1:8" ht="15" thickBot="1">
      <c r="A34" s="65"/>
      <c r="B34" s="54"/>
      <c r="C34" s="8"/>
      <c r="D34" s="8"/>
      <c r="E34" s="264"/>
      <c r="F34" s="268"/>
      <c r="G34" s="6"/>
    </row>
    <row r="35" spans="1:8">
      <c r="A35" s="382"/>
      <c r="B35" s="383" t="s">
        <v>44</v>
      </c>
      <c r="C35" s="383" t="s">
        <v>13</v>
      </c>
      <c r="D35" s="378" t="s">
        <v>256</v>
      </c>
      <c r="E35" s="384" t="s">
        <v>255</v>
      </c>
    </row>
    <row r="36" spans="1:8" ht="52.5" customHeight="1">
      <c r="A36" s="443" t="s">
        <v>235</v>
      </c>
      <c r="B36" s="339" t="s">
        <v>239</v>
      </c>
      <c r="C36" s="340">
        <v>30</v>
      </c>
      <c r="D36" s="385">
        <f>(($C$16/30.43)*C36)/$C$17</f>
        <v>8.2155767334866903E-2</v>
      </c>
      <c r="E36" s="203" t="s">
        <v>244</v>
      </c>
    </row>
    <row r="37" spans="1:8">
      <c r="A37" s="443"/>
      <c r="B37" s="342" t="s">
        <v>236</v>
      </c>
      <c r="C37" s="327">
        <v>14</v>
      </c>
      <c r="D37" s="297">
        <f>(($C$16/30.43)*C37)/$C$17</f>
        <v>3.8339358089604557E-2</v>
      </c>
      <c r="E37" s="375" t="s">
        <v>245</v>
      </c>
    </row>
    <row r="38" spans="1:8" ht="27" customHeight="1">
      <c r="A38" s="443"/>
      <c r="B38" s="339" t="s">
        <v>240</v>
      </c>
      <c r="C38" s="340">
        <v>60</v>
      </c>
      <c r="D38" s="385">
        <f>(($C$16/30.43)*C38)/$C$17/5</f>
        <v>3.2862306933946761E-2</v>
      </c>
      <c r="E38" s="203" t="s">
        <v>246</v>
      </c>
    </row>
    <row r="39" spans="1:8">
      <c r="A39" s="443"/>
      <c r="B39" s="342" t="s">
        <v>241</v>
      </c>
      <c r="C39" s="327">
        <v>150</v>
      </c>
      <c r="D39" s="297">
        <f>(($C$16/30.43)*C39)/$C$17/5</f>
        <v>8.2155767334866917E-2</v>
      </c>
      <c r="E39" s="297" t="s">
        <v>360</v>
      </c>
    </row>
    <row r="40" spans="1:8">
      <c r="A40" s="444" t="s">
        <v>393</v>
      </c>
      <c r="B40" s="444"/>
      <c r="C40" s="444"/>
      <c r="D40" s="444"/>
      <c r="E40" s="444"/>
      <c r="F40" s="444"/>
    </row>
    <row r="41" spans="1:8">
      <c r="A41" s="39"/>
      <c r="E41" s="331"/>
    </row>
    <row r="42" spans="1:8">
      <c r="A42" s="39"/>
      <c r="C42" s="302"/>
      <c r="E42" s="332"/>
    </row>
    <row r="43" spans="1:8">
      <c r="A43" s="39"/>
      <c r="B43" s="1"/>
      <c r="C43"/>
    </row>
    <row r="44" spans="1:8">
      <c r="A44" s="39"/>
      <c r="B44" s="1"/>
      <c r="C44" s="302"/>
    </row>
    <row r="45" spans="1:8">
      <c r="A45" s="39"/>
      <c r="C45"/>
    </row>
    <row r="46" spans="1:8">
      <c r="C46" s="302"/>
    </row>
    <row r="47" spans="1:8">
      <c r="C47"/>
    </row>
    <row r="48" spans="1:8">
      <c r="C48" s="302"/>
    </row>
    <row r="49" spans="3:3">
      <c r="C49"/>
    </row>
    <row r="50" spans="3:3">
      <c r="C50" s="302"/>
    </row>
    <row r="51" spans="3:3">
      <c r="C51" s="3"/>
    </row>
    <row r="52" spans="3:3">
      <c r="C52" s="3"/>
    </row>
  </sheetData>
  <mergeCells count="21">
    <mergeCell ref="A23:H23"/>
    <mergeCell ref="A1:C1"/>
    <mergeCell ref="A5:F5"/>
    <mergeCell ref="A8:A11"/>
    <mergeCell ref="A12:F12"/>
    <mergeCell ref="A15:A20"/>
    <mergeCell ref="A36:A39"/>
    <mergeCell ref="A40:F40"/>
    <mergeCell ref="G24:H24"/>
    <mergeCell ref="A26:A31"/>
    <mergeCell ref="G26:G31"/>
    <mergeCell ref="H26:H31"/>
    <mergeCell ref="A24:A25"/>
    <mergeCell ref="B24:B25"/>
    <mergeCell ref="C24:C25"/>
    <mergeCell ref="D24:D25"/>
    <mergeCell ref="E24:E25"/>
    <mergeCell ref="F24:F25"/>
    <mergeCell ref="B27:B28"/>
    <mergeCell ref="F26:F31"/>
    <mergeCell ref="B29:B31"/>
  </mergeCells>
  <pageMargins left="0.25" right="0.25" top="0.75" bottom="0.75" header="0.3" footer="0.3"/>
  <pageSetup scale="4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6"/>
  <sheetViews>
    <sheetView showGridLines="0" view="pageLayout" zoomScale="47" zoomScaleNormal="80" zoomScalePageLayoutView="47" workbookViewId="0">
      <selection activeCell="H32" sqref="H32"/>
    </sheetView>
  </sheetViews>
  <sheetFormatPr defaultColWidth="9.1796875" defaultRowHeight="14.5"/>
  <cols>
    <col min="1" max="1" width="16.179687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16.269531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46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 ht="15" thickBot="1">
      <c r="A7" s="219"/>
      <c r="B7" s="220"/>
      <c r="C7" s="11">
        <v>2024</v>
      </c>
      <c r="D7" s="11" t="str">
        <f>+ARG!$D$7</f>
        <v>Units</v>
      </c>
      <c r="E7" s="12" t="str">
        <f>+ARG!$E$7</f>
        <v>Source</v>
      </c>
      <c r="F7" s="210"/>
      <c r="G7" s="40"/>
    </row>
    <row r="8" spans="1:7" ht="15" customHeight="1">
      <c r="A8" s="485" t="str">
        <f>+ARG!$A$8</f>
        <v>Country data</v>
      </c>
      <c r="B8" s="35" t="str">
        <f>+ARG!$B$8</f>
        <v>GDP (current prices in local currency)</v>
      </c>
      <c r="C8" s="320">
        <v>919.89400000000001</v>
      </c>
      <c r="D8" s="10" t="str">
        <f>+ARG!$D$8</f>
        <v>Billions</v>
      </c>
      <c r="E8" s="15" t="str">
        <f>+ARG!$E$8</f>
        <v>IDM, World Bank</v>
      </c>
      <c r="F8" s="1"/>
      <c r="G8" s="40"/>
    </row>
    <row r="9" spans="1:7">
      <c r="A9" s="486"/>
      <c r="B9" s="36" t="str">
        <f>+ARG!$B$9</f>
        <v>Purchasing Power Parity (PPP) conversion factor</v>
      </c>
      <c r="C9" s="233">
        <v>11.350909894053499</v>
      </c>
      <c r="D9" s="19" t="str">
        <f>+ARG!$D$9</f>
        <v>Local currency per dollar</v>
      </c>
      <c r="E9" s="20" t="str">
        <f>+ARG!$E$9</f>
        <v>IDM, World Bank</v>
      </c>
      <c r="F9" s="1"/>
    </row>
    <row r="10" spans="1:7">
      <c r="A10" s="486"/>
      <c r="B10" s="36" t="str">
        <f>+ARG!$B$10</f>
        <v>Employment</v>
      </c>
      <c r="C10" s="233">
        <v>4295619</v>
      </c>
      <c r="D10" s="19" t="str">
        <f>+ARG!$D$10</f>
        <v>Workers</v>
      </c>
      <c r="E10" s="211" t="str">
        <f>+ARG!$E$10</f>
        <v>IDM, World Bank</v>
      </c>
      <c r="F10" s="1"/>
    </row>
    <row r="11" spans="1:7" ht="15" thickBot="1">
      <c r="A11" s="487"/>
      <c r="B11" s="37" t="str">
        <f>+ARG!$B$11</f>
        <v>GDP per worker</v>
      </c>
      <c r="C11" s="16">
        <f>+((C8*1000000000/C10)/C9)</f>
        <v>18866.066258868956</v>
      </c>
      <c r="D11" s="17" t="str">
        <f>+ARG!$D$11</f>
        <v>US $ PPP</v>
      </c>
      <c r="E11" s="212" t="str">
        <f>+ARG!$E$11</f>
        <v>Own calculations</v>
      </c>
      <c r="F11" s="1"/>
    </row>
    <row r="12" spans="1:7">
      <c r="A12" s="279"/>
      <c r="B12" s="279"/>
      <c r="C12" s="279"/>
      <c r="D12" s="280"/>
      <c r="E12" s="279"/>
      <c r="F12" s="1"/>
    </row>
    <row r="13" spans="1:7">
      <c r="C13" s="274"/>
      <c r="D13" s="1"/>
      <c r="E13" s="1"/>
      <c r="F13" s="1"/>
    </row>
    <row r="14" spans="1:7">
      <c r="A14" s="313"/>
      <c r="B14" s="313"/>
      <c r="C14" s="314">
        <v>2024</v>
      </c>
      <c r="D14" s="314" t="s">
        <v>386</v>
      </c>
      <c r="E14" s="314" t="s">
        <v>255</v>
      </c>
      <c r="F14" s="210"/>
    </row>
    <row r="15" spans="1:7" ht="15" customHeight="1">
      <c r="A15" s="443" t="str">
        <f>+ARG!$A$15</f>
        <v>Wages</v>
      </c>
      <c r="B15" s="287" t="str">
        <f>+ARG!$B$15</f>
        <v>Monthly minimum wage</v>
      </c>
      <c r="C15" s="346">
        <v>14197.892954545452</v>
      </c>
      <c r="D15" s="203" t="s">
        <v>47</v>
      </c>
      <c r="E15" s="288"/>
      <c r="F15" s="215"/>
    </row>
    <row r="16" spans="1:7">
      <c r="A16" s="443"/>
      <c r="B16" s="287" t="str">
        <f>+ARG!$B$16</f>
        <v>Monthly minimum wage (US $ PPP)</v>
      </c>
      <c r="C16" s="221">
        <f>+C15/C9</f>
        <v>1250.8154048499166</v>
      </c>
      <c r="D16" s="203" t="s">
        <v>387</v>
      </c>
      <c r="E16" s="203" t="s">
        <v>229</v>
      </c>
      <c r="F16" s="292"/>
    </row>
    <row r="17" spans="1:8">
      <c r="A17" s="443"/>
      <c r="B17" s="287" t="str">
        <f>+ARG!$B$17</f>
        <v>Annual minimum wage (US $ PPP)</v>
      </c>
      <c r="C17" s="221">
        <f>+C16*12</f>
        <v>15009.784858199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1131.5457293925049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21">
        <f>+C18*12</f>
        <v>13578.548752710059</v>
      </c>
      <c r="D19" s="203" t="s">
        <v>387</v>
      </c>
      <c r="E19" s="203" t="s">
        <v>229</v>
      </c>
      <c r="F19" s="214"/>
    </row>
    <row r="20" spans="1:8" ht="29">
      <c r="A20" s="443"/>
      <c r="B20" s="287" t="s">
        <v>392</v>
      </c>
      <c r="C20" s="262">
        <f>C19*(5119/12042)</f>
        <v>5772.1799589040693</v>
      </c>
      <c r="D20" s="203" t="s">
        <v>387</v>
      </c>
      <c r="E20" s="203" t="s">
        <v>230</v>
      </c>
      <c r="F20" s="1"/>
    </row>
    <row r="21" spans="1:8">
      <c r="A21" s="443"/>
      <c r="B21" s="287" t="s">
        <v>380</v>
      </c>
      <c r="C21" s="291">
        <f>11903/C9*12</f>
        <v>12583.660810736304</v>
      </c>
      <c r="D21" s="203" t="s">
        <v>387</v>
      </c>
      <c r="E21" s="287"/>
    </row>
    <row r="22" spans="1:8">
      <c r="A22" s="178"/>
      <c r="C22" s="200"/>
      <c r="D22" s="1"/>
    </row>
    <row r="23" spans="1:8" ht="15" thickBot="1">
      <c r="A23" s="456" t="s">
        <v>402</v>
      </c>
      <c r="B23" s="456"/>
      <c r="C23" s="456"/>
      <c r="D23" s="456"/>
      <c r="E23" s="456"/>
      <c r="F23" s="456"/>
      <c r="G23" s="456"/>
      <c r="H23" s="456"/>
    </row>
    <row r="24" spans="1:8" ht="29.25" customHeight="1" thickBot="1">
      <c r="A24" s="448"/>
      <c r="B24" s="450" t="str">
        <f>+ARG!$B$24</f>
        <v>Category</v>
      </c>
      <c r="C24" s="452" t="str">
        <f>+ARG!$C$24</f>
        <v>Description</v>
      </c>
      <c r="D24" s="450" t="str">
        <f>+ARG!$D$24</f>
        <v>Worker's contribution</v>
      </c>
      <c r="E24" s="450" t="str">
        <f>+ARG!$E$24</f>
        <v>Employer Contribution</v>
      </c>
      <c r="F24" s="451" t="str">
        <f>+ARG!$F$24</f>
        <v>Contribution Base</v>
      </c>
      <c r="G24" s="467" t="str">
        <f>+ARG!$G$24</f>
        <v>Total contribution applied to each indicator</v>
      </c>
      <c r="H24" s="468"/>
    </row>
    <row r="25" spans="1:8" ht="15.75" customHeight="1">
      <c r="A25" s="448"/>
      <c r="B25" s="450"/>
      <c r="C25" s="452"/>
      <c r="D25" s="450"/>
      <c r="E25" s="450"/>
      <c r="F25" s="452"/>
      <c r="G25" s="295" t="str">
        <f>+ARG!$G$25</f>
        <v>ACSL</v>
      </c>
      <c r="H25" s="295" t="str">
        <f>+ARG!$H$25</f>
        <v>MCSL</v>
      </c>
    </row>
    <row r="26" spans="1:8" ht="28.5" customHeight="1">
      <c r="A26" s="443" t="str">
        <f>+ARG!$A$26</f>
        <v>Mandatory contributions</v>
      </c>
      <c r="B26" s="293" t="s">
        <v>316</v>
      </c>
      <c r="C26" s="296" t="s">
        <v>297</v>
      </c>
      <c r="D26" s="303">
        <v>2.5000000000000001E-2</v>
      </c>
      <c r="E26" s="303">
        <v>3.5000000000000003E-2</v>
      </c>
      <c r="F26" s="470" t="s">
        <v>409</v>
      </c>
      <c r="G26" s="475">
        <f>SUM(D26:E30)-E30</f>
        <v>0.14700000000000002</v>
      </c>
      <c r="H26" s="475">
        <f>+G26-E26-E28-E27</f>
        <v>6.0000000000000012E-2</v>
      </c>
    </row>
    <row r="27" spans="1:8" ht="14.9" customHeight="1">
      <c r="A27" s="443"/>
      <c r="B27" s="294" t="s">
        <v>233</v>
      </c>
      <c r="C27" s="298" t="s">
        <v>295</v>
      </c>
      <c r="D27" s="238">
        <v>2.5000000000000001E-2</v>
      </c>
      <c r="E27" s="304">
        <v>0.05</v>
      </c>
      <c r="F27" s="470"/>
      <c r="G27" s="475"/>
      <c r="H27" s="475"/>
    </row>
    <row r="28" spans="1:8" ht="14.9" customHeight="1">
      <c r="A28" s="443"/>
      <c r="B28" s="476" t="s">
        <v>234</v>
      </c>
      <c r="C28" s="299" t="s">
        <v>293</v>
      </c>
      <c r="D28" s="306"/>
      <c r="E28" s="297">
        <v>2E-3</v>
      </c>
      <c r="F28" s="470"/>
      <c r="G28" s="475"/>
      <c r="H28" s="475"/>
    </row>
    <row r="29" spans="1:8" ht="26">
      <c r="A29" s="443"/>
      <c r="B29" s="476"/>
      <c r="C29" s="299" t="s">
        <v>48</v>
      </c>
      <c r="D29" s="297"/>
      <c r="E29" s="297">
        <v>0.01</v>
      </c>
      <c r="F29" s="470"/>
      <c r="G29" s="475"/>
      <c r="H29" s="475"/>
    </row>
    <row r="30" spans="1:8" ht="26">
      <c r="A30" s="443"/>
      <c r="B30" s="476"/>
      <c r="C30" s="299" t="s">
        <v>378</v>
      </c>
      <c r="D30" s="297"/>
      <c r="E30" s="303">
        <v>0.04</v>
      </c>
      <c r="F30" s="470"/>
      <c r="G30" s="475"/>
      <c r="H30" s="475"/>
    </row>
    <row r="31" spans="1:8" ht="26">
      <c r="A31" s="443"/>
      <c r="B31" s="476"/>
      <c r="C31" s="299" t="s">
        <v>371</v>
      </c>
      <c r="D31" s="297">
        <v>1.4999999999999999E-2</v>
      </c>
      <c r="E31" s="303">
        <v>1.4999999999999999E-2</v>
      </c>
      <c r="F31" s="470"/>
      <c r="G31" s="475"/>
      <c r="H31" s="475"/>
    </row>
    <row r="32" spans="1:8" ht="15" customHeight="1">
      <c r="A32" s="52"/>
      <c r="B32" s="174"/>
      <c r="C32" s="54"/>
      <c r="D32" s="62"/>
      <c r="E32" s="62"/>
      <c r="F32" s="323"/>
      <c r="H32" s="273"/>
    </row>
    <row r="33" spans="1:8">
      <c r="A33" s="65"/>
      <c r="B33" s="174"/>
      <c r="C33" s="54"/>
      <c r="D33" s="8"/>
      <c r="E33" s="8"/>
      <c r="F33" s="8"/>
      <c r="G33" s="59"/>
      <c r="H33" s="59"/>
    </row>
    <row r="34" spans="1:8">
      <c r="A34" s="65"/>
      <c r="B34" s="174"/>
      <c r="C34" s="54"/>
      <c r="D34" s="8"/>
      <c r="E34" s="412"/>
      <c r="F34" s="8"/>
    </row>
    <row r="35" spans="1:8">
      <c r="A35" s="65"/>
      <c r="B35" s="65"/>
      <c r="C35" s="54"/>
      <c r="D35" s="8"/>
      <c r="E35" s="8"/>
      <c r="F35" s="8"/>
    </row>
    <row r="36" spans="1:8">
      <c r="A36" s="65"/>
      <c r="B36" s="175"/>
      <c r="C36" s="176"/>
      <c r="D36" s="8"/>
      <c r="E36" s="8"/>
      <c r="F36" s="8"/>
    </row>
    <row r="37" spans="1:8">
      <c r="A37" s="65"/>
      <c r="B37" s="54" t="s">
        <v>40</v>
      </c>
      <c r="C37" s="8"/>
      <c r="D37" s="8"/>
      <c r="E37" s="8"/>
      <c r="F37" s="8"/>
    </row>
    <row r="38" spans="1:8" ht="15" thickBot="1">
      <c r="A38" s="65"/>
      <c r="B38" s="54"/>
      <c r="C38" s="8"/>
      <c r="D38" s="8"/>
      <c r="E38" s="8"/>
      <c r="F38" s="8"/>
    </row>
    <row r="39" spans="1:8">
      <c r="A39" s="382"/>
      <c r="B39" s="383" t="s">
        <v>241</v>
      </c>
      <c r="C39" s="383" t="s">
        <v>13</v>
      </c>
      <c r="D39" s="378" t="s">
        <v>14</v>
      </c>
      <c r="E39" s="384" t="s">
        <v>255</v>
      </c>
    </row>
    <row r="40" spans="1:8" ht="78">
      <c r="A40" s="443" t="s">
        <v>235</v>
      </c>
      <c r="B40" s="339" t="str">
        <f>+ARG!$B$36</f>
        <v>Bonus</v>
      </c>
      <c r="C40" s="392">
        <v>60</v>
      </c>
      <c r="D40" s="385">
        <f>(($C$16/30.43)*C40)/$C$17</f>
        <v>0.16431153466973381</v>
      </c>
      <c r="E40" s="203" t="s">
        <v>337</v>
      </c>
      <c r="G40" s="40"/>
    </row>
    <row r="41" spans="1:8">
      <c r="A41" s="443"/>
      <c r="B41" s="342" t="str">
        <f>+ARG!$B$37</f>
        <v>Paid leave</v>
      </c>
      <c r="C41" s="327">
        <v>20</v>
      </c>
      <c r="D41" s="297">
        <f>(($C$16/30.43)*C41)/$C$17</f>
        <v>5.477051155657793E-2</v>
      </c>
      <c r="E41" s="375" t="s">
        <v>331</v>
      </c>
      <c r="G41" s="40"/>
    </row>
    <row r="42" spans="1:8">
      <c r="A42" s="443"/>
      <c r="B42" s="339" t="str">
        <f>+ARG!$B$38</f>
        <v>Firing notice *</v>
      </c>
      <c r="C42" s="340">
        <v>60</v>
      </c>
      <c r="D42" s="385">
        <f>(($C$16/30.43)*C42)/$C$17/5</f>
        <v>3.2862306933946761E-2</v>
      </c>
      <c r="E42" s="375" t="s">
        <v>332</v>
      </c>
      <c r="G42" s="40"/>
    </row>
    <row r="43" spans="1:8">
      <c r="A43" s="443"/>
      <c r="B43" s="342" t="str">
        <f>+ARG!$B$39</f>
        <v>Severance pay *</v>
      </c>
      <c r="C43" s="327">
        <v>150</v>
      </c>
      <c r="D43" s="297">
        <f>(($C$16/30.43)*C43)/$C$17/5</f>
        <v>8.2155767334866903E-2</v>
      </c>
      <c r="E43" s="377" t="s">
        <v>333</v>
      </c>
      <c r="G43" s="40"/>
    </row>
    <row r="44" spans="1:8" ht="15" customHeight="1">
      <c r="A44" s="444" t="s">
        <v>394</v>
      </c>
      <c r="B44" s="444"/>
      <c r="C44" s="444"/>
      <c r="D44" s="444"/>
      <c r="E44" s="444"/>
      <c r="F44" s="444"/>
    </row>
    <row r="45" spans="1:8">
      <c r="A45" s="444"/>
      <c r="B45" s="444"/>
      <c r="C45" s="444"/>
      <c r="D45" s="444"/>
      <c r="E45" s="444"/>
      <c r="F45" s="444"/>
    </row>
    <row r="46" spans="1:8">
      <c r="E46" s="40"/>
    </row>
    <row r="47" spans="1:8">
      <c r="B47" s="1"/>
      <c r="C47" s="1"/>
    </row>
    <row r="48" spans="1:8">
      <c r="A48" s="39"/>
      <c r="B48" s="1"/>
      <c r="C48" s="7"/>
    </row>
    <row r="49" spans="1:4">
      <c r="C49" s="3"/>
    </row>
    <row r="50" spans="1:4">
      <c r="A50" s="488"/>
      <c r="B50" s="464"/>
      <c r="C50" s="463"/>
      <c r="D50" s="344"/>
    </row>
    <row r="51" spans="1:4">
      <c r="A51" s="488"/>
      <c r="B51" s="464"/>
      <c r="C51" s="463"/>
      <c r="D51" s="335"/>
    </row>
    <row r="52" spans="1:4">
      <c r="A52" s="488"/>
      <c r="B52" s="464"/>
      <c r="C52" s="463"/>
      <c r="D52" s="345"/>
    </row>
    <row r="53" spans="1:4">
      <c r="C53" s="3"/>
    </row>
    <row r="54" spans="1:4">
      <c r="C54" s="3"/>
    </row>
    <row r="55" spans="1:4">
      <c r="C55" s="3"/>
    </row>
    <row r="56" spans="1:4">
      <c r="C56" s="3"/>
    </row>
  </sheetData>
  <mergeCells count="22">
    <mergeCell ref="A50:A52"/>
    <mergeCell ref="B50:B52"/>
    <mergeCell ref="C50:C52"/>
    <mergeCell ref="G24:H24"/>
    <mergeCell ref="A26:A31"/>
    <mergeCell ref="G26:G31"/>
    <mergeCell ref="H26:H31"/>
    <mergeCell ref="A24:A25"/>
    <mergeCell ref="B24:B25"/>
    <mergeCell ref="C24:C25"/>
    <mergeCell ref="D24:D25"/>
    <mergeCell ref="E24:E25"/>
    <mergeCell ref="F24:F25"/>
    <mergeCell ref="F26:F31"/>
    <mergeCell ref="B28:B31"/>
    <mergeCell ref="A44:F45"/>
    <mergeCell ref="A1:C1"/>
    <mergeCell ref="A5:F5"/>
    <mergeCell ref="A8:A11"/>
    <mergeCell ref="A40:A43"/>
    <mergeCell ref="A15:A21"/>
    <mergeCell ref="A23:H23"/>
  </mergeCells>
  <pageMargins left="0.37643229166666664" right="0.7" top="0.75" bottom="0.75" header="0.3" footer="0.3"/>
  <pageSetup scale="4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showGridLines="0" view="pageLayout" zoomScale="40" zoomScaleNormal="80" zoomScalePageLayoutView="40" workbookViewId="0">
      <selection activeCell="G25" sqref="G25:H30"/>
    </sheetView>
  </sheetViews>
  <sheetFormatPr defaultColWidth="9.1796875" defaultRowHeight="14.5"/>
  <cols>
    <col min="1" max="1" width="15.816406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16.269531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49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47">
        <v>3117.8850000000002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47">
        <v>94.163383968611996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47">
        <v>1570210</v>
      </c>
      <c r="D10" s="203" t="str">
        <f>+ARG!$D$10</f>
        <v>Workers</v>
      </c>
      <c r="E10" s="203" t="str">
        <f>+ARG!$E$10</f>
        <v>IDM, World Bank</v>
      </c>
      <c r="F10" s="217"/>
    </row>
    <row r="11" spans="1:7">
      <c r="A11" s="443"/>
      <c r="B11" s="287" t="str">
        <f>+ARG!$B$11</f>
        <v>GDP per worker</v>
      </c>
      <c r="C11" s="221">
        <f>+((C8*1000000000/C10)/C9)</f>
        <v>21087.266969034772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4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15" customHeight="1">
      <c r="A15" s="443" t="str">
        <f>+ARG!$A$15</f>
        <v>Wages</v>
      </c>
      <c r="B15" s="287" t="str">
        <f>+ARG!$B$15</f>
        <v>Monthly minimum wage</v>
      </c>
      <c r="C15" s="347">
        <v>69280</v>
      </c>
      <c r="D15" s="203" t="s">
        <v>50</v>
      </c>
      <c r="E15" s="288" t="s">
        <v>51</v>
      </c>
      <c r="F15" s="215"/>
    </row>
    <row r="16" spans="1:7">
      <c r="A16" s="443"/>
      <c r="B16" s="287" t="str">
        <f>+ARG!$B$16</f>
        <v>Monthly minimum wage (US $ PPP)</v>
      </c>
      <c r="C16" s="221">
        <f>+C15/C9</f>
        <v>735.74246251699583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+C16*12</f>
        <v>8828.909550203949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f>C19/12</f>
        <v>1100.3853185345583</v>
      </c>
      <c r="D18" s="203" t="s">
        <v>387</v>
      </c>
      <c r="E18" s="203" t="s">
        <v>229</v>
      </c>
      <c r="F18" s="214"/>
    </row>
    <row r="19" spans="1:8" ht="26">
      <c r="A19" s="443"/>
      <c r="B19" s="287" t="str">
        <f>+ARG!$B$19</f>
        <v>Annual wage of formal wage workers (US $ PPP)</v>
      </c>
      <c r="C19" s="221">
        <f>12531.672983216*C9*(1.0537)/C9</f>
        <v>13204.6238224147</v>
      </c>
      <c r="D19" s="203" t="s">
        <v>387</v>
      </c>
      <c r="E19" s="203" t="s">
        <v>375</v>
      </c>
      <c r="F19" s="214"/>
    </row>
    <row r="20" spans="1:8" ht="29">
      <c r="A20" s="443"/>
      <c r="B20" s="287" t="str">
        <f>+ARG!$B$20</f>
        <v>Annual average wage of informal wage workers (US $ PPP)</v>
      </c>
      <c r="C20" s="221">
        <f>C19*0.5</f>
        <v>6602.31191120735</v>
      </c>
      <c r="D20" s="203" t="s">
        <v>387</v>
      </c>
      <c r="E20" s="203" t="s">
        <v>373</v>
      </c>
      <c r="F20" s="1"/>
    </row>
    <row r="21" spans="1:8">
      <c r="A21" s="178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0.75" customHeight="1">
      <c r="A23" s="478"/>
      <c r="B23" s="445" t="str">
        <f>+ARG!$B$24</f>
        <v>Category</v>
      </c>
      <c r="C23" s="479" t="str">
        <f>+ARG!$C$24</f>
        <v>Description</v>
      </c>
      <c r="D23" s="445" t="str">
        <f>+ARG!$D$24</f>
        <v>Worker's contribution</v>
      </c>
      <c r="E23" s="445" t="str">
        <f>+ARG!$E$24</f>
        <v>Employer Contribution</v>
      </c>
      <c r="F23" s="479" t="str">
        <f>+ARG!$F$24</f>
        <v>Contribution Base</v>
      </c>
      <c r="G23" s="445" t="str">
        <f>+ARG!$G$24</f>
        <v>Total contribution applied to each indicator</v>
      </c>
      <c r="H23" s="445"/>
    </row>
    <row r="24" spans="1:8" ht="15.75" customHeight="1">
      <c r="A24" s="478"/>
      <c r="B24" s="445"/>
      <c r="C24" s="479"/>
      <c r="D24" s="445"/>
      <c r="E24" s="445"/>
      <c r="F24" s="479"/>
      <c r="G24" s="338" t="str">
        <f>+ARG!$G$25</f>
        <v>ACSL</v>
      </c>
      <c r="H24" s="338" t="str">
        <f>+ARG!$H$25</f>
        <v>MCSL</v>
      </c>
    </row>
    <row r="25" spans="1:8" ht="28.5" customHeight="1">
      <c r="A25" s="443" t="str">
        <f>+ARG!$A$26</f>
        <v>Mandatory contributions</v>
      </c>
      <c r="B25" s="293" t="s">
        <v>316</v>
      </c>
      <c r="C25" s="296" t="s">
        <v>297</v>
      </c>
      <c r="D25" s="303">
        <v>0.03</v>
      </c>
      <c r="E25" s="303">
        <v>0.03</v>
      </c>
      <c r="F25" s="470" t="s">
        <v>247</v>
      </c>
      <c r="G25" s="489">
        <f>H25</f>
        <v>0.19500000000000001</v>
      </c>
      <c r="H25" s="475">
        <f>SUM(D25:E30)</f>
        <v>0.19500000000000001</v>
      </c>
    </row>
    <row r="26" spans="1:8" ht="15" customHeight="1">
      <c r="A26" s="443"/>
      <c r="B26" s="294" t="s">
        <v>233</v>
      </c>
      <c r="C26" s="298" t="s">
        <v>295</v>
      </c>
      <c r="D26" s="238"/>
      <c r="E26" s="304"/>
      <c r="F26" s="470"/>
      <c r="G26" s="489"/>
      <c r="H26" s="475"/>
    </row>
    <row r="27" spans="1:8" ht="15" customHeight="1">
      <c r="A27" s="443"/>
      <c r="B27" s="471" t="s">
        <v>234</v>
      </c>
      <c r="C27" s="299" t="s">
        <v>293</v>
      </c>
      <c r="D27" s="303"/>
      <c r="E27" s="303"/>
      <c r="F27" s="470"/>
      <c r="G27" s="489"/>
      <c r="H27" s="475"/>
    </row>
    <row r="28" spans="1:8" ht="14.9" customHeight="1">
      <c r="A28" s="443"/>
      <c r="B28" s="471"/>
      <c r="C28" s="299" t="s">
        <v>53</v>
      </c>
      <c r="D28" s="303">
        <v>0.02</v>
      </c>
      <c r="E28" s="303">
        <v>0.03</v>
      </c>
      <c r="F28" s="470"/>
      <c r="G28" s="489"/>
      <c r="H28" s="475"/>
    </row>
    <row r="29" spans="1:8" ht="14.9" customHeight="1">
      <c r="A29" s="443"/>
      <c r="B29" s="471"/>
      <c r="C29" s="299" t="s">
        <v>54</v>
      </c>
      <c r="D29" s="303">
        <v>0.02</v>
      </c>
      <c r="E29" s="303">
        <v>3.5000000000000003E-2</v>
      </c>
      <c r="F29" s="470"/>
      <c r="G29" s="489"/>
      <c r="H29" s="475"/>
    </row>
    <row r="30" spans="1:8" ht="39" customHeight="1">
      <c r="A30" s="443"/>
      <c r="B30" s="471"/>
      <c r="C30" s="299" t="s">
        <v>55</v>
      </c>
      <c r="D30" s="303"/>
      <c r="E30" s="303">
        <v>0.03</v>
      </c>
      <c r="F30" s="470"/>
      <c r="G30" s="489"/>
      <c r="H30" s="475"/>
    </row>
    <row r="31" spans="1:8">
      <c r="A31"/>
      <c r="B31" s="54"/>
      <c r="C31" s="62"/>
      <c r="D31" s="62"/>
      <c r="E31" s="62"/>
      <c r="F31" s="62"/>
    </row>
    <row r="32" spans="1:8">
      <c r="A32"/>
      <c r="B32" s="54"/>
      <c r="C32" s="62"/>
      <c r="D32" s="62"/>
      <c r="E32" s="62"/>
      <c r="F32" s="62"/>
    </row>
    <row r="33" spans="1:7">
      <c r="A33" s="70"/>
      <c r="B33" s="63"/>
      <c r="C33" s="8"/>
      <c r="D33" s="8"/>
      <c r="E33" s="8"/>
      <c r="F33" s="8"/>
    </row>
    <row r="34" spans="1:7" ht="15" thickBot="1">
      <c r="A34" s="70"/>
      <c r="B34" s="63"/>
      <c r="C34" s="8"/>
      <c r="D34" s="8"/>
      <c r="E34" s="8"/>
      <c r="F34" s="8"/>
      <c r="G34" s="40"/>
    </row>
    <row r="35" spans="1:7">
      <c r="A35" s="382"/>
      <c r="B35" s="383" t="s">
        <v>44</v>
      </c>
      <c r="C35" s="383" t="s">
        <v>13</v>
      </c>
      <c r="D35" s="378" t="s">
        <v>14</v>
      </c>
      <c r="E35" s="384" t="s">
        <v>255</v>
      </c>
      <c r="G35" s="40"/>
    </row>
    <row r="36" spans="1:7" ht="15" customHeight="1">
      <c r="A36" s="443" t="s">
        <v>235</v>
      </c>
      <c r="B36" s="339" t="str">
        <f>+ARG!$B$36</f>
        <v>Bonus</v>
      </c>
      <c r="C36" s="392"/>
      <c r="D36" s="385">
        <f>(($C$16/30.43)*C36)/$C$17</f>
        <v>0</v>
      </c>
      <c r="E36" s="203"/>
    </row>
    <row r="37" spans="1:7">
      <c r="A37" s="443"/>
      <c r="B37" s="342" t="str">
        <f>+ARG!$B$37</f>
        <v>Paid leave</v>
      </c>
      <c r="C37" s="379">
        <v>14</v>
      </c>
      <c r="D37" s="297">
        <f>(($C$16/30.43)*C37)/$C$17</f>
        <v>3.8339358089604564E-2</v>
      </c>
      <c r="E37" s="375"/>
    </row>
    <row r="38" spans="1:7" ht="27.75" customHeight="1">
      <c r="A38" s="443"/>
      <c r="B38" s="339" t="str">
        <f>+ARG!$B$38</f>
        <v>Firing notice *</v>
      </c>
      <c r="C38" s="340">
        <v>28</v>
      </c>
      <c r="D38" s="385">
        <f>(($C$16/30.43)*C38)/$C$17/5</f>
        <v>1.5335743235841826E-2</v>
      </c>
      <c r="E38" s="376" t="s">
        <v>56</v>
      </c>
    </row>
    <row r="39" spans="1:7" ht="39">
      <c r="A39" s="443"/>
      <c r="B39" s="342" t="str">
        <f>+ARG!$B$39</f>
        <v>Severance pay *</v>
      </c>
      <c r="C39" s="327">
        <v>70</v>
      </c>
      <c r="D39" s="297">
        <f>(($C$16/30.43)*C39)/$C$17/5</f>
        <v>3.8339358089604564E-2</v>
      </c>
      <c r="E39" s="377" t="s">
        <v>57</v>
      </c>
    </row>
    <row r="40" spans="1:7" ht="15" customHeight="1">
      <c r="A40" s="444" t="s">
        <v>237</v>
      </c>
      <c r="B40" s="444"/>
      <c r="C40" s="444"/>
      <c r="D40" s="444"/>
      <c r="E40" s="444"/>
      <c r="F40" s="444"/>
    </row>
    <row r="41" spans="1:7">
      <c r="E41" s="6"/>
    </row>
    <row r="42" spans="1:7">
      <c r="D42" s="6"/>
      <c r="E42" s="40"/>
    </row>
    <row r="43" spans="1:7">
      <c r="B43" s="1"/>
      <c r="C43" s="1"/>
      <c r="D43" s="1"/>
      <c r="E43" s="7"/>
      <c r="F43" s="3"/>
      <c r="G43" s="3"/>
    </row>
    <row r="44" spans="1:7">
      <c r="B44" s="1"/>
      <c r="C44" s="7"/>
    </row>
    <row r="45" spans="1:7">
      <c r="C45" s="3"/>
    </row>
    <row r="46" spans="1:7">
      <c r="C46" s="3"/>
    </row>
    <row r="47" spans="1:7">
      <c r="C47" s="3"/>
    </row>
    <row r="48" spans="1:7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</sheetData>
  <mergeCells count="20">
    <mergeCell ref="A22:H22"/>
    <mergeCell ref="A1:C1"/>
    <mergeCell ref="A5:F5"/>
    <mergeCell ref="A8:A11"/>
    <mergeCell ref="A12:F12"/>
    <mergeCell ref="A15:A20"/>
    <mergeCell ref="A36:A39"/>
    <mergeCell ref="A40:F40"/>
    <mergeCell ref="G23:H23"/>
    <mergeCell ref="A25:A30"/>
    <mergeCell ref="G25:G30"/>
    <mergeCell ref="H25:H30"/>
    <mergeCell ref="A23:A24"/>
    <mergeCell ref="B23:B24"/>
    <mergeCell ref="C23:C24"/>
    <mergeCell ref="D23:D24"/>
    <mergeCell ref="E23:E24"/>
    <mergeCell ref="F23:F24"/>
    <mergeCell ref="F25:F30"/>
    <mergeCell ref="B27:B30"/>
  </mergeCells>
  <pageMargins left="0.38411458333333331" right="0.7" top="0.75" bottom="0.75" header="0.3" footer="0.3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1"/>
  <sheetViews>
    <sheetView showGridLines="0" view="pageLayout" zoomScale="50" zoomScaleNormal="80" zoomScalePageLayoutView="50" workbookViewId="0">
      <selection activeCell="C11" sqref="C11"/>
    </sheetView>
  </sheetViews>
  <sheetFormatPr defaultColWidth="9.1796875" defaultRowHeight="14.5"/>
  <cols>
    <col min="1" max="1" width="21.179687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35" style="2" customWidth="1"/>
    <col min="7" max="7" width="15" style="2" customWidth="1"/>
    <col min="8" max="8" width="11.7265625" style="2" customWidth="1"/>
    <col min="9" max="9" width="9.1796875" style="2"/>
    <col min="10" max="10" width="16.26953125" style="2" customWidth="1"/>
    <col min="11" max="11" width="9.1796875" style="2"/>
    <col min="12" max="12" width="10.81640625" style="2" customWidth="1"/>
    <col min="13" max="13" width="11.81640625" style="2" customWidth="1"/>
    <col min="14" max="16384" width="9.1796875" style="2"/>
  </cols>
  <sheetData>
    <row r="1" spans="1:17" ht="28.5">
      <c r="A1" s="458" t="s">
        <v>397</v>
      </c>
      <c r="B1" s="458"/>
      <c r="C1" s="458"/>
    </row>
    <row r="2" spans="1:17" ht="18.5">
      <c r="A2" s="34">
        <v>2025</v>
      </c>
    </row>
    <row r="4" spans="1:17" ht="18.75" customHeight="1">
      <c r="A4" s="459" t="str">
        <f>+ARG!A5</f>
        <v>DATA INPUT FOR CALCULATIONS</v>
      </c>
      <c r="B4" s="459"/>
      <c r="C4" s="459"/>
      <c r="D4" s="459"/>
      <c r="E4" s="459"/>
      <c r="F4" s="459"/>
      <c r="G4" s="40"/>
    </row>
    <row r="5" spans="1:17">
      <c r="G5" s="40"/>
    </row>
    <row r="6" spans="1:17" ht="15" thickBot="1">
      <c r="G6" s="40"/>
    </row>
    <row r="7" spans="1:1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17" ht="15" customHeight="1">
      <c r="A8" s="496" t="str">
        <f>+ARG!$A$8</f>
        <v>Country data</v>
      </c>
      <c r="B8" s="287" t="str">
        <f>+ARG!$B$8</f>
        <v>GDP (current prices in local currency)</v>
      </c>
      <c r="C8" s="401">
        <v>33913.829328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17">
      <c r="A9" s="497"/>
      <c r="B9" s="287" t="str">
        <f>+ARG!$B$9</f>
        <v>Purchasing Power Parity (PPP) conversion factor</v>
      </c>
      <c r="C9" s="401">
        <v>10.088687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17">
      <c r="A10" s="497"/>
      <c r="B10" s="287" t="str">
        <f>+ARG!$B$10</f>
        <v>Employment</v>
      </c>
      <c r="C10" s="401">
        <v>60958888</v>
      </c>
      <c r="D10" s="203" t="str">
        <f>+ARG!$D$10</f>
        <v>Workers</v>
      </c>
      <c r="E10" s="203" t="str">
        <f>+ARG!$E$10</f>
        <v>IDM, World Bank</v>
      </c>
      <c r="F10" s="1"/>
    </row>
    <row r="11" spans="1:17">
      <c r="A11" s="498"/>
      <c r="B11" s="287" t="str">
        <f>+ARG!$B$11</f>
        <v>GDP per worker</v>
      </c>
      <c r="C11" s="343">
        <f>+((C8*1000000000)/C10)/C9</f>
        <v>55144.873630003844</v>
      </c>
      <c r="D11" s="203" t="str">
        <f>+ARG!$D$11</f>
        <v>US $ PPP</v>
      </c>
      <c r="E11" s="203" t="str">
        <f>+ARG!$E$11</f>
        <v>Own calculations</v>
      </c>
      <c r="F11" s="1"/>
    </row>
    <row r="12" spans="1:17" s="307" customFormat="1">
      <c r="A12" s="1"/>
      <c r="B12" s="307" t="s">
        <v>58</v>
      </c>
      <c r="C12" s="442">
        <v>3439.46</v>
      </c>
      <c r="D12" s="272" t="s">
        <v>58</v>
      </c>
      <c r="E12" s="272"/>
      <c r="F12" s="312"/>
    </row>
    <row r="13" spans="1:17">
      <c r="A13" s="1"/>
      <c r="B13" s="1"/>
      <c r="C13" s="275"/>
      <c r="D13" s="1"/>
      <c r="E13" s="1"/>
      <c r="F13" s="1"/>
    </row>
    <row r="14" spans="1:17" ht="15" thickBot="1">
      <c r="C14" s="200"/>
      <c r="D14" s="1"/>
      <c r="E14" s="1"/>
      <c r="F14" s="1"/>
    </row>
    <row r="15" spans="1:17">
      <c r="A15" s="226"/>
      <c r="B15" s="227"/>
      <c r="C15" s="202">
        <v>2024</v>
      </c>
      <c r="D15" s="202" t="s">
        <v>386</v>
      </c>
      <c r="E15" s="228" t="s">
        <v>255</v>
      </c>
      <c r="F15" s="210"/>
    </row>
    <row r="16" spans="1:17" ht="39">
      <c r="A16" s="443" t="str">
        <f>+ARG!$A$15</f>
        <v>Wages</v>
      </c>
      <c r="B16" s="287" t="str">
        <f>+ARG!$B$15</f>
        <v>Monthly minimum wage</v>
      </c>
      <c r="C16" s="401">
        <v>8384</v>
      </c>
      <c r="D16" s="203" t="s">
        <v>4</v>
      </c>
      <c r="E16" s="203" t="s">
        <v>399</v>
      </c>
      <c r="F16" s="437">
        <f>964/7664*(1.0833)</f>
        <v>0.13626059498956158</v>
      </c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</row>
    <row r="17" spans="1:17">
      <c r="A17" s="443"/>
      <c r="B17" s="287" t="str">
        <f>+ARG!$B$16</f>
        <v>Monthly minimum wage (US $ PPP)</v>
      </c>
      <c r="C17" s="221">
        <f>+C16/C9</f>
        <v>831.02984560825405</v>
      </c>
      <c r="D17" s="203" t="s">
        <v>387</v>
      </c>
      <c r="E17" s="203" t="s">
        <v>229</v>
      </c>
      <c r="F17" s="308"/>
      <c r="G17" s="309"/>
      <c r="H17" s="307"/>
      <c r="I17" s="307"/>
      <c r="J17" s="307"/>
      <c r="K17" s="307"/>
      <c r="L17" s="307"/>
      <c r="M17" s="307"/>
      <c r="N17" s="307"/>
      <c r="O17" s="307"/>
      <c r="P17" s="307"/>
      <c r="Q17" s="307"/>
    </row>
    <row r="18" spans="1:17" ht="43.5">
      <c r="A18" s="443"/>
      <c r="B18" s="287" t="str">
        <f>+ARG!$B$17</f>
        <v>Annual minimum wage (US $ PPP)</v>
      </c>
      <c r="C18" s="221">
        <f>C17*12</f>
        <v>9972.3581472990481</v>
      </c>
      <c r="D18" s="203" t="s">
        <v>387</v>
      </c>
      <c r="E18" s="203" t="s">
        <v>229</v>
      </c>
      <c r="F18" s="310"/>
      <c r="G18" s="307"/>
      <c r="H18" s="307"/>
      <c r="I18" s="307" t="s">
        <v>59</v>
      </c>
      <c r="J18" s="307"/>
      <c r="K18" s="307"/>
      <c r="L18" s="307"/>
      <c r="M18" s="307"/>
      <c r="N18" s="307"/>
      <c r="O18" s="307"/>
      <c r="P18" s="307"/>
      <c r="Q18" s="307"/>
    </row>
    <row r="19" spans="1:17">
      <c r="A19" s="443"/>
      <c r="B19" s="287" t="str">
        <f>+ARG!$B$18</f>
        <v xml:space="preserve">Monthly wage of formal wage workers (US $ PPP) </v>
      </c>
      <c r="C19" s="221">
        <v>1567.7471211070381</v>
      </c>
      <c r="D19" s="203" t="s">
        <v>387</v>
      </c>
      <c r="E19" s="203" t="s">
        <v>229</v>
      </c>
      <c r="F19" s="438"/>
      <c r="G19" s="307"/>
      <c r="H19" s="307"/>
      <c r="I19" s="311">
        <f>0.204*C12/C9</f>
        <v>69.548182037959933</v>
      </c>
      <c r="J19" s="439"/>
      <c r="K19" s="307"/>
      <c r="L19" s="307"/>
      <c r="M19" s="307"/>
      <c r="N19" s="307"/>
      <c r="O19" s="307"/>
      <c r="P19" s="307"/>
      <c r="Q19" s="307"/>
    </row>
    <row r="20" spans="1:17">
      <c r="A20" s="443"/>
      <c r="B20" s="287" t="str">
        <f>+ARG!$B$19</f>
        <v>Annual wage of formal wage workers (US $ PPP)</v>
      </c>
      <c r="C20" s="262">
        <f>C19*12</f>
        <v>18812.965453284458</v>
      </c>
      <c r="D20" s="203" t="s">
        <v>387</v>
      </c>
      <c r="E20" s="203" t="s">
        <v>229</v>
      </c>
      <c r="F20" s="307"/>
      <c r="G20" s="311"/>
      <c r="H20" s="307"/>
      <c r="I20" s="312">
        <f>+C19*C9</f>
        <v>15816.51</v>
      </c>
      <c r="J20" s="307"/>
      <c r="K20" s="307"/>
      <c r="L20" s="307"/>
      <c r="M20" s="307"/>
      <c r="N20" s="307"/>
      <c r="O20" s="307"/>
      <c r="P20" s="307"/>
      <c r="Q20" s="307"/>
    </row>
    <row r="21" spans="1:17" ht="29">
      <c r="A21" s="443"/>
      <c r="B21" s="287" t="str">
        <f>+ARG!$B$20</f>
        <v>Annual average wage of informal wage workers (US $ PPP)</v>
      </c>
      <c r="C21" s="262">
        <v>9784.7055816083903</v>
      </c>
      <c r="D21" s="203" t="s">
        <v>387</v>
      </c>
      <c r="E21" s="203" t="s">
        <v>276</v>
      </c>
      <c r="F21" s="312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</row>
    <row r="22" spans="1:17">
      <c r="C22" s="200"/>
      <c r="D22" s="275"/>
      <c r="E22" s="275"/>
      <c r="I22" s="307"/>
      <c r="J22" s="307"/>
      <c r="K22" s="307"/>
      <c r="L22" s="307"/>
      <c r="M22" s="307"/>
      <c r="N22" s="307"/>
    </row>
    <row r="23" spans="1:17" ht="15" thickBot="1">
      <c r="A23" s="494" t="s">
        <v>402</v>
      </c>
      <c r="B23" s="494"/>
      <c r="C23" s="494"/>
      <c r="D23" s="494"/>
      <c r="E23" s="494"/>
      <c r="F23" s="494"/>
      <c r="G23" s="494"/>
      <c r="H23" s="494"/>
      <c r="I23" s="495" t="s">
        <v>415</v>
      </c>
      <c r="J23" s="495"/>
      <c r="K23" s="307"/>
      <c r="L23" s="495" t="s">
        <v>60</v>
      </c>
      <c r="M23" s="495"/>
      <c r="N23" s="307"/>
    </row>
    <row r="24" spans="1:17" ht="27.75" customHeight="1">
      <c r="A24" s="491"/>
      <c r="B24" s="490" t="str">
        <f>+ARG!$B$24</f>
        <v>Category</v>
      </c>
      <c r="C24" s="492" t="str">
        <f>+ARG!$C$24</f>
        <v>Description</v>
      </c>
      <c r="D24" s="490" t="str">
        <f>+ARG!$D$24</f>
        <v>Worker's contribution</v>
      </c>
      <c r="E24" s="490" t="str">
        <f>+ARG!$E$24</f>
        <v>Employer Contribution</v>
      </c>
      <c r="F24" s="492" t="str">
        <f>+ARG!$F$24</f>
        <v>Contribution Base</v>
      </c>
      <c r="G24" s="490" t="str">
        <f>+ARG!$G$24</f>
        <v>Total contribution applied to each indicator</v>
      </c>
      <c r="H24" s="490"/>
      <c r="I24" s="349" t="s">
        <v>305</v>
      </c>
      <c r="J24" s="349" t="s">
        <v>374</v>
      </c>
      <c r="K24" s="307"/>
      <c r="L24" s="349" t="s">
        <v>305</v>
      </c>
      <c r="M24" s="349" t="s">
        <v>374</v>
      </c>
      <c r="N24" s="307"/>
    </row>
    <row r="25" spans="1:17" ht="15.75" customHeight="1">
      <c r="A25" s="491"/>
      <c r="B25" s="490"/>
      <c r="C25" s="492"/>
      <c r="D25" s="490"/>
      <c r="E25" s="490"/>
      <c r="F25" s="492"/>
      <c r="G25" s="314" t="str">
        <f>+ARG!$G$25</f>
        <v>ACSL</v>
      </c>
      <c r="H25" s="314" t="str">
        <f>+ARG!$H$25</f>
        <v>MCSL</v>
      </c>
      <c r="I25" s="307"/>
      <c r="J25" s="307"/>
      <c r="K25" s="307"/>
      <c r="L25" s="350"/>
      <c r="M25" s="350"/>
      <c r="N25" s="307"/>
    </row>
    <row r="26" spans="1:17" ht="14.5" customHeight="1">
      <c r="A26" s="443" t="str">
        <f>+ARG!$A$26</f>
        <v>Mandatory contributions</v>
      </c>
      <c r="B26" s="305" t="s">
        <v>316</v>
      </c>
      <c r="C26" s="414" t="s">
        <v>297</v>
      </c>
      <c r="D26" s="415">
        <v>1.125E-2</v>
      </c>
      <c r="E26" s="415">
        <f>2%+C50</f>
        <v>7.7469999999999997E-2</v>
      </c>
      <c r="F26" s="500" t="s">
        <v>372</v>
      </c>
      <c r="G26" s="461">
        <v>0.246</v>
      </c>
      <c r="H26" s="461">
        <v>0.28110000000000002</v>
      </c>
      <c r="I26" s="351">
        <f>E27</f>
        <v>1.175E-2</v>
      </c>
      <c r="J26" s="352">
        <f>D27</f>
        <v>6.2500000000000003E-3</v>
      </c>
      <c r="K26" s="307"/>
      <c r="L26" s="353">
        <f>E27</f>
        <v>1.175E-2</v>
      </c>
      <c r="M26" s="354">
        <f>D27</f>
        <v>6.2500000000000003E-3</v>
      </c>
      <c r="N26" s="307"/>
    </row>
    <row r="27" spans="1:17" ht="14.5" customHeight="1">
      <c r="A27" s="443"/>
      <c r="B27" s="493" t="s">
        <v>233</v>
      </c>
      <c r="C27" s="203" t="s">
        <v>412</v>
      </c>
      <c r="D27" s="416">
        <v>6.2500000000000003E-3</v>
      </c>
      <c r="E27" s="417">
        <v>1.175E-2</v>
      </c>
      <c r="F27" s="500"/>
      <c r="G27" s="461"/>
      <c r="H27" s="461"/>
      <c r="I27" s="355">
        <f>0.204*C12/(C19*C9)</f>
        <v>4.436186238304151E-2</v>
      </c>
      <c r="J27" s="307"/>
      <c r="K27" s="307"/>
      <c r="L27" s="356">
        <f>0.204*C12/(C17*C9)</f>
        <v>8.3689150763358769E-2</v>
      </c>
      <c r="M27" s="350"/>
      <c r="N27" s="440"/>
    </row>
    <row r="28" spans="1:17" ht="14.5" customHeight="1">
      <c r="A28" s="443"/>
      <c r="B28" s="493"/>
      <c r="C28" s="203" t="s">
        <v>233</v>
      </c>
      <c r="D28" s="287"/>
      <c r="E28" s="417" t="s">
        <v>413</v>
      </c>
      <c r="F28" s="501"/>
      <c r="G28" s="461"/>
      <c r="H28" s="461"/>
      <c r="I28" s="357">
        <f>(0.011*(I20-(3*C12)))/I20</f>
        <v>3.8238163792138711E-3</v>
      </c>
      <c r="J28" s="358">
        <f>(0.004*(I20-(3*C12)))/I20</f>
        <v>1.3904786833504989E-3</v>
      </c>
      <c r="K28" s="307"/>
      <c r="L28" s="359" t="s">
        <v>418</v>
      </c>
      <c r="M28" s="359" t="s">
        <v>418</v>
      </c>
      <c r="N28" s="307"/>
    </row>
    <row r="29" spans="1:17" ht="14.5" customHeight="1">
      <c r="A29" s="443"/>
      <c r="B29" s="493"/>
      <c r="C29" s="203" t="s">
        <v>298</v>
      </c>
      <c r="D29" s="419" t="s">
        <v>419</v>
      </c>
      <c r="E29" s="419" t="s">
        <v>414</v>
      </c>
      <c r="F29" s="501"/>
      <c r="G29" s="461"/>
      <c r="H29" s="461"/>
      <c r="I29" s="352">
        <f>E30</f>
        <v>7.0000000000000001E-3</v>
      </c>
      <c r="J29" s="352">
        <f>D30</f>
        <v>2.5000000000000001E-3</v>
      </c>
      <c r="K29" s="307"/>
      <c r="L29" s="354">
        <f>E30</f>
        <v>7.0000000000000001E-3</v>
      </c>
      <c r="M29" s="354">
        <f>D30</f>
        <v>2.5000000000000001E-3</v>
      </c>
      <c r="N29" s="307"/>
    </row>
    <row r="30" spans="1:17" ht="14.5" customHeight="1">
      <c r="A30" s="443"/>
      <c r="B30" s="493"/>
      <c r="C30" s="203" t="s">
        <v>295</v>
      </c>
      <c r="D30" s="419">
        <v>2.5000000000000001E-3</v>
      </c>
      <c r="E30" s="419">
        <v>7.0000000000000001E-3</v>
      </c>
      <c r="F30" s="501"/>
      <c r="G30" s="461"/>
      <c r="H30" s="461"/>
      <c r="I30" s="360">
        <f>+I27+I28+I26+I29</f>
        <v>6.6935678762255382E-2</v>
      </c>
      <c r="J30" s="361">
        <f>J28+J26+J29</f>
        <v>1.0140478683350499E-2</v>
      </c>
      <c r="K30" s="307"/>
      <c r="L30" s="362">
        <f>SUM(L26:L29)</f>
        <v>0.10243915076335877</v>
      </c>
      <c r="M30" s="363">
        <f>M26+M29</f>
        <v>8.7500000000000008E-3</v>
      </c>
      <c r="N30" s="307"/>
    </row>
    <row r="31" spans="1:17" ht="14.5" customHeight="1">
      <c r="A31" s="443"/>
      <c r="B31" s="471" t="s">
        <v>234</v>
      </c>
      <c r="C31" s="375" t="s">
        <v>293</v>
      </c>
      <c r="D31" s="420"/>
      <c r="E31" s="421">
        <v>1.9800000000000002E-2</v>
      </c>
      <c r="F31" s="501"/>
      <c r="G31" s="461"/>
      <c r="H31" s="461"/>
      <c r="I31" s="307"/>
      <c r="J31" s="307"/>
      <c r="K31" s="307"/>
      <c r="L31" s="307"/>
      <c r="M31" s="307"/>
      <c r="N31" s="307"/>
    </row>
    <row r="32" spans="1:17" ht="14.5" customHeight="1">
      <c r="A32" s="443"/>
      <c r="B32" s="471"/>
      <c r="C32" s="375" t="s">
        <v>302</v>
      </c>
      <c r="D32" s="420"/>
      <c r="E32" s="415">
        <v>0.01</v>
      </c>
      <c r="F32" s="501"/>
      <c r="G32" s="461"/>
      <c r="H32" s="461"/>
      <c r="I32" s="307"/>
      <c r="J32" s="307"/>
      <c r="K32" s="307"/>
      <c r="L32" s="307"/>
      <c r="M32" s="307"/>
      <c r="N32" s="307"/>
    </row>
    <row r="33" spans="1:9" ht="15" customHeight="1">
      <c r="A33" s="443"/>
      <c r="B33" s="471"/>
      <c r="C33" s="375" t="s">
        <v>61</v>
      </c>
      <c r="D33" s="421"/>
      <c r="E33" s="415">
        <v>0.05</v>
      </c>
      <c r="F33" s="501"/>
      <c r="G33" s="461"/>
      <c r="H33" s="461"/>
    </row>
    <row r="34" spans="1:9" ht="14.5" customHeight="1">
      <c r="A34" s="8"/>
      <c r="B34" s="8"/>
      <c r="C34" s="8"/>
      <c r="D34" s="8"/>
      <c r="E34" s="413"/>
      <c r="G34" s="59"/>
      <c r="H34" s="59"/>
    </row>
    <row r="35" spans="1:9" ht="15" customHeight="1" thickBot="1">
      <c r="A35" s="8"/>
      <c r="B35" s="8"/>
      <c r="C35" s="8"/>
      <c r="D35" s="8"/>
      <c r="E35" s="8"/>
      <c r="I35" s="264"/>
    </row>
    <row r="36" spans="1:9" ht="15" customHeight="1">
      <c r="A36" s="422"/>
      <c r="B36" s="423" t="s">
        <v>44</v>
      </c>
      <c r="C36" s="423" t="s">
        <v>13</v>
      </c>
      <c r="D36" s="202" t="s">
        <v>45</v>
      </c>
      <c r="E36" s="228" t="s">
        <v>255</v>
      </c>
      <c r="I36" s="424"/>
    </row>
    <row r="37" spans="1:9" ht="15" customHeight="1">
      <c r="A37" s="443" t="s">
        <v>235</v>
      </c>
      <c r="B37" s="425" t="str">
        <f>+ARG!$B$36</f>
        <v>Bonus</v>
      </c>
      <c r="C37" s="426">
        <v>15</v>
      </c>
      <c r="D37" s="427">
        <f>15/360</f>
        <v>4.1666666666666664E-2</v>
      </c>
      <c r="E37" s="428" t="s">
        <v>338</v>
      </c>
    </row>
    <row r="38" spans="1:9">
      <c r="A38" s="443"/>
      <c r="B38" s="429" t="str">
        <f>+ARG!$B$37</f>
        <v>Paid leave</v>
      </c>
      <c r="C38" s="418">
        <v>20</v>
      </c>
      <c r="D38" s="415">
        <f>((($C$17/30.43)*C38))/$C$18</f>
        <v>5.4770511556577937E-2</v>
      </c>
      <c r="E38" s="430" t="s">
        <v>339</v>
      </c>
    </row>
    <row r="39" spans="1:9">
      <c r="A39" s="443"/>
      <c r="B39" s="425" t="str">
        <f>+ARG!$B$38</f>
        <v>Firing notice *</v>
      </c>
      <c r="C39" s="426"/>
      <c r="D39" s="431">
        <f>((($C$17/30.43)*C39))/$C$18/5</f>
        <v>0</v>
      </c>
      <c r="E39" s="432"/>
    </row>
    <row r="40" spans="1:9">
      <c r="A40" s="443"/>
      <c r="B40" s="429" t="str">
        <f>+ARG!$B$39</f>
        <v>Severance pay *</v>
      </c>
      <c r="C40" s="418">
        <v>190</v>
      </c>
      <c r="D40" s="421">
        <f>((($C$17/30.43)*C40))/$C$18/5</f>
        <v>0.10406397195749809</v>
      </c>
      <c r="E40" s="433" t="s">
        <v>340</v>
      </c>
    </row>
    <row r="41" spans="1:9" ht="15" customHeight="1">
      <c r="A41" s="39" t="s">
        <v>237</v>
      </c>
    </row>
    <row r="42" spans="1:9">
      <c r="E42" s="6"/>
    </row>
    <row r="43" spans="1:9">
      <c r="B43" s="499" t="s">
        <v>398</v>
      </c>
      <c r="C43" s="499"/>
    </row>
    <row r="44" spans="1:9">
      <c r="B44" s="364" t="s">
        <v>383</v>
      </c>
      <c r="C44" s="365" t="s">
        <v>362</v>
      </c>
    </row>
    <row r="45" spans="1:9">
      <c r="B45" s="364" t="s">
        <v>384</v>
      </c>
      <c r="C45" s="366">
        <v>3.5439999999999999E-2</v>
      </c>
    </row>
    <row r="46" spans="1:9">
      <c r="B46" s="364" t="s">
        <v>363</v>
      </c>
      <c r="C46" s="366">
        <v>4.4260000000000001E-2</v>
      </c>
    </row>
    <row r="47" spans="1:9">
      <c r="B47" s="364" t="s">
        <v>364</v>
      </c>
      <c r="C47" s="366">
        <v>4.9540000000000001E-2</v>
      </c>
      <c r="D47" s="5"/>
    </row>
    <row r="48" spans="1:9">
      <c r="B48" s="364" t="s">
        <v>365</v>
      </c>
      <c r="C48" s="366">
        <v>5.3069999999999999E-2</v>
      </c>
    </row>
    <row r="49" spans="2:4">
      <c r="B49" s="364" t="s">
        <v>366</v>
      </c>
      <c r="C49" s="366">
        <v>5.5590000000000001E-2</v>
      </c>
    </row>
    <row r="50" spans="2:4">
      <c r="B50" s="367" t="s">
        <v>367</v>
      </c>
      <c r="C50" s="368">
        <v>5.747E-2</v>
      </c>
      <c r="D50" s="371"/>
    </row>
    <row r="51" spans="2:4">
      <c r="B51" s="369" t="s">
        <v>395</v>
      </c>
      <c r="C51" s="370">
        <v>6.4219999999999999E-2</v>
      </c>
    </row>
  </sheetData>
  <mergeCells count="22">
    <mergeCell ref="A23:H23"/>
    <mergeCell ref="I23:J23"/>
    <mergeCell ref="A8:A11"/>
    <mergeCell ref="B43:C43"/>
    <mergeCell ref="L23:M23"/>
    <mergeCell ref="F26:F33"/>
    <mergeCell ref="A1:C1"/>
    <mergeCell ref="A4:F4"/>
    <mergeCell ref="A16:A21"/>
    <mergeCell ref="A37:A40"/>
    <mergeCell ref="G24:H24"/>
    <mergeCell ref="A26:A33"/>
    <mergeCell ref="G26:G33"/>
    <mergeCell ref="A24:A25"/>
    <mergeCell ref="B24:B25"/>
    <mergeCell ref="C24:C25"/>
    <mergeCell ref="D24:D25"/>
    <mergeCell ref="E24:E25"/>
    <mergeCell ref="F24:F25"/>
    <mergeCell ref="B27:B30"/>
    <mergeCell ref="H26:H33"/>
    <mergeCell ref="B31:B33"/>
  </mergeCells>
  <pageMargins left="0.40507812500000001" right="0.7" top="0.75" bottom="0.75" header="0.3" footer="0.3"/>
  <pageSetup scale="5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H52"/>
  <sheetViews>
    <sheetView showGridLines="0" view="pageLayout" topLeftCell="A4" zoomScale="55" zoomScaleNormal="80" zoomScalePageLayoutView="55" workbookViewId="0">
      <selection activeCell="C16" sqref="C16"/>
    </sheetView>
  </sheetViews>
  <sheetFormatPr defaultColWidth="9.1796875" defaultRowHeight="14.5"/>
  <cols>
    <col min="1" max="1" width="14.269531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34.453125" style="2" customWidth="1"/>
    <col min="6" max="6" width="37" style="2" customWidth="1"/>
    <col min="7" max="7" width="15" style="2" customWidth="1"/>
    <col min="8" max="8" width="11.7265625" style="2" customWidth="1"/>
    <col min="9" max="9" width="1.453125" style="2" customWidth="1"/>
    <col min="10" max="16384" width="9.1796875" style="2"/>
  </cols>
  <sheetData>
    <row r="1" spans="1:7" ht="28.5">
      <c r="A1" s="458" t="s">
        <v>62</v>
      </c>
      <c r="B1" s="458"/>
      <c r="C1" s="458"/>
    </row>
    <row r="2" spans="1:7" ht="18.5">
      <c r="A2" s="34">
        <v>2023</v>
      </c>
    </row>
    <row r="4" spans="1:7" ht="18.75" customHeight="1">
      <c r="A4" s="459" t="str">
        <f>+ARG!A5</f>
        <v>DATA INPUT FOR CALCULATIONS</v>
      </c>
      <c r="B4" s="459"/>
      <c r="C4" s="459"/>
      <c r="D4" s="459"/>
      <c r="E4" s="459"/>
      <c r="F4" s="459"/>
      <c r="G4" s="40"/>
    </row>
    <row r="5" spans="1:7" ht="15" thickBot="1">
      <c r="G5" s="40"/>
    </row>
    <row r="6" spans="1:7" ht="15" thickBot="1">
      <c r="A6" s="219"/>
      <c r="B6" s="220"/>
      <c r="C6" s="11">
        <v>2023</v>
      </c>
      <c r="D6" s="11" t="str">
        <f>+ARG!$D$7</f>
        <v>Units</v>
      </c>
      <c r="E6" s="12" t="str">
        <f>+ARG!$E$7</f>
        <v>Source</v>
      </c>
      <c r="F6" s="210"/>
      <c r="G6" s="40"/>
    </row>
    <row r="7" spans="1:7">
      <c r="A7" s="485" t="str">
        <f>+ARG!$A$8</f>
        <v>Country data</v>
      </c>
      <c r="B7" s="35" t="str">
        <f>+ARG!$B$8</f>
        <v>GDP (current prices in local currency)</v>
      </c>
      <c r="C7" s="271">
        <v>649.71759999999995</v>
      </c>
      <c r="D7" s="10" t="str">
        <f>+ARG!$D$8</f>
        <v>Billions</v>
      </c>
      <c r="E7" s="15" t="str">
        <f>+ARG!$E$8</f>
        <v>IDM, World Bank</v>
      </c>
      <c r="F7" s="1"/>
      <c r="G7" s="40"/>
    </row>
    <row r="8" spans="1:7">
      <c r="A8" s="486"/>
      <c r="B8" s="36" t="str">
        <f>+ARG!$B$9</f>
        <v>Purchasing Power Parity (PPP) conversion factor</v>
      </c>
      <c r="C8" s="233">
        <v>11.46</v>
      </c>
      <c r="D8" s="19" t="str">
        <f>+ARG!$D$9</f>
        <v>Local currency per dollar</v>
      </c>
      <c r="E8" s="20" t="str">
        <f>+ARG!$E$9</f>
        <v>IDM, World Bank</v>
      </c>
      <c r="F8" s="1"/>
    </row>
    <row r="9" spans="1:7">
      <c r="A9" s="486"/>
      <c r="B9" s="36" t="str">
        <f>+ARG!$B$10</f>
        <v>Employment</v>
      </c>
      <c r="C9" s="18">
        <f>3264.02*1000</f>
        <v>3264020</v>
      </c>
      <c r="D9" s="19" t="str">
        <f>+ARG!$D$10</f>
        <v>Workers</v>
      </c>
      <c r="E9" s="211" t="str">
        <f>+ARG!$E$10</f>
        <v>IDM, World Bank</v>
      </c>
      <c r="F9" s="1"/>
    </row>
    <row r="10" spans="1:7" ht="15" thickBot="1">
      <c r="A10" s="487"/>
      <c r="B10" s="37" t="str">
        <f>+ARG!$B$11</f>
        <v>GDP per worker</v>
      </c>
      <c r="C10" s="16">
        <f>+((C7*1000000000)/C9)/C8</f>
        <v>17369.495423971723</v>
      </c>
      <c r="D10" s="17" t="str">
        <f>+ARG!$D$11</f>
        <v>US $ PPP</v>
      </c>
      <c r="E10" s="212" t="str">
        <f>+ARG!$E$11</f>
        <v>Own calculations</v>
      </c>
      <c r="F10" s="1"/>
    </row>
    <row r="11" spans="1:7">
      <c r="A11" s="512"/>
      <c r="B11" s="512"/>
      <c r="C11" s="512"/>
      <c r="D11" s="512"/>
      <c r="E11" s="512"/>
      <c r="F11" s="444"/>
    </row>
    <row r="12" spans="1:7" ht="15" thickBot="1">
      <c r="C12" s="4"/>
      <c r="D12" s="1"/>
      <c r="E12" s="1"/>
      <c r="F12" s="1"/>
    </row>
    <row r="13" spans="1:7" ht="15" thickBot="1">
      <c r="A13" s="226"/>
      <c r="B13" s="227"/>
      <c r="C13" s="202">
        <v>2023</v>
      </c>
      <c r="D13" s="202" t="s">
        <v>1</v>
      </c>
      <c r="E13" s="228" t="s">
        <v>2</v>
      </c>
      <c r="F13" s="210"/>
    </row>
    <row r="14" spans="1:7" ht="15" customHeight="1">
      <c r="A14" s="513" t="str">
        <f>+ARG!$A$15</f>
        <v>Wages</v>
      </c>
      <c r="B14" s="224" t="str">
        <f>+ARG!$B$15</f>
        <v>Monthly minimum wage</v>
      </c>
      <c r="C14" s="222">
        <v>8221.73</v>
      </c>
      <c r="D14" s="204" t="s">
        <v>63</v>
      </c>
      <c r="E14" s="223" t="s">
        <v>64</v>
      </c>
      <c r="F14" s="1"/>
    </row>
    <row r="15" spans="1:7">
      <c r="A15" s="514"/>
      <c r="B15" s="36" t="str">
        <f>+ARG!$B$16</f>
        <v>Monthly minimum wage (US $ PPP)</v>
      </c>
      <c r="C15" s="221">
        <f>+C14/C8</f>
        <v>717.42844677137862</v>
      </c>
      <c r="D15" s="203" t="s">
        <v>3</v>
      </c>
      <c r="E15" s="207" t="s">
        <v>5</v>
      </c>
      <c r="F15" s="214"/>
    </row>
    <row r="16" spans="1:7">
      <c r="A16" s="514"/>
      <c r="B16" s="36" t="str">
        <f>+ARG!$B$17</f>
        <v>Annual minimum wage (US $ PPP)</v>
      </c>
      <c r="C16" s="221">
        <f>+C15*12</f>
        <v>8609.141361256543</v>
      </c>
      <c r="D16" s="203" t="s">
        <v>3</v>
      </c>
      <c r="E16" s="207" t="s">
        <v>5</v>
      </c>
      <c r="F16" s="214"/>
    </row>
    <row r="17" spans="1:8">
      <c r="A17" s="514"/>
      <c r="B17" s="36" t="str">
        <f>+ARG!$B$18</f>
        <v xml:space="preserve">Monthly wage of formal wage workers (US $ PPP) </v>
      </c>
      <c r="C17" s="221">
        <f>17529.2667753246/C8</f>
        <v>1529.6044306565966</v>
      </c>
      <c r="D17" s="203" t="s">
        <v>3</v>
      </c>
      <c r="E17" s="207" t="s">
        <v>5</v>
      </c>
      <c r="F17" s="214"/>
    </row>
    <row r="18" spans="1:8" ht="15" thickBot="1">
      <c r="A18" s="514"/>
      <c r="B18" s="225" t="str">
        <f>+ARG!$B$19</f>
        <v>Annual wage of formal wage workers (US $ PPP)</v>
      </c>
      <c r="C18" s="229">
        <f>+C17*12</f>
        <v>18355.25316787916</v>
      </c>
      <c r="D18" s="205" t="s">
        <v>3</v>
      </c>
      <c r="E18" s="206" t="s">
        <v>5</v>
      </c>
      <c r="F18" s="1"/>
    </row>
    <row r="19" spans="1:8" ht="29.5" thickBot="1">
      <c r="A19" s="514"/>
      <c r="B19" s="225" t="str">
        <f>+ARG!$B$20</f>
        <v>Annual average wage of informal wage workers (US $ PPP)</v>
      </c>
      <c r="C19" s="229">
        <f>+C18*0.5</f>
        <v>9177.6265839395801</v>
      </c>
      <c r="D19" s="205" t="s">
        <v>3</v>
      </c>
      <c r="E19" s="206" t="s">
        <v>52</v>
      </c>
      <c r="F19" s="1"/>
    </row>
    <row r="20" spans="1:8" ht="15" thickBot="1"/>
    <row r="21" spans="1:8" ht="31.5" customHeight="1" thickBot="1">
      <c r="A21" s="447"/>
      <c r="B21" s="449" t="str">
        <f>+ARG!$B$24</f>
        <v>Category</v>
      </c>
      <c r="C21" s="451" t="str">
        <f>+ARG!$C$24</f>
        <v>Description</v>
      </c>
      <c r="D21" s="449" t="str">
        <f>+ARG!$D$24</f>
        <v>Worker's contribution</v>
      </c>
      <c r="E21" s="449" t="str">
        <f>+ARG!$E$24</f>
        <v>Employer Contribution</v>
      </c>
      <c r="F21" s="451" t="str">
        <f>+ARG!$F$24</f>
        <v>Contribution Base</v>
      </c>
      <c r="G21" s="467" t="str">
        <f>+ARG!$G$24</f>
        <v>Total contribution applied to each indicator</v>
      </c>
      <c r="H21" s="468"/>
    </row>
    <row r="22" spans="1:8" ht="15.75" customHeight="1" thickBot="1">
      <c r="A22" s="448"/>
      <c r="B22" s="450"/>
      <c r="C22" s="452"/>
      <c r="D22" s="450"/>
      <c r="E22" s="450"/>
      <c r="F22" s="452"/>
      <c r="G22" s="209" t="str">
        <f>+ARG!$G$25</f>
        <v>ACSL</v>
      </c>
      <c r="H22" s="209" t="str">
        <f>+ARG!$H$25</f>
        <v>MCSL</v>
      </c>
    </row>
    <row r="23" spans="1:8" ht="14.9" customHeight="1">
      <c r="A23" s="485" t="str">
        <f>+ARG!$A$26</f>
        <v>Mandatory contributions</v>
      </c>
      <c r="B23" s="194" t="s">
        <v>8</v>
      </c>
      <c r="C23" s="230" t="s">
        <v>9</v>
      </c>
      <c r="D23" s="45">
        <v>4.7500000000000001E-2</v>
      </c>
      <c r="E23" s="45">
        <v>0.13500000000000001</v>
      </c>
      <c r="F23" s="506" t="s">
        <v>65</v>
      </c>
      <c r="G23" s="503">
        <v>0.24299999999999999</v>
      </c>
      <c r="H23" s="503">
        <f>SUM(D23:E27)</f>
        <v>0.31500000000000006</v>
      </c>
    </row>
    <row r="24" spans="1:8" ht="14.9" customHeight="1">
      <c r="A24" s="486"/>
      <c r="B24" s="195" t="s">
        <v>10</v>
      </c>
      <c r="C24" s="231" t="s">
        <v>18</v>
      </c>
      <c r="D24" s="13">
        <v>2.2499999999999999E-2</v>
      </c>
      <c r="E24" s="13">
        <v>0.06</v>
      </c>
      <c r="F24" s="507"/>
      <c r="G24" s="504"/>
      <c r="H24" s="504"/>
    </row>
    <row r="25" spans="1:8" ht="14.9" customHeight="1">
      <c r="A25" s="486"/>
      <c r="B25" s="509" t="s">
        <v>11</v>
      </c>
      <c r="C25" s="21" t="s">
        <v>12</v>
      </c>
      <c r="D25" s="234"/>
      <c r="E25" s="46">
        <v>1.4999999999999999E-2</v>
      </c>
      <c r="F25" s="507"/>
      <c r="G25" s="504"/>
      <c r="H25" s="504"/>
    </row>
    <row r="26" spans="1:8" ht="14.9" customHeight="1">
      <c r="A26" s="486"/>
      <c r="B26" s="510"/>
      <c r="C26" s="22" t="s">
        <v>66</v>
      </c>
      <c r="D26" s="234"/>
      <c r="E26" s="46">
        <v>1.4999999999999999E-2</v>
      </c>
      <c r="F26" s="507"/>
      <c r="G26" s="504"/>
      <c r="H26" s="504"/>
    </row>
    <row r="27" spans="1:8" ht="15" customHeight="1" thickBot="1">
      <c r="A27" s="487"/>
      <c r="B27" s="511"/>
      <c r="C27" s="23" t="s">
        <v>67</v>
      </c>
      <c r="D27" s="235"/>
      <c r="E27" s="235">
        <v>0.02</v>
      </c>
      <c r="F27" s="508"/>
      <c r="G27" s="505"/>
      <c r="H27" s="505"/>
    </row>
    <row r="28" spans="1:8" ht="15" customHeight="1">
      <c r="A28" s="502"/>
      <c r="B28" s="177"/>
    </row>
    <row r="29" spans="1:8">
      <c r="A29" s="502"/>
      <c r="B29" s="177"/>
      <c r="C29" s="8"/>
      <c r="D29" s="8"/>
      <c r="E29" s="8"/>
      <c r="F29" s="8"/>
      <c r="G29" s="8"/>
      <c r="H29" s="8"/>
    </row>
    <row r="30" spans="1:8">
      <c r="A30" s="502"/>
      <c r="B30" s="177"/>
      <c r="C30" s="8"/>
      <c r="D30" s="8"/>
      <c r="E30" s="8"/>
      <c r="F30" s="8"/>
      <c r="G30" s="8"/>
      <c r="H30" s="8"/>
    </row>
    <row r="31" spans="1:8">
      <c r="A31" s="502"/>
      <c r="B31" s="177"/>
      <c r="C31" s="8"/>
      <c r="D31" s="8"/>
      <c r="E31" s="8"/>
      <c r="F31" s="8"/>
      <c r="G31" s="8"/>
      <c r="H31" s="8"/>
    </row>
    <row r="32" spans="1:8">
      <c r="A32" s="55"/>
      <c r="B32" s="54"/>
      <c r="G32" s="40"/>
    </row>
    <row r="33" spans="1:7">
      <c r="B33" s="54"/>
      <c r="C33" s="8"/>
      <c r="D33" s="8"/>
      <c r="E33" s="8"/>
      <c r="F33" s="8"/>
      <c r="G33" s="40"/>
    </row>
    <row r="34" spans="1:7" ht="15" thickBot="1">
      <c r="A34" s="8"/>
      <c r="B34" s="8"/>
      <c r="C34" s="8"/>
      <c r="D34" s="8"/>
      <c r="E34" s="8"/>
      <c r="F34" s="8"/>
      <c r="G34" s="40"/>
    </row>
    <row r="35" spans="1:7" ht="15" thickBot="1">
      <c r="A35" s="64"/>
      <c r="B35" s="27" t="s">
        <v>44</v>
      </c>
      <c r="C35" s="27" t="s">
        <v>13</v>
      </c>
      <c r="D35" s="30" t="s">
        <v>14</v>
      </c>
      <c r="E35" s="28" t="s">
        <v>2</v>
      </c>
    </row>
    <row r="36" spans="1:7" ht="25.5" customHeight="1">
      <c r="A36" s="482" t="s">
        <v>15</v>
      </c>
      <c r="B36" s="38" t="str">
        <f>+ARG!$B$36</f>
        <v>Bonus</v>
      </c>
      <c r="C36" s="31">
        <v>30</v>
      </c>
      <c r="D36" s="260">
        <f>30/360</f>
        <v>8.3333333333333329E-2</v>
      </c>
      <c r="E36" s="15" t="s">
        <v>68</v>
      </c>
    </row>
    <row r="37" spans="1:7" ht="26.5" thickBot="1">
      <c r="A37" s="483"/>
      <c r="B37" s="25" t="str">
        <f>+ARG!$B$37</f>
        <v>Paid leave</v>
      </c>
      <c r="C37" s="196">
        <v>30</v>
      </c>
      <c r="D37" s="261">
        <f>30/360</f>
        <v>8.3333333333333329E-2</v>
      </c>
      <c r="E37" s="42" t="s">
        <v>69</v>
      </c>
    </row>
    <row r="38" spans="1:7">
      <c r="A38" s="483"/>
      <c r="B38" s="24" t="str">
        <f>+ARG!$B$38</f>
        <v>Firing notice *</v>
      </c>
      <c r="C38" s="14">
        <v>0</v>
      </c>
      <c r="D38" s="283">
        <f>(($C$15/30.43)*C38)/$C$16/5</f>
        <v>0</v>
      </c>
      <c r="E38" s="43" t="s">
        <v>70</v>
      </c>
    </row>
    <row r="39" spans="1:7" ht="52.5" thickBot="1">
      <c r="A39" s="484"/>
      <c r="B39" s="26" t="str">
        <f>+ARG!$B$39</f>
        <v>Severance pay *</v>
      </c>
      <c r="C39" s="197">
        <v>130</v>
      </c>
      <c r="D39" s="261">
        <f>130/360/5</f>
        <v>7.2222222222222215E-2</v>
      </c>
      <c r="E39" s="44" t="s">
        <v>71</v>
      </c>
    </row>
    <row r="40" spans="1:7" ht="15" customHeight="1">
      <c r="A40" s="444" t="s">
        <v>16</v>
      </c>
      <c r="B40" s="444"/>
      <c r="C40" s="444"/>
      <c r="D40" s="444"/>
      <c r="E40" s="444"/>
      <c r="F40" s="444"/>
    </row>
    <row r="41" spans="1:7">
      <c r="E41" s="6"/>
    </row>
    <row r="42" spans="1:7">
      <c r="D42" s="1"/>
      <c r="E42" s="7"/>
      <c r="F42" s="3"/>
      <c r="G42" s="3"/>
    </row>
    <row r="43" spans="1:7">
      <c r="B43" s="1"/>
      <c r="C43" s="1"/>
    </row>
    <row r="44" spans="1:7">
      <c r="B44" s="1"/>
      <c r="C44" s="7"/>
    </row>
    <row r="45" spans="1:7">
      <c r="C45" s="3"/>
    </row>
    <row r="46" spans="1:7">
      <c r="C46" s="3"/>
    </row>
    <row r="47" spans="1:7">
      <c r="C47" s="3"/>
    </row>
    <row r="48" spans="1:7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</sheetData>
  <mergeCells count="21">
    <mergeCell ref="A1:C1"/>
    <mergeCell ref="A4:F4"/>
    <mergeCell ref="A7:A10"/>
    <mergeCell ref="A11:F11"/>
    <mergeCell ref="A28:A29"/>
    <mergeCell ref="A14:A19"/>
    <mergeCell ref="A30:A31"/>
    <mergeCell ref="A36:A39"/>
    <mergeCell ref="A40:F40"/>
    <mergeCell ref="G21:H21"/>
    <mergeCell ref="A23:A27"/>
    <mergeCell ref="G23:G27"/>
    <mergeCell ref="H23:H27"/>
    <mergeCell ref="A21:A22"/>
    <mergeCell ref="B21:B22"/>
    <mergeCell ref="C21:C22"/>
    <mergeCell ref="D21:D22"/>
    <mergeCell ref="E21:E22"/>
    <mergeCell ref="F23:F27"/>
    <mergeCell ref="F21:F22"/>
    <mergeCell ref="B25:B27"/>
  </mergeCells>
  <pageMargins left="0.34739583333333335" right="0.7" top="0.75" bottom="0.75" header="0.3" footer="0.3"/>
  <pageSetup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6"/>
  <sheetViews>
    <sheetView showGridLines="0" view="pageLayout" zoomScale="62" zoomScaleNormal="80" zoomScalePageLayoutView="62" workbookViewId="0">
      <selection activeCell="A2" sqref="A2"/>
    </sheetView>
  </sheetViews>
  <sheetFormatPr defaultColWidth="9.1796875" defaultRowHeight="14.5"/>
  <cols>
    <col min="1" max="1" width="17" style="2" customWidth="1"/>
    <col min="2" max="2" width="45.453125" style="2" customWidth="1"/>
    <col min="3" max="3" width="36.54296875" style="2" customWidth="1"/>
    <col min="4" max="4" width="22.1796875" style="2" customWidth="1"/>
    <col min="5" max="5" width="34.54296875" style="2" customWidth="1"/>
    <col min="6" max="6" width="32" style="2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422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402">
        <v>86260.400000000009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402">
        <v>0.46136847720847002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402">
        <v>2205785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403">
        <f>+((C8*1000000)/C10)/C9</f>
        <v>84761.838955402389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4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57" customHeight="1">
      <c r="A15" s="443" t="str">
        <f>+ARG!$A$15</f>
        <v>Wages</v>
      </c>
      <c r="B15" s="287" t="str">
        <f>+ARG!$B$15</f>
        <v>Monthly minimum wage</v>
      </c>
      <c r="C15" s="253">
        <v>636.79999999999995</v>
      </c>
      <c r="D15" s="203" t="s">
        <v>73</v>
      </c>
      <c r="E15" s="203" t="s">
        <v>306</v>
      </c>
      <c r="F15" s="1"/>
    </row>
    <row r="16" spans="1:7">
      <c r="A16" s="443"/>
      <c r="B16" s="287" t="str">
        <f>+ARG!$B$16</f>
        <v>Monthly minimum wage (US $ PPP)</v>
      </c>
      <c r="C16" s="221">
        <f>+C15/C9</f>
        <v>1380.2416754889409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C16*12</f>
        <v>16562.900105867291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2295.57360834048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62">
        <f>C18*12</f>
        <v>27546.883300085759</v>
      </c>
      <c r="D19" s="203" t="s">
        <v>387</v>
      </c>
      <c r="E19" s="203" t="s">
        <v>229</v>
      </c>
      <c r="F19" s="1"/>
    </row>
    <row r="20" spans="1:8" ht="29">
      <c r="A20" s="443"/>
      <c r="B20" s="287" t="str">
        <f>+ARG!$B$20</f>
        <v>Annual average wage of informal wage workers (US $ PPP)</v>
      </c>
      <c r="C20" s="291">
        <v>13243.905862339707</v>
      </c>
      <c r="D20" s="203" t="s">
        <v>387</v>
      </c>
      <c r="E20" s="203" t="s">
        <v>229</v>
      </c>
      <c r="F20" s="1"/>
    </row>
    <row r="21" spans="1:8">
      <c r="A21" s="178"/>
      <c r="C21" s="200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>
      <c r="A23" s="478"/>
      <c r="B23" s="445" t="str">
        <f>+ARG!$B$24</f>
        <v>Category</v>
      </c>
      <c r="C23" s="479" t="str">
        <f>+ARG!$C$24</f>
        <v>Description</v>
      </c>
      <c r="D23" s="445" t="str">
        <f>+ARG!$D$24</f>
        <v>Worker's contribution</v>
      </c>
      <c r="E23" s="445" t="str">
        <f>+ARG!$E$24</f>
        <v>Employer Contribution</v>
      </c>
      <c r="F23" s="479" t="str">
        <f>+ARG!$F$24</f>
        <v>Contribution Base</v>
      </c>
      <c r="G23" s="445" t="str">
        <f>+ARG!$G$24</f>
        <v>Total contribution applied to each indicator</v>
      </c>
      <c r="H23" s="445"/>
    </row>
    <row r="24" spans="1:8" ht="15.75" customHeight="1">
      <c r="A24" s="478"/>
      <c r="B24" s="445"/>
      <c r="C24" s="479"/>
      <c r="D24" s="445"/>
      <c r="E24" s="445"/>
      <c r="F24" s="479"/>
      <c r="G24" s="338" t="str">
        <f>+ARG!$G$25</f>
        <v>ACSL</v>
      </c>
      <c r="H24" s="338" t="str">
        <f>+ARG!$H$25</f>
        <v>MCSL</v>
      </c>
    </row>
    <row r="25" spans="1:8" ht="34" customHeight="1">
      <c r="A25" s="443" t="str">
        <f>+ARG!$A$26</f>
        <v>Mandatory contributions</v>
      </c>
      <c r="B25" s="293" t="s">
        <v>316</v>
      </c>
      <c r="C25" s="296" t="s">
        <v>297</v>
      </c>
      <c r="D25" s="297">
        <v>9.2499999999999999E-2</v>
      </c>
      <c r="E25" s="297">
        <v>5.2499999999999998E-2</v>
      </c>
      <c r="F25" s="517" t="s">
        <v>368</v>
      </c>
      <c r="G25" s="516">
        <f>SUM(D25:E29)</f>
        <v>0.28070000000000001</v>
      </c>
      <c r="H25" s="516">
        <f>G25</f>
        <v>0.28070000000000001</v>
      </c>
    </row>
    <row r="26" spans="1:8" ht="22.5" customHeight="1">
      <c r="A26" s="443"/>
      <c r="B26" s="294" t="s">
        <v>233</v>
      </c>
      <c r="C26" s="298" t="s">
        <v>295</v>
      </c>
      <c r="D26" s="238">
        <v>5.0000000000000001E-3</v>
      </c>
      <c r="E26" s="238">
        <v>0.08</v>
      </c>
      <c r="F26" s="518"/>
      <c r="G26" s="516"/>
      <c r="H26" s="516"/>
    </row>
    <row r="27" spans="1:8" ht="26.5" customHeight="1">
      <c r="A27" s="443"/>
      <c r="B27" s="471" t="s">
        <v>234</v>
      </c>
      <c r="C27" s="299" t="s">
        <v>293</v>
      </c>
      <c r="D27" s="297"/>
      <c r="E27" s="297">
        <v>4.1999999999999997E-3</v>
      </c>
      <c r="F27" s="518"/>
      <c r="G27" s="516"/>
      <c r="H27" s="516"/>
    </row>
    <row r="28" spans="1:8" ht="26.5" customHeight="1">
      <c r="A28" s="443"/>
      <c r="B28" s="471"/>
      <c r="C28" s="299" t="s">
        <v>410</v>
      </c>
      <c r="D28" s="297"/>
      <c r="E28" s="297">
        <v>1.9E-2</v>
      </c>
      <c r="F28" s="518"/>
      <c r="G28" s="516"/>
      <c r="H28" s="516"/>
    </row>
    <row r="29" spans="1:8" ht="18.649999999999999" customHeight="1">
      <c r="A29" s="443"/>
      <c r="B29" s="471"/>
      <c r="C29" s="434" t="s">
        <v>74</v>
      </c>
      <c r="D29" s="297">
        <v>1.2500000000000001E-2</v>
      </c>
      <c r="E29" s="297">
        <v>1.4999999999999999E-2</v>
      </c>
      <c r="F29" s="518"/>
      <c r="G29" s="516"/>
      <c r="H29" s="516"/>
    </row>
    <row r="30" spans="1:8" s="5" customFormat="1">
      <c r="A30"/>
      <c r="B30" s="173"/>
    </row>
    <row r="31" spans="1:8" s="5" customFormat="1">
      <c r="A31" s="515"/>
      <c r="B31" s="173"/>
    </row>
    <row r="32" spans="1:8" s="5" customFormat="1">
      <c r="A32" s="515"/>
      <c r="B32" s="173"/>
    </row>
    <row r="33" spans="1:7" s="5" customFormat="1">
      <c r="A33" s="515"/>
      <c r="B33" s="54"/>
    </row>
    <row r="34" spans="1:7" s="5" customFormat="1">
      <c r="A34" s="515"/>
      <c r="B34" s="54"/>
    </row>
    <row r="35" spans="1:7" s="5" customFormat="1">
      <c r="A35" s="515"/>
      <c r="B35" s="54"/>
    </row>
    <row r="36" spans="1:7" s="5" customFormat="1">
      <c r="A36" s="515"/>
      <c r="B36" s="54"/>
    </row>
    <row r="37" spans="1:7" s="5" customFormat="1">
      <c r="A37"/>
      <c r="B37" s="54"/>
    </row>
    <row r="38" spans="1:7" s="5" customFormat="1" ht="15" thickBot="1">
      <c r="A38"/>
      <c r="B38" s="54"/>
    </row>
    <row r="39" spans="1:7">
      <c r="A39" s="382"/>
      <c r="B39" s="383" t="s">
        <v>44</v>
      </c>
      <c r="C39" s="383" t="s">
        <v>13</v>
      </c>
      <c r="D39" s="378" t="s">
        <v>14</v>
      </c>
      <c r="E39" s="384" t="s">
        <v>255</v>
      </c>
    </row>
    <row r="40" spans="1:7" ht="38.25" customHeight="1">
      <c r="A40" s="443" t="s">
        <v>235</v>
      </c>
      <c r="B40" s="339" t="str">
        <f>+ARG!$B$36</f>
        <v>Bonus</v>
      </c>
      <c r="C40" s="340">
        <v>30</v>
      </c>
      <c r="D40" s="374">
        <f>((($C$16/30.43)*C40))/$C$17</f>
        <v>8.2155767334866917E-2</v>
      </c>
      <c r="E40" s="203" t="s">
        <v>326</v>
      </c>
    </row>
    <row r="41" spans="1:7">
      <c r="A41" s="443"/>
      <c r="B41" s="342" t="str">
        <f>+ARG!$B$37</f>
        <v>Paid leave</v>
      </c>
      <c r="C41" s="327">
        <v>30</v>
      </c>
      <c r="D41" s="303">
        <f>(($C$16/30.43)*C41)/$C$17</f>
        <v>8.2155767334866917E-2</v>
      </c>
      <c r="E41" s="375" t="s">
        <v>344</v>
      </c>
    </row>
    <row r="42" spans="1:7">
      <c r="A42" s="443"/>
      <c r="B42" s="339" t="str">
        <f>+ARG!$B$38</f>
        <v>Firing notice *</v>
      </c>
      <c r="C42" s="340"/>
      <c r="D42" s="341">
        <f>(($C$16/30.43)*C42)/$C$17/5</f>
        <v>0</v>
      </c>
      <c r="E42" s="376"/>
    </row>
    <row r="43" spans="1:7" ht="52">
      <c r="A43" s="443"/>
      <c r="B43" s="342" t="str">
        <f>+ARG!$B$39</f>
        <v>Severance pay *</v>
      </c>
      <c r="C43" s="327">
        <v>119</v>
      </c>
      <c r="D43" s="297">
        <f>(($C$16/30.43)*C43)/$C$17/5</f>
        <v>6.5176908752327747E-2</v>
      </c>
      <c r="E43" s="377" t="s">
        <v>345</v>
      </c>
    </row>
    <row r="44" spans="1:7" ht="15" customHeight="1">
      <c r="A44" s="444" t="s">
        <v>237</v>
      </c>
      <c r="B44" s="444"/>
      <c r="C44" s="444"/>
      <c r="D44" s="444"/>
      <c r="E44" s="444"/>
      <c r="F44" s="444"/>
    </row>
    <row r="45" spans="1:7">
      <c r="E45" s="6"/>
    </row>
    <row r="46" spans="1:7">
      <c r="E46" s="1"/>
      <c r="F46" s="7"/>
      <c r="G46" s="3"/>
    </row>
    <row r="47" spans="1:7">
      <c r="B47" s="1"/>
      <c r="C47" s="1"/>
    </row>
    <row r="48" spans="1:7">
      <c r="B48" s="1"/>
      <c r="C48" s="7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</sheetData>
  <mergeCells count="23">
    <mergeCell ref="A44:F44"/>
    <mergeCell ref="G23:H23"/>
    <mergeCell ref="A25:A29"/>
    <mergeCell ref="G25:G29"/>
    <mergeCell ref="H25:H29"/>
    <mergeCell ref="A23:A24"/>
    <mergeCell ref="B23:B24"/>
    <mergeCell ref="C23:C24"/>
    <mergeCell ref="D23:D24"/>
    <mergeCell ref="E23:E24"/>
    <mergeCell ref="F23:F24"/>
    <mergeCell ref="A35:A36"/>
    <mergeCell ref="F25:F29"/>
    <mergeCell ref="B27:B29"/>
    <mergeCell ref="A40:A43"/>
    <mergeCell ref="A31:A32"/>
    <mergeCell ref="A33:A34"/>
    <mergeCell ref="A1:C1"/>
    <mergeCell ref="A5:F5"/>
    <mergeCell ref="A8:A11"/>
    <mergeCell ref="A12:F12"/>
    <mergeCell ref="A15:A20"/>
    <mergeCell ref="A22:H22"/>
  </mergeCells>
  <pageMargins left="0.38958333333333334" right="0.7" top="0.75" bottom="0.75" header="0.3" footer="0.3"/>
  <pageSetup scale="44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showGridLines="0" view="pageLayout" topLeftCell="D11" zoomScale="60" zoomScaleNormal="80" zoomScalePageLayoutView="60" workbookViewId="0">
      <selection activeCell="C28" sqref="C28"/>
    </sheetView>
  </sheetViews>
  <sheetFormatPr defaultColWidth="9.1796875" defaultRowHeight="14.5"/>
  <cols>
    <col min="1" max="1" width="1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29.81640625" style="2" bestFit="1" customWidth="1"/>
    <col min="7" max="7" width="13.7265625" style="2" customWidth="1"/>
    <col min="8" max="8" width="14.1796875" style="2" bestFit="1" customWidth="1"/>
    <col min="9" max="16384" width="9.1796875" style="2"/>
  </cols>
  <sheetData>
    <row r="1" spans="1:7" ht="28.5">
      <c r="A1" s="458" t="s">
        <v>75</v>
      </c>
      <c r="B1" s="458"/>
      <c r="C1" s="458"/>
    </row>
    <row r="2" spans="1:7" ht="18.5">
      <c r="A2" s="34">
        <v>2025</v>
      </c>
    </row>
    <row r="4" spans="1:7" ht="30" customHeight="1">
      <c r="A4" s="459" t="str">
        <f>+ARG!A5</f>
        <v>DATA INPUT FOR CALCULATIONS</v>
      </c>
      <c r="B4" s="459"/>
      <c r="C4" s="459"/>
      <c r="D4" s="459"/>
      <c r="E4" s="459"/>
      <c r="F4" s="459"/>
      <c r="G4" s="40"/>
    </row>
    <row r="5" spans="1:7" ht="30" customHeight="1">
      <c r="A5" s="319"/>
      <c r="B5" s="319"/>
      <c r="C5" s="319"/>
      <c r="D5" s="319"/>
      <c r="E5" s="319"/>
      <c r="F5" s="319"/>
      <c r="G5" s="40"/>
    </row>
    <row r="6" spans="1:7">
      <c r="G6" s="40"/>
    </row>
    <row r="7" spans="1:7">
      <c r="A7" s="313"/>
      <c r="B7" s="313"/>
      <c r="C7" s="314">
        <v>2024</v>
      </c>
      <c r="D7" s="314" t="str">
        <f>+ARG!$D$7</f>
        <v>Units</v>
      </c>
      <c r="E7" s="314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8">
        <v>336114.38239809999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8">
        <v>2618.66324027066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 ht="27.75" customHeight="1">
      <c r="A10" s="443"/>
      <c r="B10" s="287" t="str">
        <f>+ARG!$B$10</f>
        <v>Employment</v>
      </c>
      <c r="C10" s="328">
        <v>3502274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+((C8*1000000000)/C10)/C9</f>
        <v>36648.594564049621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265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40.5" customHeight="1">
      <c r="A15" s="443" t="str">
        <f>+ARG!$A$15</f>
        <v>Wages</v>
      </c>
      <c r="B15" s="287" t="str">
        <f>+ARG!$B$15</f>
        <v>Monthly minimum wage</v>
      </c>
      <c r="C15" s="253">
        <v>2899048</v>
      </c>
      <c r="D15" s="203" t="s">
        <v>76</v>
      </c>
      <c r="E15" s="288" t="s">
        <v>77</v>
      </c>
      <c r="F15" s="215"/>
    </row>
    <row r="16" spans="1:7">
      <c r="A16" s="443"/>
      <c r="B16" s="287" t="str">
        <f>+ARG!$B$16</f>
        <v>Monthly minimum wage (US $ PPP)</v>
      </c>
      <c r="C16" s="221">
        <f>+C15/C9</f>
        <v>1107.0717133144467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C16*12</f>
        <v>13284.86055977336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1570.0869576398989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62">
        <f>C18*12</f>
        <v>18841.043491678785</v>
      </c>
      <c r="D19" s="203" t="s">
        <v>387</v>
      </c>
      <c r="E19" s="203" t="s">
        <v>229</v>
      </c>
      <c r="F19" s="1"/>
    </row>
    <row r="20" spans="1:8" ht="29">
      <c r="A20" s="443"/>
      <c r="B20" s="287" t="str">
        <f>+ARG!$B$20</f>
        <v>Annual average wage of informal wage workers (US $ PPP)</v>
      </c>
      <c r="C20" s="291">
        <v>11274.746422509974</v>
      </c>
      <c r="D20" s="203" t="s">
        <v>387</v>
      </c>
      <c r="E20" s="203" t="s">
        <v>229</v>
      </c>
      <c r="F20" s="1"/>
    </row>
    <row r="21" spans="1:8">
      <c r="A21" s="178"/>
      <c r="C21" s="200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>
      <c r="A23" s="478"/>
      <c r="B23" s="445" t="str">
        <f>+ARG!$B$24</f>
        <v>Category</v>
      </c>
      <c r="C23" s="479" t="str">
        <f>+ARG!$C$24</f>
        <v>Description</v>
      </c>
      <c r="D23" s="445" t="str">
        <f>+ARG!$D$24</f>
        <v>Worker's contribution</v>
      </c>
      <c r="E23" s="445" t="str">
        <f>+ARG!$E$24</f>
        <v>Employer Contribution</v>
      </c>
      <c r="F23" s="479" t="str">
        <f>+ARG!$F$24</f>
        <v>Contribution Base</v>
      </c>
      <c r="G23" s="445" t="str">
        <f>+ARG!$G$24</f>
        <v>Total contribution applied to each indicator</v>
      </c>
      <c r="H23" s="445"/>
    </row>
    <row r="24" spans="1:8" ht="15.75" customHeight="1">
      <c r="A24" s="478"/>
      <c r="B24" s="445"/>
      <c r="C24" s="479"/>
      <c r="D24" s="445"/>
      <c r="E24" s="445"/>
      <c r="F24" s="479"/>
      <c r="G24" s="338" t="str">
        <f>+ARG!$G$25</f>
        <v>ACSL</v>
      </c>
      <c r="H24" s="338" t="str">
        <f>+ARG!$H$25</f>
        <v>MCSL</v>
      </c>
    </row>
    <row r="25" spans="1:8" ht="25.5" customHeight="1">
      <c r="A25" s="443" t="str">
        <f>+ARG!$A$26</f>
        <v>Mandatory contributions</v>
      </c>
      <c r="B25" s="305" t="s">
        <v>316</v>
      </c>
      <c r="C25" s="296" t="s">
        <v>297</v>
      </c>
      <c r="D25" s="520">
        <v>0.09</v>
      </c>
      <c r="E25" s="520">
        <v>0.14000000000000001</v>
      </c>
      <c r="F25" s="474" t="s">
        <v>247</v>
      </c>
      <c r="G25" s="519">
        <v>0.255</v>
      </c>
      <c r="H25" s="519">
        <v>0.255</v>
      </c>
    </row>
    <row r="26" spans="1:8" ht="14.5" customHeight="1">
      <c r="A26" s="443"/>
      <c r="B26" s="372" t="s">
        <v>233</v>
      </c>
      <c r="C26" s="298" t="s">
        <v>295</v>
      </c>
      <c r="D26" s="520"/>
      <c r="E26" s="520"/>
      <c r="F26" s="474"/>
      <c r="G26" s="519"/>
      <c r="H26" s="519"/>
    </row>
    <row r="27" spans="1:8" ht="14.5" customHeight="1">
      <c r="A27" s="443"/>
      <c r="B27" s="471" t="s">
        <v>234</v>
      </c>
      <c r="C27" s="299" t="s">
        <v>293</v>
      </c>
      <c r="D27" s="317"/>
      <c r="E27" s="317"/>
      <c r="F27" s="474"/>
      <c r="G27" s="519"/>
      <c r="H27" s="519"/>
    </row>
    <row r="28" spans="1:8" ht="26">
      <c r="A28" s="443"/>
      <c r="B28" s="471"/>
      <c r="C28" s="434" t="s">
        <v>417</v>
      </c>
      <c r="D28" s="236"/>
      <c r="E28" s="303">
        <v>0.01</v>
      </c>
      <c r="F28" s="474"/>
      <c r="G28" s="519"/>
      <c r="H28" s="519"/>
    </row>
    <row r="29" spans="1:8" ht="24">
      <c r="A29" s="443"/>
      <c r="B29" s="471"/>
      <c r="C29" s="436" t="s">
        <v>385</v>
      </c>
      <c r="D29" s="236"/>
      <c r="E29" s="303">
        <v>1.4999999999999999E-2</v>
      </c>
      <c r="F29" s="474"/>
      <c r="G29" s="519"/>
      <c r="H29" s="519"/>
    </row>
    <row r="30" spans="1:8" ht="18.5">
      <c r="A30"/>
      <c r="B30" s="54"/>
      <c r="C30" s="57"/>
      <c r="D30" s="60"/>
      <c r="E30" s="266"/>
      <c r="F30" s="267"/>
      <c r="G30" s="168"/>
      <c r="H30" s="168"/>
    </row>
    <row r="31" spans="1:8" ht="18.5">
      <c r="A31"/>
      <c r="B31" s="54"/>
      <c r="C31" s="57"/>
      <c r="D31" s="60"/>
      <c r="E31" s="180"/>
      <c r="F31" s="61"/>
      <c r="G31" s="168"/>
      <c r="H31" s="168"/>
    </row>
    <row r="32" spans="1:8" ht="18.5">
      <c r="A32"/>
      <c r="B32" s="54"/>
      <c r="C32" s="57"/>
      <c r="D32" s="60"/>
      <c r="E32" s="180"/>
      <c r="F32" s="61"/>
      <c r="G32" s="168"/>
      <c r="H32" s="168"/>
    </row>
    <row r="33" spans="1:8" ht="18.5">
      <c r="A33"/>
      <c r="B33" s="54"/>
      <c r="C33" s="57"/>
      <c r="D33" s="60"/>
      <c r="E33" s="180"/>
      <c r="F33" s="61"/>
      <c r="G33" s="168"/>
      <c r="H33" s="168"/>
    </row>
    <row r="34" spans="1:8" ht="18.5">
      <c r="A34" s="171"/>
      <c r="B34" s="54"/>
      <c r="C34" s="57"/>
      <c r="D34" s="60"/>
      <c r="E34" s="180"/>
      <c r="F34" s="61"/>
      <c r="G34" s="168"/>
      <c r="H34" s="168"/>
    </row>
    <row r="35" spans="1:8" ht="18.5">
      <c r="A35" s="178"/>
      <c r="B35" s="56"/>
      <c r="C35" s="57"/>
      <c r="D35" s="60"/>
      <c r="E35" s="180"/>
      <c r="F35" s="61"/>
      <c r="G35" s="168"/>
      <c r="H35" s="168"/>
    </row>
    <row r="36" spans="1:8">
      <c r="A36" s="337"/>
      <c r="B36" s="337" t="s">
        <v>44</v>
      </c>
      <c r="C36" s="337" t="s">
        <v>13</v>
      </c>
      <c r="D36" s="338" t="s">
        <v>14</v>
      </c>
      <c r="E36" s="338" t="s">
        <v>255</v>
      </c>
      <c r="G36" s="40"/>
    </row>
    <row r="37" spans="1:8" ht="25.5" customHeight="1">
      <c r="A37" s="443" t="s">
        <v>235</v>
      </c>
      <c r="B37" s="339" t="str">
        <f>+ARG!$B$36</f>
        <v>Bonus</v>
      </c>
      <c r="C37" s="340">
        <v>30</v>
      </c>
      <c r="D37" s="374">
        <f>((($C$16/30.43)*C37))/$C$17</f>
        <v>8.2155767334866917E-2</v>
      </c>
      <c r="E37" s="203" t="s">
        <v>334</v>
      </c>
    </row>
    <row r="38" spans="1:8">
      <c r="A38" s="443"/>
      <c r="B38" s="342" t="str">
        <f>+ARG!$B$37</f>
        <v>Paid leave</v>
      </c>
      <c r="C38" s="327">
        <v>12</v>
      </c>
      <c r="D38" s="303">
        <f>((($C$16/30.43)*C38))/$C$17</f>
        <v>3.2862306933946761E-2</v>
      </c>
      <c r="E38" s="375" t="s">
        <v>347</v>
      </c>
    </row>
    <row r="39" spans="1:8">
      <c r="A39" s="443"/>
      <c r="B39" s="339" t="str">
        <f>+ARG!$B$38</f>
        <v>Firing notice *</v>
      </c>
      <c r="C39" s="340">
        <v>45</v>
      </c>
      <c r="D39" s="341">
        <f>((($C$16/30.43)*C39))/$C$17/5</f>
        <v>2.4646730200460074E-2</v>
      </c>
      <c r="E39" s="376" t="s">
        <v>348</v>
      </c>
    </row>
    <row r="40" spans="1:8" ht="26">
      <c r="A40" s="443"/>
      <c r="B40" s="342" t="str">
        <f>+ARG!$B$39</f>
        <v>Severance pay *</v>
      </c>
      <c r="C40" s="327">
        <v>75</v>
      </c>
      <c r="D40" s="297">
        <f>((($C$16/30.43)*C40))/$C$17/5</f>
        <v>4.1077883667433451E-2</v>
      </c>
      <c r="E40" s="377" t="s">
        <v>335</v>
      </c>
    </row>
    <row r="41" spans="1:8" ht="15" customHeight="1">
      <c r="A41" s="444" t="s">
        <v>237</v>
      </c>
      <c r="B41" s="444"/>
      <c r="C41" s="444"/>
      <c r="D41" s="444"/>
      <c r="E41" s="444"/>
      <c r="F41" s="444"/>
    </row>
    <row r="42" spans="1:8">
      <c r="E42" s="6"/>
    </row>
    <row r="43" spans="1:8">
      <c r="E43" s="40"/>
    </row>
    <row r="44" spans="1:8">
      <c r="B44" s="1"/>
      <c r="C44" s="1"/>
    </row>
    <row r="45" spans="1:8">
      <c r="B45" s="1"/>
      <c r="C45" s="7"/>
    </row>
    <row r="46" spans="1:8">
      <c r="C46" s="3"/>
    </row>
    <row r="47" spans="1:8">
      <c r="C47" s="3"/>
    </row>
    <row r="48" spans="1:8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</sheetData>
  <mergeCells count="22">
    <mergeCell ref="A22:H22"/>
    <mergeCell ref="A1:C1"/>
    <mergeCell ref="A4:F4"/>
    <mergeCell ref="A8:A11"/>
    <mergeCell ref="A12:F12"/>
    <mergeCell ref="A15:A20"/>
    <mergeCell ref="H25:H29"/>
    <mergeCell ref="A37:A40"/>
    <mergeCell ref="A41:F41"/>
    <mergeCell ref="G23:H23"/>
    <mergeCell ref="A23:A24"/>
    <mergeCell ref="B23:B24"/>
    <mergeCell ref="C23:C24"/>
    <mergeCell ref="D23:D24"/>
    <mergeCell ref="E23:E24"/>
    <mergeCell ref="F23:F24"/>
    <mergeCell ref="A25:A29"/>
    <mergeCell ref="F25:F29"/>
    <mergeCell ref="G25:G29"/>
    <mergeCell ref="D25:D26"/>
    <mergeCell ref="E25:E26"/>
    <mergeCell ref="B27:B29"/>
  </mergeCells>
  <pageMargins left="0.3515625" right="0.7" top="0.75" bottom="0.75" header="0.3" footer="0.3"/>
  <pageSetup scale="45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1"/>
  <sheetViews>
    <sheetView showGridLines="0" view="pageLayout" zoomScale="64" zoomScaleNormal="80" zoomScalePageLayoutView="64" workbookViewId="0">
      <selection activeCell="A2" sqref="A2"/>
    </sheetView>
  </sheetViews>
  <sheetFormatPr defaultColWidth="9.1796875" defaultRowHeight="14.5"/>
  <cols>
    <col min="1" max="1" width="14.72656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34.54296875" style="2" customWidth="1"/>
    <col min="6" max="6" width="16.269531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423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>
      <c r="G6" s="40"/>
    </row>
    <row r="7" spans="1:7">
      <c r="A7" s="313"/>
      <c r="B7" s="313"/>
      <c r="C7" s="314">
        <v>2024</v>
      </c>
      <c r="D7" s="314" t="str">
        <f>+ARG!$D$7</f>
        <v>Units</v>
      </c>
      <c r="E7" s="314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4">
        <v>1085.7083250999999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4">
        <v>1.78230274122345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 ht="27.75" customHeight="1">
      <c r="A10" s="443"/>
      <c r="B10" s="287" t="str">
        <f>+ARG!$B$10</f>
        <v>Employment</v>
      </c>
      <c r="C10" s="324">
        <v>18917570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221">
        <f>+((C8*1000000000)/C10)/C9</f>
        <v>32200.776405606397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4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40.5" customHeight="1">
      <c r="A15" s="443" t="str">
        <f>+ARG!$A$15</f>
        <v>Wages</v>
      </c>
      <c r="B15" s="287" t="str">
        <f>+ARG!$B$15</f>
        <v>Monthly minimum wage</v>
      </c>
      <c r="C15" s="232">
        <v>1130</v>
      </c>
      <c r="D15" s="203" t="s">
        <v>78</v>
      </c>
      <c r="E15" s="203" t="s">
        <v>303</v>
      </c>
      <c r="F15" s="1"/>
    </row>
    <row r="16" spans="1:7">
      <c r="A16" s="443"/>
      <c r="B16" s="287" t="str">
        <f>+ARG!$B$16</f>
        <v>Monthly minimum wage (US $ PPP)</v>
      </c>
      <c r="C16" s="221">
        <f>+C15/C9</f>
        <v>634.01125626071746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+C16*12</f>
        <v>7608.13507512861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1141.6853898811853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21">
        <f>+C18*12</f>
        <v>13700.224678574225</v>
      </c>
      <c r="D19" s="203" t="s">
        <v>387</v>
      </c>
      <c r="E19" s="203" t="s">
        <v>229</v>
      </c>
      <c r="F19" s="1"/>
    </row>
    <row r="20" spans="1:8" ht="29">
      <c r="A20" s="443"/>
      <c r="B20" s="287" t="str">
        <f>+ARG!$B$20</f>
        <v>Annual average wage of informal wage workers (US $ PPP)</v>
      </c>
      <c r="C20" s="291">
        <v>7357.1810763186386</v>
      </c>
      <c r="D20" s="203" t="s">
        <v>387</v>
      </c>
      <c r="E20" s="203" t="s">
        <v>229</v>
      </c>
      <c r="F20" s="1"/>
    </row>
    <row r="21" spans="1:8">
      <c r="A21" s="178"/>
      <c r="C21" s="200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72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 thickBot="1">
      <c r="A24" s="524"/>
      <c r="B24" s="525"/>
      <c r="C24" s="526"/>
      <c r="D24" s="525"/>
      <c r="E24" s="525"/>
      <c r="F24" s="527"/>
      <c r="G24" s="209" t="str">
        <f>+ARG!$G$25</f>
        <v>ACSL</v>
      </c>
      <c r="H24" s="209" t="str">
        <f>+ARG!$H$25</f>
        <v>MCSL</v>
      </c>
    </row>
    <row r="25" spans="1:8" ht="14.9" customHeight="1">
      <c r="A25" s="482" t="str">
        <f>+ARG!$A$26</f>
        <v>Mandatory contributions</v>
      </c>
      <c r="B25" s="244" t="s">
        <v>316</v>
      </c>
      <c r="C25" s="246" t="s">
        <v>297</v>
      </c>
      <c r="D25" s="239">
        <v>0.13</v>
      </c>
      <c r="E25" s="240">
        <v>0</v>
      </c>
      <c r="F25" s="528" t="s">
        <v>308</v>
      </c>
      <c r="G25" s="521">
        <f>H25</f>
        <v>0.32630000000000003</v>
      </c>
      <c r="H25" s="521">
        <f>SUM(D25:E28)</f>
        <v>0.32630000000000003</v>
      </c>
    </row>
    <row r="26" spans="1:8" ht="33" customHeight="1">
      <c r="A26" s="483"/>
      <c r="B26" s="245" t="s">
        <v>233</v>
      </c>
      <c r="C26" s="247" t="s">
        <v>295</v>
      </c>
      <c r="D26" s="238"/>
      <c r="E26" s="241">
        <v>0.09</v>
      </c>
      <c r="F26" s="529"/>
      <c r="G26" s="522"/>
      <c r="H26" s="522"/>
    </row>
    <row r="27" spans="1:8" ht="33" customHeight="1">
      <c r="A27" s="483"/>
      <c r="B27" s="531" t="s">
        <v>234</v>
      </c>
      <c r="C27" s="248" t="s">
        <v>293</v>
      </c>
      <c r="D27" s="236">
        <v>0</v>
      </c>
      <c r="E27" s="242">
        <v>6.3E-3</v>
      </c>
      <c r="F27" s="529"/>
      <c r="G27" s="522"/>
      <c r="H27" s="522"/>
    </row>
    <row r="28" spans="1:8" ht="27" customHeight="1" thickBot="1">
      <c r="A28" s="484"/>
      <c r="B28" s="532"/>
      <c r="C28" s="435" t="s">
        <v>307</v>
      </c>
      <c r="D28" s="237">
        <v>0</v>
      </c>
      <c r="E28" s="243">
        <v>0.1</v>
      </c>
      <c r="F28" s="530"/>
      <c r="G28" s="523"/>
      <c r="H28" s="523"/>
    </row>
    <row r="29" spans="1:8" ht="15" customHeight="1">
      <c r="A29"/>
      <c r="B29" s="54"/>
      <c r="C29" s="55"/>
      <c r="D29" s="55"/>
      <c r="E29" s="55"/>
      <c r="F29" s="55"/>
    </row>
    <row r="30" spans="1:8" ht="15.75" customHeight="1">
      <c r="A30"/>
      <c r="B30" s="54"/>
      <c r="C30" s="55"/>
      <c r="D30" s="55"/>
      <c r="E30" s="55"/>
      <c r="F30" s="55"/>
    </row>
    <row r="31" spans="1:8" ht="15.75" customHeight="1">
      <c r="A31"/>
      <c r="B31" s="54"/>
      <c r="C31" s="55"/>
      <c r="D31" s="55"/>
      <c r="E31" s="55"/>
      <c r="F31" s="55"/>
      <c r="G31" s="167"/>
    </row>
    <row r="32" spans="1:8" ht="15.75" customHeight="1">
      <c r="A32"/>
      <c r="B32" s="54"/>
      <c r="C32" s="55"/>
      <c r="D32" s="55"/>
      <c r="E32" s="55"/>
      <c r="F32" s="55"/>
      <c r="G32" s="167"/>
    </row>
    <row r="33" spans="1:7" ht="15.75" customHeight="1" thickBot="1">
      <c r="A33"/>
      <c r="B33" s="54"/>
      <c r="C33" s="55"/>
      <c r="D33" s="55"/>
      <c r="E33" s="55"/>
      <c r="F33" s="55"/>
      <c r="G33" s="167"/>
    </row>
    <row r="34" spans="1:7" ht="15" thickBot="1">
      <c r="A34" s="64"/>
      <c r="B34" s="27" t="s">
        <v>44</v>
      </c>
      <c r="C34" s="27" t="s">
        <v>13</v>
      </c>
      <c r="D34" s="30" t="s">
        <v>14</v>
      </c>
      <c r="E34" s="28" t="s">
        <v>255</v>
      </c>
    </row>
    <row r="35" spans="1:7" ht="15" customHeight="1">
      <c r="A35" s="482" t="s">
        <v>235</v>
      </c>
      <c r="B35" s="38" t="str">
        <f>+ARG!$B$36</f>
        <v>Bonus</v>
      </c>
      <c r="C35" s="41">
        <v>60</v>
      </c>
      <c r="D35" s="256">
        <f>(($C$16/30.43)*C35)/$C$17</f>
        <v>0.16431153466973381</v>
      </c>
      <c r="E35" s="15" t="s">
        <v>349</v>
      </c>
    </row>
    <row r="36" spans="1:7" ht="26">
      <c r="A36" s="483"/>
      <c r="B36" s="25" t="str">
        <f>+ARG!$B$37</f>
        <v>Paid leave</v>
      </c>
      <c r="C36" s="47">
        <v>30</v>
      </c>
      <c r="D36" s="257">
        <f>(($C$16/30.43)*C36)/$C$17</f>
        <v>8.2155767334866903E-2</v>
      </c>
      <c r="E36" s="33" t="s">
        <v>350</v>
      </c>
    </row>
    <row r="37" spans="1:7" ht="26">
      <c r="A37" s="483"/>
      <c r="B37" s="24" t="str">
        <f>+ARG!$B$38</f>
        <v>Firing notice *</v>
      </c>
      <c r="C37" s="48"/>
      <c r="D37" s="258">
        <f>(($C$16/30.43)*C37)/$C$17/5</f>
        <v>0</v>
      </c>
      <c r="E37" s="49" t="s">
        <v>351</v>
      </c>
    </row>
    <row r="38" spans="1:7" ht="65.5" thickBot="1">
      <c r="A38" s="484"/>
      <c r="B38" s="26" t="str">
        <f>+ARG!$B$39</f>
        <v>Severance pay *</v>
      </c>
      <c r="C38" s="50">
        <v>225</v>
      </c>
      <c r="D38" s="259">
        <f>(($C$16/30.43)*C38)/$C$17/5</f>
        <v>0.12323365100230037</v>
      </c>
      <c r="E38" s="51" t="s">
        <v>352</v>
      </c>
    </row>
    <row r="39" spans="1:7" ht="15" customHeight="1">
      <c r="A39" s="444" t="s">
        <v>237</v>
      </c>
      <c r="B39" s="444"/>
      <c r="C39" s="444"/>
      <c r="D39" s="444"/>
      <c r="E39" s="444"/>
      <c r="F39" s="444"/>
    </row>
    <row r="40" spans="1:7">
      <c r="E40" s="6"/>
    </row>
    <row r="41" spans="1:7">
      <c r="E41" s="40"/>
    </row>
    <row r="42" spans="1:7">
      <c r="B42" s="1"/>
      <c r="C42" s="1"/>
    </row>
    <row r="43" spans="1:7">
      <c r="B43" s="1"/>
      <c r="C43" s="7"/>
    </row>
    <row r="44" spans="1:7">
      <c r="C44" s="3"/>
    </row>
    <row r="45" spans="1:7">
      <c r="C45" s="3"/>
    </row>
    <row r="46" spans="1:7">
      <c r="C46" s="3"/>
    </row>
    <row r="47" spans="1:7">
      <c r="C47" s="3"/>
    </row>
    <row r="48" spans="1:7">
      <c r="C48" s="3"/>
    </row>
    <row r="49" spans="3:3">
      <c r="C49" s="3"/>
    </row>
    <row r="50" spans="3:3">
      <c r="C50" s="3"/>
    </row>
    <row r="51" spans="3:3">
      <c r="C51" s="3"/>
    </row>
  </sheetData>
  <mergeCells count="20">
    <mergeCell ref="A22:H22"/>
    <mergeCell ref="A1:C1"/>
    <mergeCell ref="A5:F5"/>
    <mergeCell ref="A8:A11"/>
    <mergeCell ref="A12:F12"/>
    <mergeCell ref="A15:A20"/>
    <mergeCell ref="A35:A38"/>
    <mergeCell ref="A39:F39"/>
    <mergeCell ref="G23:H23"/>
    <mergeCell ref="A25:A28"/>
    <mergeCell ref="G25:G28"/>
    <mergeCell ref="H25:H28"/>
    <mergeCell ref="A23:A24"/>
    <mergeCell ref="B23:B24"/>
    <mergeCell ref="C23:C24"/>
    <mergeCell ref="D23:D24"/>
    <mergeCell ref="E23:E24"/>
    <mergeCell ref="F23:F24"/>
    <mergeCell ref="F25:F28"/>
    <mergeCell ref="B27:B28"/>
  </mergeCells>
  <pageMargins left="0.45299479166666667" right="0.7" top="0.75" bottom="0.75" header="0.3" footer="0.3"/>
  <pageSetup scale="4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showGridLines="0" view="pageLayout" topLeftCell="D15" zoomScale="71" zoomScaleNormal="80" zoomScalePageLayoutView="71" workbookViewId="0">
      <selection activeCell="C28" sqref="C28"/>
    </sheetView>
  </sheetViews>
  <sheetFormatPr defaultColWidth="9.1796875" defaultRowHeight="14.5"/>
  <cols>
    <col min="1" max="1" width="17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24.1796875" style="2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79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>
      <c r="G6" s="40"/>
    </row>
    <row r="7" spans="1:7">
      <c r="A7" s="313"/>
      <c r="B7" s="313"/>
      <c r="C7" s="314">
        <v>2024</v>
      </c>
      <c r="D7" s="314" t="str">
        <f>+ARG!$D$7</f>
        <v>Units</v>
      </c>
      <c r="E7" s="314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8">
        <v>35364.960000000006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8">
        <v>0.42066105967543599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28">
        <v>2890348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+((C8*1000000/C10)/C9)</f>
        <v>29086.45037199109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265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15" customHeight="1">
      <c r="A15" s="443" t="str">
        <f>+ARG!$A$15</f>
        <v>Wages</v>
      </c>
      <c r="B15" s="287" t="str">
        <f>+ARG!$B$15</f>
        <v>Monthly minimum wage</v>
      </c>
      <c r="C15" s="253">
        <v>375.74133333333333</v>
      </c>
      <c r="D15" s="203" t="s">
        <v>80</v>
      </c>
      <c r="E15" s="288" t="s">
        <v>309</v>
      </c>
      <c r="F15" s="215"/>
    </row>
    <row r="16" spans="1:7">
      <c r="A16" s="443"/>
      <c r="B16" s="287" t="str">
        <f>+ARG!$B$16</f>
        <v>Monthly minimum wage (US $ PPP)</v>
      </c>
      <c r="C16" s="221">
        <f>+C15/C9</f>
        <v>893.21634292282533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+C16*12</f>
        <v>10718.596115073904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f>565.751713784984*(1+0.0085)/C9</f>
        <v>1356.342809083342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62">
        <f>C18*12</f>
        <v>16276.113709000103</v>
      </c>
      <c r="D19" s="203" t="s">
        <v>387</v>
      </c>
      <c r="E19" s="203" t="s">
        <v>229</v>
      </c>
      <c r="F19" s="214"/>
    </row>
    <row r="20" spans="1:8" ht="29">
      <c r="A20" s="443"/>
      <c r="B20" s="287" t="str">
        <f>+ARG!$B$20</f>
        <v>Annual average wage of informal wage workers (US $ PPP)</v>
      </c>
      <c r="C20" s="291">
        <f>330.074953636207*(1+0.0085)/C9*12</f>
        <v>9495.9278902292826</v>
      </c>
      <c r="D20" s="203" t="s">
        <v>387</v>
      </c>
      <c r="E20" s="203" t="s">
        <v>229</v>
      </c>
      <c r="F20" s="1"/>
    </row>
    <row r="21" spans="1:8">
      <c r="A21" s="178"/>
      <c r="C21" s="200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27.75" customHeight="1">
      <c r="A23" s="447"/>
      <c r="B23" s="445" t="str">
        <f>+ARG!$B$24</f>
        <v>Category</v>
      </c>
      <c r="C23" s="479" t="str">
        <f>+ARG!$C$24</f>
        <v>Description</v>
      </c>
      <c r="D23" s="445" t="str">
        <f>+ARG!$D$24</f>
        <v>Worker's contribution</v>
      </c>
      <c r="E23" s="445" t="str">
        <f>+ARG!$E$24</f>
        <v>Employer Contribution</v>
      </c>
      <c r="F23" s="479" t="str">
        <f>+ARG!$F$24</f>
        <v>Contribution Base</v>
      </c>
      <c r="G23" s="445" t="str">
        <f>+ARG!$G$24</f>
        <v>Total contribution applied to each indicator</v>
      </c>
      <c r="H23" s="445"/>
    </row>
    <row r="24" spans="1:8" ht="15.75" customHeight="1" thickBot="1">
      <c r="A24" s="448"/>
      <c r="B24" s="445"/>
      <c r="C24" s="479"/>
      <c r="D24" s="445"/>
      <c r="E24" s="445"/>
      <c r="F24" s="479"/>
      <c r="G24" s="338" t="str">
        <f>+ARG!$G$25</f>
        <v>ACSL</v>
      </c>
      <c r="H24" s="338" t="str">
        <f>+ARG!$H$25</f>
        <v>MCSL</v>
      </c>
    </row>
    <row r="25" spans="1:8" ht="28.5" customHeight="1">
      <c r="A25" s="482" t="str">
        <f>+ARG!$A$26</f>
        <v>Mandatory contributions</v>
      </c>
      <c r="B25" s="305" t="s">
        <v>316</v>
      </c>
      <c r="C25" s="296" t="s">
        <v>297</v>
      </c>
      <c r="D25" s="303">
        <v>7.2499999999999995E-2</v>
      </c>
      <c r="E25" s="303">
        <v>8.7499999999999994E-2</v>
      </c>
      <c r="F25" s="470" t="s">
        <v>299</v>
      </c>
      <c r="G25" s="461">
        <f>SUM(D25:E28)</f>
        <v>0.27499999999999997</v>
      </c>
      <c r="H25" s="461">
        <f>SUM(D25:E28)</f>
        <v>0.27499999999999997</v>
      </c>
    </row>
    <row r="26" spans="1:8">
      <c r="A26" s="483"/>
      <c r="B26" s="372" t="s">
        <v>233</v>
      </c>
      <c r="C26" s="298" t="s">
        <v>295</v>
      </c>
      <c r="D26" s="304">
        <v>0.03</v>
      </c>
      <c r="E26" s="304">
        <v>7.4999999999999997E-2</v>
      </c>
      <c r="F26" s="470"/>
      <c r="G26" s="461"/>
      <c r="H26" s="461"/>
    </row>
    <row r="27" spans="1:8">
      <c r="A27" s="483"/>
      <c r="B27" s="471" t="s">
        <v>234</v>
      </c>
      <c r="C27" s="299" t="s">
        <v>293</v>
      </c>
      <c r="D27" s="306"/>
      <c r="E27" s="297"/>
      <c r="F27" s="470"/>
      <c r="G27" s="461"/>
      <c r="H27" s="461"/>
    </row>
    <row r="28" spans="1:8" ht="26.5" thickBot="1">
      <c r="A28" s="484"/>
      <c r="B28" s="471"/>
      <c r="C28" s="434" t="s">
        <v>379</v>
      </c>
      <c r="D28" s="297"/>
      <c r="E28" s="297">
        <v>0.01</v>
      </c>
      <c r="F28" s="470"/>
      <c r="G28" s="461"/>
      <c r="H28" s="461"/>
    </row>
    <row r="29" spans="1:8">
      <c r="A29" s="70"/>
      <c r="B29" s="63"/>
      <c r="C29" s="62"/>
      <c r="D29" s="62"/>
      <c r="E29" s="62"/>
      <c r="F29" s="62"/>
    </row>
    <row r="30" spans="1:8">
      <c r="A30" s="1"/>
      <c r="B30" s="63"/>
      <c r="C30" s="8"/>
      <c r="D30" s="8"/>
      <c r="E30" s="8"/>
      <c r="F30" s="8"/>
      <c r="G30" s="59"/>
      <c r="H30" s="59"/>
    </row>
    <row r="31" spans="1:8">
      <c r="A31" s="70"/>
      <c r="B31" s="63"/>
      <c r="C31" s="8"/>
      <c r="D31" s="8"/>
      <c r="E31" s="8"/>
      <c r="F31" s="8"/>
    </row>
    <row r="32" spans="1:8">
      <c r="A32" s="70"/>
      <c r="B32" s="63"/>
      <c r="C32" s="8"/>
      <c r="D32" s="8"/>
      <c r="E32" s="8"/>
      <c r="F32" s="8"/>
    </row>
    <row r="33" spans="1:6">
      <c r="A33" s="70"/>
      <c r="B33" s="63"/>
      <c r="C33" s="8"/>
      <c r="D33" s="8"/>
      <c r="E33" s="8"/>
      <c r="F33" s="8"/>
    </row>
    <row r="34" spans="1:6">
      <c r="A34" s="337"/>
      <c r="B34" s="337" t="s">
        <v>44</v>
      </c>
      <c r="C34" s="337" t="s">
        <v>13</v>
      </c>
      <c r="D34" s="338" t="s">
        <v>14</v>
      </c>
      <c r="E34" s="338" t="s">
        <v>255</v>
      </c>
    </row>
    <row r="35" spans="1:6" ht="25.5" customHeight="1">
      <c r="A35" s="443" t="s">
        <v>235</v>
      </c>
      <c r="B35" s="339" t="str">
        <f>+ARG!$B$36</f>
        <v>Bonus</v>
      </c>
      <c r="C35" s="392">
        <v>19</v>
      </c>
      <c r="D35" s="374">
        <f>((($C$16/30.43)*C35))/$C$17</f>
        <v>5.203198597874905E-2</v>
      </c>
      <c r="E35" s="203" t="s">
        <v>353</v>
      </c>
    </row>
    <row r="36" spans="1:6" ht="26">
      <c r="A36" s="443"/>
      <c r="B36" s="342" t="str">
        <f>+ARG!$B$37</f>
        <v>Paid leave</v>
      </c>
      <c r="C36" s="379">
        <v>19</v>
      </c>
      <c r="D36" s="404">
        <f>((($C$16/30.43)*C36))/$C$17</f>
        <v>5.203198597874905E-2</v>
      </c>
      <c r="E36" s="375" t="s">
        <v>354</v>
      </c>
    </row>
    <row r="37" spans="1:6" ht="25.5" customHeight="1">
      <c r="A37" s="443"/>
      <c r="B37" s="339" t="str">
        <f>+ARG!$B$38</f>
        <v>Firing notice *</v>
      </c>
      <c r="C37" s="340">
        <v>0</v>
      </c>
      <c r="D37" s="341">
        <f>((($C$16/30.43)*C37))/$C$17</f>
        <v>0</v>
      </c>
      <c r="E37" s="376"/>
    </row>
    <row r="38" spans="1:6" ht="26">
      <c r="A38" s="443"/>
      <c r="B38" s="342" t="str">
        <f>+ARG!$B$39</f>
        <v>Severance pay *</v>
      </c>
      <c r="C38" s="327">
        <v>150</v>
      </c>
      <c r="D38" s="303">
        <f>((($C$16/30.43)*C38))/$C$17/5</f>
        <v>8.2155767334866917E-2</v>
      </c>
      <c r="E38" s="377" t="s">
        <v>355</v>
      </c>
    </row>
    <row r="39" spans="1:6" ht="15" customHeight="1">
      <c r="A39" s="444" t="s">
        <v>237</v>
      </c>
      <c r="B39" s="444"/>
      <c r="C39" s="444"/>
      <c r="D39" s="444"/>
      <c r="E39" s="444"/>
      <c r="F39" s="444"/>
    </row>
    <row r="40" spans="1:6">
      <c r="E40" s="6"/>
    </row>
    <row r="41" spans="1:6">
      <c r="E41" s="40"/>
    </row>
    <row r="42" spans="1:6">
      <c r="B42" s="1"/>
      <c r="C42" s="1"/>
    </row>
    <row r="43" spans="1:6">
      <c r="B43" s="1"/>
      <c r="C43" s="7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  <row r="50" spans="3:3">
      <c r="C50" s="3"/>
    </row>
    <row r="51" spans="3:3">
      <c r="C51" s="3"/>
    </row>
  </sheetData>
  <mergeCells count="20">
    <mergeCell ref="A22:H22"/>
    <mergeCell ref="A39:F39"/>
    <mergeCell ref="G23:H23"/>
    <mergeCell ref="A25:A28"/>
    <mergeCell ref="G25:G28"/>
    <mergeCell ref="H25:H28"/>
    <mergeCell ref="A35:A38"/>
    <mergeCell ref="A23:A24"/>
    <mergeCell ref="B23:B24"/>
    <mergeCell ref="C23:C24"/>
    <mergeCell ref="D23:D24"/>
    <mergeCell ref="E23:E24"/>
    <mergeCell ref="F23:F24"/>
    <mergeCell ref="F25:F28"/>
    <mergeCell ref="B27:B28"/>
    <mergeCell ref="A1:C1"/>
    <mergeCell ref="A5:F5"/>
    <mergeCell ref="A8:A11"/>
    <mergeCell ref="A12:F12"/>
    <mergeCell ref="A15:A20"/>
  </mergeCells>
  <pageMargins left="0.34882812499999999" right="0.7" top="0.75" bottom="0.75" header="0.3" footer="0.3"/>
  <pageSetup scale="47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showGridLines="0" topLeftCell="B9" zoomScale="72" zoomScaleNormal="55" zoomScalePageLayoutView="80" workbookViewId="0">
      <selection activeCell="D27" activeCellId="2" sqref="E25:E28 D25 D27:D28"/>
    </sheetView>
  </sheetViews>
  <sheetFormatPr defaultColWidth="9.1796875" defaultRowHeight="14.5"/>
  <cols>
    <col min="1" max="1" width="18.816406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24.1796875" style="2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92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>
      <c r="A8" s="443" t="str">
        <f>+ARG!$A$8</f>
        <v>Country data</v>
      </c>
      <c r="B8" s="287" t="str">
        <f>+ARG!$B$8</f>
        <v>GDP (current prices in local currency)</v>
      </c>
      <c r="C8" s="328">
        <v>3255.6880000000001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8">
        <v>26.397683815214101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28">
        <v>1767639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+((C8*1000000000)/C10)/C9</f>
        <v>69772.354889329217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4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>
      <c r="A15" s="443" t="str">
        <f>+ARG!$A$15</f>
        <v>Wages</v>
      </c>
      <c r="B15" s="287" t="str">
        <f>+ARG!$B$15</f>
        <v>Monthly minimum wage</v>
      </c>
      <c r="C15" s="253">
        <v>23640</v>
      </c>
      <c r="D15" s="203" t="s">
        <v>4</v>
      </c>
      <c r="E15" s="315" t="s">
        <v>311</v>
      </c>
      <c r="F15" s="218"/>
    </row>
    <row r="16" spans="1:7">
      <c r="A16" s="443"/>
      <c r="B16" s="287" t="str">
        <f>+ARG!$B$16</f>
        <v>Monthly minimum wage (US $ PPP)</v>
      </c>
      <c r="C16" s="221">
        <f>+C15/C9</f>
        <v>895.53311440056223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C16*12</f>
        <v>10746.397372806747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1932.0751910288891</v>
      </c>
      <c r="D18" s="203" t="s">
        <v>387</v>
      </c>
      <c r="E18" s="203" t="s">
        <v>229</v>
      </c>
      <c r="F18" s="108"/>
    </row>
    <row r="19" spans="1:8">
      <c r="A19" s="443"/>
      <c r="B19" s="287" t="str">
        <f>+ARG!$B$19</f>
        <v>Annual wage of formal wage workers (US $ PPP)</v>
      </c>
      <c r="C19" s="262">
        <f>C18*12</f>
        <v>23184.902292346669</v>
      </c>
      <c r="D19" s="203" t="s">
        <v>387</v>
      </c>
      <c r="E19" s="203" t="s">
        <v>229</v>
      </c>
      <c r="F19" s="1"/>
    </row>
    <row r="20" spans="1:8" ht="29">
      <c r="A20" s="443"/>
      <c r="B20" s="287" t="str">
        <f>+ARG!$B$20</f>
        <v>Annual average wage of informal wage workers (US $ PPP)</v>
      </c>
      <c r="C20" s="316">
        <v>8340.2817285473393</v>
      </c>
      <c r="D20" s="203" t="s">
        <v>387</v>
      </c>
      <c r="E20" s="203" t="s">
        <v>229</v>
      </c>
      <c r="F20" s="1"/>
    </row>
    <row r="21" spans="1:8">
      <c r="A21" s="178"/>
      <c r="C21" s="409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27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49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50"/>
      <c r="G24" s="295" t="str">
        <f>+ARG!$G$25</f>
        <v>ACSL</v>
      </c>
      <c r="H24" s="295" t="str">
        <f>+ARG!$H$25</f>
        <v>MCSL</v>
      </c>
    </row>
    <row r="25" spans="1:8" ht="27" customHeight="1">
      <c r="A25" s="443" t="str">
        <f>+ARG!$A$26</f>
        <v>Mandatory contributions</v>
      </c>
      <c r="B25" s="293" t="s">
        <v>316</v>
      </c>
      <c r="C25" s="296" t="s">
        <v>297</v>
      </c>
      <c r="D25" s="297">
        <v>0.15</v>
      </c>
      <c r="E25" s="297">
        <v>7.4999999999999997E-2</v>
      </c>
      <c r="F25" s="462" t="s">
        <v>381</v>
      </c>
      <c r="G25" s="461">
        <v>0.376</v>
      </c>
      <c r="H25" s="461">
        <v>0.376</v>
      </c>
    </row>
    <row r="26" spans="1:8" ht="21.65" customHeight="1">
      <c r="A26" s="443"/>
      <c r="B26" s="294" t="s">
        <v>233</v>
      </c>
      <c r="C26" s="298" t="s">
        <v>369</v>
      </c>
      <c r="D26" s="387" t="s">
        <v>411</v>
      </c>
      <c r="E26" s="238">
        <v>0.05</v>
      </c>
      <c r="F26" s="462"/>
      <c r="G26" s="461"/>
      <c r="H26" s="461"/>
    </row>
    <row r="27" spans="1:8" ht="14.9" customHeight="1">
      <c r="A27" s="443"/>
      <c r="B27" s="471" t="s">
        <v>234</v>
      </c>
      <c r="C27" s="299" t="s">
        <v>293</v>
      </c>
      <c r="D27" s="297">
        <v>0</v>
      </c>
      <c r="E27" s="297">
        <v>6.9000000000000006E-2</v>
      </c>
      <c r="F27" s="462"/>
      <c r="G27" s="461"/>
      <c r="H27" s="461"/>
    </row>
    <row r="28" spans="1:8" ht="15" customHeight="1">
      <c r="A28" s="443"/>
      <c r="B28" s="471"/>
      <c r="C28" s="348" t="s">
        <v>93</v>
      </c>
      <c r="D28" s="238">
        <v>1E-3</v>
      </c>
      <c r="E28" s="238">
        <v>1E-3</v>
      </c>
      <c r="F28" s="462"/>
      <c r="G28" s="461"/>
      <c r="H28" s="461"/>
    </row>
    <row r="29" spans="1:8" ht="18.5">
      <c r="A29"/>
      <c r="B29" s="54"/>
      <c r="C29" s="57"/>
      <c r="D29" s="58"/>
      <c r="E29" s="58"/>
      <c r="F29" s="322"/>
      <c r="G29" s="181"/>
      <c r="H29" s="179"/>
    </row>
    <row r="30" spans="1:8">
      <c r="A30"/>
      <c r="B30" s="54"/>
      <c r="C30" s="8"/>
      <c r="D30" s="8"/>
      <c r="E30" s="8"/>
      <c r="F30" s="8"/>
      <c r="G30" s="59"/>
      <c r="H30" s="59"/>
    </row>
    <row r="31" spans="1:8" ht="15" thickBot="1">
      <c r="A31" s="8"/>
      <c r="B31" s="8"/>
      <c r="C31" s="8"/>
      <c r="D31" s="8"/>
      <c r="E31" s="8"/>
      <c r="F31" s="8"/>
    </row>
    <row r="32" spans="1:8" ht="15" thickBot="1">
      <c r="A32" s="64"/>
      <c r="B32" s="27" t="s">
        <v>241</v>
      </c>
      <c r="C32" s="27" t="s">
        <v>13</v>
      </c>
      <c r="D32" s="30" t="s">
        <v>14</v>
      </c>
      <c r="E32" s="28" t="s">
        <v>255</v>
      </c>
    </row>
    <row r="33" spans="1:6">
      <c r="A33" s="482" t="s">
        <v>235</v>
      </c>
      <c r="B33" s="38" t="str">
        <f>+ARG!$B$36</f>
        <v>Bonus</v>
      </c>
      <c r="C33" s="41">
        <v>30</v>
      </c>
      <c r="D33" s="263">
        <f>((($C$16/30.43)*C33))/$C$17</f>
        <v>8.2155767334866917E-2</v>
      </c>
      <c r="E33" s="15" t="s">
        <v>357</v>
      </c>
    </row>
    <row r="34" spans="1:6">
      <c r="A34" s="483"/>
      <c r="B34" s="25" t="str">
        <f>+ARG!$B$37</f>
        <v>Paid leave</v>
      </c>
      <c r="C34" s="47">
        <v>21</v>
      </c>
      <c r="D34" s="257">
        <f>((($C$16/30.43)*C34))/$C$17</f>
        <v>5.7509037134406839E-2</v>
      </c>
      <c r="E34" s="33" t="s">
        <v>356</v>
      </c>
    </row>
    <row r="35" spans="1:6">
      <c r="A35" s="483"/>
      <c r="B35" s="24" t="str">
        <f>+ARG!$B$38</f>
        <v>Firing notice *</v>
      </c>
      <c r="C35" s="48">
        <v>0</v>
      </c>
      <c r="D35" s="258">
        <f>((($C$16/30.43)*C35))/$C$17</f>
        <v>0</v>
      </c>
      <c r="E35" s="49"/>
    </row>
    <row r="36" spans="1:6" ht="15" thickBot="1">
      <c r="A36" s="484"/>
      <c r="B36" s="26" t="str">
        <f>+ARG!$B$39</f>
        <v>Severance pay *</v>
      </c>
      <c r="C36" s="50">
        <v>179</v>
      </c>
      <c r="D36" s="261">
        <f>((($C$16/30.43)*C36))/$C$17/5</f>
        <v>9.8039215686274508E-2</v>
      </c>
      <c r="E36" s="51" t="s">
        <v>358</v>
      </c>
    </row>
    <row r="37" spans="1:6" ht="15" customHeight="1">
      <c r="A37" s="444" t="s">
        <v>237</v>
      </c>
      <c r="B37" s="444"/>
      <c r="C37" s="444"/>
      <c r="D37" s="444"/>
      <c r="E37" s="444"/>
      <c r="F37" s="444"/>
    </row>
    <row r="38" spans="1:6">
      <c r="E38" s="6"/>
    </row>
    <row r="39" spans="1:6">
      <c r="E39" s="40"/>
    </row>
    <row r="40" spans="1:6">
      <c r="B40" s="1"/>
      <c r="C40" s="1"/>
    </row>
    <row r="41" spans="1:6">
      <c r="A41" s="326"/>
      <c r="B41" s="1"/>
      <c r="C41" s="7"/>
    </row>
    <row r="42" spans="1:6">
      <c r="A42" s="326"/>
      <c r="C42" s="3"/>
    </row>
    <row r="43" spans="1:6">
      <c r="A43" s="326"/>
      <c r="C43" s="3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</sheetData>
  <mergeCells count="20">
    <mergeCell ref="A22:H22"/>
    <mergeCell ref="A33:A36"/>
    <mergeCell ref="A37:F37"/>
    <mergeCell ref="G23:H23"/>
    <mergeCell ref="A25:A28"/>
    <mergeCell ref="G25:G28"/>
    <mergeCell ref="A23:A24"/>
    <mergeCell ref="B23:B24"/>
    <mergeCell ref="C23:C24"/>
    <mergeCell ref="D23:D24"/>
    <mergeCell ref="E23:E24"/>
    <mergeCell ref="F23:F24"/>
    <mergeCell ref="F25:F28"/>
    <mergeCell ref="B27:B28"/>
    <mergeCell ref="H25:H28"/>
    <mergeCell ref="A1:C1"/>
    <mergeCell ref="A5:F5"/>
    <mergeCell ref="A8:A11"/>
    <mergeCell ref="A12:F12"/>
    <mergeCell ref="A15:A20"/>
  </mergeCells>
  <pageMargins left="0.30625000000000002" right="0.7" top="0.75" bottom="0.75" header="0.3" footer="0.3"/>
  <pageSetup scale="42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0"/>
  <sheetViews>
    <sheetView showGridLines="0" view="pageLayout" topLeftCell="D14" zoomScale="66" zoomScaleNormal="80" zoomScalePageLayoutView="66" workbookViewId="0">
      <selection activeCell="G25" sqref="G25:G31"/>
    </sheetView>
  </sheetViews>
  <sheetFormatPr defaultColWidth="9.1796875" defaultRowHeight="14.5"/>
  <cols>
    <col min="1" max="1" width="17.453125" style="2" customWidth="1"/>
    <col min="2" max="2" width="45.453125" style="2" customWidth="1"/>
    <col min="3" max="3" width="19.1796875" style="2" customWidth="1"/>
    <col min="4" max="4" width="22.1796875" style="2" customWidth="1"/>
    <col min="5" max="5" width="40.1796875" style="2" customWidth="1"/>
    <col min="6" max="6" width="16.26953125" style="2" bestFit="1" customWidth="1"/>
    <col min="7" max="7" width="15" style="2" customWidth="1"/>
    <col min="8" max="8" width="15.7265625" style="2" customWidth="1"/>
    <col min="9" max="16384" width="9.1796875" style="2"/>
  </cols>
  <sheetData>
    <row r="1" spans="1:7" ht="28.5">
      <c r="A1" s="458" t="s">
        <v>81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2023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4">
        <v>2906.2950000000001</v>
      </c>
      <c r="D8" s="325" t="str">
        <f>+ARG!$D$8</f>
        <v>Billions</v>
      </c>
      <c r="E8" s="203" t="s">
        <v>82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4">
        <v>13.786</v>
      </c>
      <c r="D9" s="203" t="str">
        <f>+ARG!$D$9</f>
        <v>Local currency per dollar</v>
      </c>
      <c r="E9" s="203" t="s">
        <v>82</v>
      </c>
      <c r="F9" s="1"/>
    </row>
    <row r="10" spans="1:7" ht="27.75" customHeight="1">
      <c r="A10" s="443"/>
      <c r="B10" s="287" t="str">
        <f>+ARG!$B$10</f>
        <v>Employment</v>
      </c>
      <c r="C10" s="324">
        <v>11548200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221">
        <f>+((C8*1000000000)/C10)/C9</f>
        <v>18255.222216705592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>
      <c r="C13" s="265"/>
      <c r="D13" s="1"/>
      <c r="E13" s="1"/>
      <c r="F13" s="1"/>
    </row>
    <row r="14" spans="1:7">
      <c r="A14" s="313"/>
      <c r="B14" s="313"/>
      <c r="C14" s="314">
        <v>2023</v>
      </c>
      <c r="D14" s="314" t="s">
        <v>386</v>
      </c>
      <c r="E14" s="314" t="s">
        <v>255</v>
      </c>
      <c r="F14" s="210"/>
    </row>
    <row r="15" spans="1:7" ht="15" customHeight="1">
      <c r="A15" s="443" t="str">
        <f>+ARG!$A$15</f>
        <v>Wages</v>
      </c>
      <c r="B15" s="287" t="str">
        <f>+ARG!$B$15</f>
        <v>Monthly minimum wage</v>
      </c>
      <c r="C15" s="232">
        <v>130</v>
      </c>
      <c r="D15" s="203" t="s">
        <v>4</v>
      </c>
      <c r="E15" s="315"/>
      <c r="F15" s="215"/>
    </row>
    <row r="16" spans="1:7">
      <c r="A16" s="443"/>
      <c r="B16" s="287" t="str">
        <f>+ARG!$B$16</f>
        <v>Monthly minimum wage (US $ PPP)</v>
      </c>
      <c r="C16" s="277">
        <f>+C15/C9</f>
        <v>9.4298563760336584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C16*12</f>
        <v>113.1582765124039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f>+C19/12</f>
        <v>1148.119222108091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21">
        <v>13777.430665297092</v>
      </c>
      <c r="D19" s="203" t="s">
        <v>387</v>
      </c>
      <c r="E19" s="203" t="s">
        <v>229</v>
      </c>
      <c r="F19" s="1"/>
    </row>
    <row r="20" spans="1:8" ht="29">
      <c r="A20" s="443"/>
      <c r="B20" s="287" t="str">
        <f>+ARG!$B$20</f>
        <v>Annual average wage of informal wage workers (US $ PPP)</v>
      </c>
      <c r="C20" s="291">
        <f>C19*0.5</f>
        <v>6888.7153326485459</v>
      </c>
      <c r="D20" s="203" t="s">
        <v>387</v>
      </c>
      <c r="E20" s="203" t="s">
        <v>310</v>
      </c>
      <c r="F20" s="1"/>
    </row>
    <row r="21" spans="1:8">
      <c r="A21" s="178"/>
      <c r="C21" s="200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52"/>
      <c r="G24" s="295" t="str">
        <f>+ARG!$G$25</f>
        <v>ACSL</v>
      </c>
      <c r="H24" s="295" t="str">
        <f>+ARG!$H$25</f>
        <v>MCSL</v>
      </c>
    </row>
    <row r="25" spans="1:8">
      <c r="A25" s="443" t="str">
        <f>+ARG!$A$26</f>
        <v>Mandatory contributions</v>
      </c>
      <c r="B25" s="533" t="s">
        <v>316</v>
      </c>
      <c r="C25" s="296" t="s">
        <v>297</v>
      </c>
      <c r="D25" s="303">
        <v>0.04</v>
      </c>
      <c r="E25" s="303">
        <v>0.09</v>
      </c>
      <c r="F25" s="474" t="s">
        <v>299</v>
      </c>
      <c r="G25" s="489">
        <f>SUM(D25:E31)</f>
        <v>0.30750000000000005</v>
      </c>
      <c r="H25" s="489">
        <f>SUM(D25:E31)</f>
        <v>0.30750000000000005</v>
      </c>
    </row>
    <row r="26" spans="1:8" ht="24">
      <c r="A26" s="443"/>
      <c r="B26" s="534"/>
      <c r="C26" s="296" t="s">
        <v>370</v>
      </c>
      <c r="D26" s="303"/>
      <c r="E26" s="303">
        <v>0.09</v>
      </c>
      <c r="F26" s="474"/>
      <c r="G26" s="489"/>
      <c r="H26" s="489"/>
    </row>
    <row r="27" spans="1:8">
      <c r="A27" s="443"/>
      <c r="B27" s="372" t="s">
        <v>233</v>
      </c>
      <c r="C27" s="298" t="s">
        <v>295</v>
      </c>
      <c r="D27" s="238"/>
      <c r="E27" s="304"/>
      <c r="F27" s="474"/>
      <c r="G27" s="489"/>
      <c r="H27" s="489"/>
    </row>
    <row r="28" spans="1:8" ht="27" customHeight="1">
      <c r="A28" s="443"/>
      <c r="B28" s="471" t="s">
        <v>234</v>
      </c>
      <c r="C28" s="299" t="s">
        <v>293</v>
      </c>
      <c r="D28" s="297"/>
      <c r="E28" s="297">
        <v>7.4999999999999997E-3</v>
      </c>
      <c r="F28" s="474"/>
      <c r="G28" s="489"/>
      <c r="H28" s="489"/>
    </row>
    <row r="29" spans="1:8" ht="26">
      <c r="A29" s="443"/>
      <c r="B29" s="471"/>
      <c r="C29" s="434" t="s">
        <v>83</v>
      </c>
      <c r="D29" s="297">
        <v>5.0000000000000001E-3</v>
      </c>
      <c r="E29" s="297">
        <v>0.02</v>
      </c>
      <c r="F29" s="474"/>
      <c r="G29" s="489"/>
      <c r="H29" s="489"/>
    </row>
    <row r="30" spans="1:8" ht="39">
      <c r="A30" s="443"/>
      <c r="B30" s="471"/>
      <c r="C30" s="434" t="s">
        <v>84</v>
      </c>
      <c r="D30" s="297">
        <v>5.0000000000000001E-3</v>
      </c>
      <c r="E30" s="297">
        <v>0.02</v>
      </c>
      <c r="F30" s="474"/>
      <c r="G30" s="489"/>
      <c r="H30" s="489"/>
    </row>
    <row r="31" spans="1:8" ht="26.25" customHeight="1">
      <c r="A31" s="443"/>
      <c r="B31" s="471"/>
      <c r="C31" s="434" t="s">
        <v>416</v>
      </c>
      <c r="D31" s="297">
        <v>0.01</v>
      </c>
      <c r="E31" s="297">
        <v>0.02</v>
      </c>
      <c r="F31" s="474"/>
      <c r="G31" s="489"/>
      <c r="H31" s="489"/>
    </row>
    <row r="32" spans="1:8" ht="15.75" customHeight="1" thickBot="1">
      <c r="A32" s="444"/>
      <c r="B32" s="444"/>
      <c r="C32" s="444"/>
      <c r="D32" s="444"/>
      <c r="E32" s="444"/>
      <c r="F32" s="444"/>
    </row>
    <row r="33" spans="1:6">
      <c r="A33" s="382"/>
      <c r="B33" s="383" t="s">
        <v>44</v>
      </c>
      <c r="C33" s="383" t="s">
        <v>13</v>
      </c>
      <c r="D33" s="378" t="s">
        <v>14</v>
      </c>
      <c r="E33" s="384" t="s">
        <v>255</v>
      </c>
    </row>
    <row r="34" spans="1:6" ht="15" customHeight="1">
      <c r="A34" s="443" t="s">
        <v>235</v>
      </c>
      <c r="B34" s="339" t="str">
        <f>+ARG!$B$36</f>
        <v>Bonus</v>
      </c>
      <c r="C34" s="340">
        <v>30</v>
      </c>
      <c r="D34" s="374">
        <f>((($C$16/30.43)*C34))/$C$17</f>
        <v>8.2155767334866903E-2</v>
      </c>
      <c r="E34" s="203" t="s">
        <v>327</v>
      </c>
      <c r="F34" s="40"/>
    </row>
    <row r="35" spans="1:6">
      <c r="A35" s="443"/>
      <c r="B35" s="342" t="str">
        <f>+ARG!$B$37</f>
        <v>Paid leave</v>
      </c>
      <c r="C35" s="327">
        <v>19</v>
      </c>
      <c r="D35" s="303">
        <f>((($C$16/30.43)*C35))/$C$17</f>
        <v>5.2031985978749043E-2</v>
      </c>
      <c r="E35" s="375" t="s">
        <v>328</v>
      </c>
      <c r="F35" s="40"/>
    </row>
    <row r="36" spans="1:6">
      <c r="A36" s="443"/>
      <c r="B36" s="339" t="str">
        <f>+ARG!$B$38</f>
        <v>Firing notice *</v>
      </c>
      <c r="C36" s="340"/>
      <c r="D36" s="341">
        <f>((($C$16/30.43)*C36))/$C$17</f>
        <v>0</v>
      </c>
      <c r="E36" s="376"/>
      <c r="F36" s="40"/>
    </row>
    <row r="37" spans="1:6" ht="26">
      <c r="A37" s="443"/>
      <c r="B37" s="342" t="str">
        <f>+ARG!$B$39</f>
        <v>Severance pay *</v>
      </c>
      <c r="C37" s="327">
        <v>150</v>
      </c>
      <c r="D37" s="303">
        <f>((($C$16/30.43)*C37))/$C$17/5</f>
        <v>8.2155767334866903E-2</v>
      </c>
      <c r="E37" s="377" t="s">
        <v>329</v>
      </c>
      <c r="F37" s="40"/>
    </row>
    <row r="38" spans="1:6" ht="15" customHeight="1">
      <c r="A38" s="444" t="s">
        <v>237</v>
      </c>
      <c r="B38" s="444"/>
      <c r="C38" s="444"/>
      <c r="D38" s="444"/>
      <c r="E38" s="444"/>
      <c r="F38" s="444"/>
    </row>
    <row r="39" spans="1:6">
      <c r="E39" s="6"/>
    </row>
    <row r="40" spans="1:6">
      <c r="E40" s="40"/>
    </row>
    <row r="41" spans="1:6">
      <c r="B41" s="1"/>
      <c r="C41" s="1"/>
    </row>
    <row r="42" spans="1:6">
      <c r="B42" s="1"/>
      <c r="C42" s="7"/>
    </row>
    <row r="43" spans="1:6">
      <c r="C43" s="3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  <row r="50" spans="3:3">
      <c r="C50" s="3"/>
    </row>
  </sheetData>
  <mergeCells count="22">
    <mergeCell ref="A32:F32"/>
    <mergeCell ref="A34:A37"/>
    <mergeCell ref="A38:F38"/>
    <mergeCell ref="G23:H23"/>
    <mergeCell ref="A25:A31"/>
    <mergeCell ref="G25:G31"/>
    <mergeCell ref="H25:H31"/>
    <mergeCell ref="A23:A24"/>
    <mergeCell ref="B23:B24"/>
    <mergeCell ref="C23:C24"/>
    <mergeCell ref="D23:D24"/>
    <mergeCell ref="E23:E24"/>
    <mergeCell ref="F23:F24"/>
    <mergeCell ref="F25:F31"/>
    <mergeCell ref="B28:B31"/>
    <mergeCell ref="A1:C1"/>
    <mergeCell ref="A5:F5"/>
    <mergeCell ref="A8:A11"/>
    <mergeCell ref="A12:F12"/>
    <mergeCell ref="A15:A20"/>
    <mergeCell ref="A22:H22"/>
    <mergeCell ref="B25:B26"/>
  </mergeCells>
  <pageMargins left="0.38411458333333331" right="0.7" top="0.75" bottom="0.75" header="0.3" footer="0.3"/>
  <pageSetup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view="pageLayout" zoomScale="50" zoomScaleNormal="80" zoomScalePageLayoutView="50" workbookViewId="0">
      <selection activeCell="G25" sqref="G25:H29"/>
    </sheetView>
  </sheetViews>
  <sheetFormatPr defaultColWidth="9.1796875" defaultRowHeight="14.5"/>
  <cols>
    <col min="1" max="1" width="15" style="2" customWidth="1"/>
    <col min="2" max="2" width="45.453125" style="2" customWidth="1"/>
    <col min="3" max="3" width="34" style="2" customWidth="1"/>
    <col min="4" max="4" width="22.1796875" style="2" customWidth="1"/>
    <col min="5" max="5" width="24.26953125" style="2" customWidth="1"/>
    <col min="6" max="6" width="22.54296875" style="2" customWidth="1"/>
    <col min="7" max="7" width="15" style="2" customWidth="1"/>
    <col min="8" max="8" width="11.7265625" style="2" customWidth="1"/>
    <col min="9" max="9" width="11.26953125" style="2" bestFit="1" customWidth="1"/>
    <col min="10" max="16384" width="9.1796875" style="2"/>
  </cols>
  <sheetData>
    <row r="1" spans="1:6" ht="28.5">
      <c r="A1" s="465" t="s">
        <v>382</v>
      </c>
      <c r="B1" s="465"/>
      <c r="C1" s="465"/>
    </row>
    <row r="2" spans="1:6" ht="18.5">
      <c r="A2" s="34">
        <v>2025</v>
      </c>
    </row>
    <row r="4" spans="1:6" ht="30" customHeight="1">
      <c r="A4" s="459" t="str">
        <f>+ARG!A5</f>
        <v>DATA INPUT FOR CALCULATIONS</v>
      </c>
      <c r="B4" s="459"/>
      <c r="C4" s="459"/>
      <c r="D4" s="459"/>
      <c r="E4" s="459"/>
      <c r="F4" s="459"/>
    </row>
    <row r="6" spans="1:6" ht="15" thickBot="1"/>
    <row r="7" spans="1:6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</row>
    <row r="8" spans="1:6" ht="15" customHeight="1">
      <c r="A8" s="443" t="str">
        <f>+ARG!$A$8</f>
        <v>Country data</v>
      </c>
      <c r="B8" s="287" t="str">
        <f>+ARG!$B$8</f>
        <v>GDP (current prices in local currency)</v>
      </c>
      <c r="C8" s="333">
        <v>343207.93049999996</v>
      </c>
      <c r="D8" s="325" t="str">
        <f>+ARG!$D$8</f>
        <v>Billions</v>
      </c>
      <c r="E8" s="203" t="str">
        <f>+ARG!$E$8</f>
        <v>IDM, World Bank</v>
      </c>
      <c r="F8" s="1"/>
    </row>
    <row r="9" spans="1:6">
      <c r="A9" s="443"/>
      <c r="B9" s="287" t="str">
        <f>+ARG!$B$9</f>
        <v>Purchasing Power Parity (PPP) conversion factor</v>
      </c>
      <c r="C9" s="333">
        <v>2.47085352241269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6">
      <c r="A10" s="443"/>
      <c r="B10" s="287" t="str">
        <f>+ARG!$B$10</f>
        <v>Employment</v>
      </c>
      <c r="C10" s="333">
        <v>6859259</v>
      </c>
      <c r="D10" s="203" t="str">
        <f>+ARG!$D$10</f>
        <v>Workers</v>
      </c>
      <c r="E10" s="203" t="str">
        <f>+ARG!$E$10</f>
        <v>IDM, World Bank</v>
      </c>
      <c r="F10" s="1"/>
    </row>
    <row r="11" spans="1:6">
      <c r="A11" s="443"/>
      <c r="B11" s="287" t="str">
        <f>+ARG!$B$11</f>
        <v>GDP per worker</v>
      </c>
      <c r="C11" s="334">
        <f>+((C8*1000000)/C10)/C9</f>
        <v>20250.37698396952</v>
      </c>
      <c r="D11" s="203" t="str">
        <f>+ARG!$D$11</f>
        <v>US $ PPP</v>
      </c>
      <c r="E11" s="203" t="str">
        <f>+ARG!$E$11</f>
        <v>Own calculations</v>
      </c>
      <c r="F11" s="1"/>
    </row>
    <row r="12" spans="1:6">
      <c r="C12" s="4"/>
      <c r="D12" s="1"/>
      <c r="E12" s="1"/>
      <c r="F12" s="1"/>
    </row>
    <row r="13" spans="1:6" ht="15" thickBot="1">
      <c r="C13" s="265"/>
      <c r="D13" s="1"/>
      <c r="E13" s="1"/>
      <c r="F13" s="275"/>
    </row>
    <row r="14" spans="1:6">
      <c r="A14" s="226"/>
      <c r="B14" s="227"/>
      <c r="C14" s="202">
        <v>2024</v>
      </c>
      <c r="D14" s="202" t="str">
        <f>+D7</f>
        <v>Units</v>
      </c>
      <c r="E14" s="228" t="str">
        <f>+E7</f>
        <v>Source</v>
      </c>
      <c r="F14" s="276"/>
    </row>
    <row r="15" spans="1:6" ht="30" customHeight="1">
      <c r="A15" s="443" t="str">
        <f>+ARG!$A$15</f>
        <v>Wages</v>
      </c>
      <c r="B15" s="287" t="str">
        <f>+ARG!$B$15</f>
        <v>Monthly minimum wage</v>
      </c>
      <c r="C15" s="388">
        <v>2750</v>
      </c>
      <c r="D15" s="203" t="s">
        <v>17</v>
      </c>
      <c r="E15" s="203" t="s">
        <v>259</v>
      </c>
      <c r="F15" s="1"/>
    </row>
    <row r="16" spans="1:6">
      <c r="A16" s="443"/>
      <c r="B16" s="287" t="str">
        <f>+ARG!$B$16</f>
        <v>Monthly minimum wage (US $ PPP)</v>
      </c>
      <c r="C16" s="221">
        <f>+C15/C9</f>
        <v>1112.9757288545113</v>
      </c>
      <c r="D16" s="203" t="s">
        <v>387</v>
      </c>
      <c r="E16" s="203" t="s">
        <v>229</v>
      </c>
      <c r="F16" s="1"/>
    </row>
    <row r="17" spans="1:10">
      <c r="A17" s="443"/>
      <c r="B17" s="287" t="str">
        <f>+ARG!$B$17</f>
        <v>Annual minimum wage (US $ PPP)</v>
      </c>
      <c r="C17" s="221">
        <f>C16*12</f>
        <v>13355.708746254135</v>
      </c>
      <c r="D17" s="203" t="s">
        <v>387</v>
      </c>
      <c r="E17" s="203" t="s">
        <v>229</v>
      </c>
      <c r="F17" s="1"/>
    </row>
    <row r="18" spans="1:10">
      <c r="A18" s="443"/>
      <c r="B18" s="287" t="str">
        <f>+ARG!$B$18</f>
        <v xml:space="preserve">Monthly wage of formal wage workers (US $ PPP) </v>
      </c>
      <c r="C18" s="262">
        <f>(4973.799*1.05)/C9</f>
        <v>2113.6376165675929</v>
      </c>
      <c r="D18" s="203" t="s">
        <v>387</v>
      </c>
      <c r="E18" s="203" t="s">
        <v>229</v>
      </c>
      <c r="F18" s="275"/>
      <c r="G18" s="254"/>
    </row>
    <row r="19" spans="1:10">
      <c r="A19" s="443"/>
      <c r="B19" s="287" t="str">
        <f>+ARG!$B$19</f>
        <v>Annual wage of formal wage workers (US $ PPP)</v>
      </c>
      <c r="C19" s="221">
        <f>C18*12</f>
        <v>25363.651398811115</v>
      </c>
      <c r="D19" s="203" t="s">
        <v>387</v>
      </c>
      <c r="E19" s="203" t="s">
        <v>229</v>
      </c>
      <c r="F19" s="1"/>
    </row>
    <row r="20" spans="1:10" ht="29">
      <c r="A20" s="443"/>
      <c r="B20" s="289" t="s">
        <v>392</v>
      </c>
      <c r="C20" s="221">
        <f>C19*0.544</f>
        <v>13797.826360953248</v>
      </c>
      <c r="D20" s="203" t="s">
        <v>387</v>
      </c>
      <c r="E20" s="203" t="s">
        <v>258</v>
      </c>
      <c r="F20" s="1"/>
    </row>
    <row r="21" spans="1:10">
      <c r="A21" s="178"/>
      <c r="B21" s="407"/>
      <c r="C21" s="285"/>
      <c r="D21" s="1"/>
      <c r="E21" s="1"/>
      <c r="F21" s="1"/>
    </row>
    <row r="22" spans="1:10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10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  <c r="J23" s="302"/>
    </row>
    <row r="24" spans="1:10" ht="15.75" customHeight="1" thickBot="1">
      <c r="A24" s="448"/>
      <c r="B24" s="450"/>
      <c r="C24" s="452"/>
      <c r="D24" s="450"/>
      <c r="E24" s="450"/>
      <c r="F24" s="452"/>
      <c r="G24" s="209" t="str">
        <f>+ARG!$G$25</f>
        <v>ACSL</v>
      </c>
      <c r="H24" s="209" t="str">
        <f>+ARG!$H$25</f>
        <v>MCSL</v>
      </c>
      <c r="J24"/>
    </row>
    <row r="25" spans="1:10" ht="20.5" customHeight="1">
      <c r="A25" s="443" t="str">
        <f>+ARG!$A$26</f>
        <v>Mandatory contributions</v>
      </c>
      <c r="B25" s="455" t="str">
        <f>+ARG!$B$26</f>
        <v>Pensions</v>
      </c>
      <c r="C25" s="342" t="s">
        <v>248</v>
      </c>
      <c r="D25" s="297">
        <v>0.12709999999999999</v>
      </c>
      <c r="E25" s="297"/>
      <c r="F25" s="462" t="s">
        <v>401</v>
      </c>
      <c r="G25" s="461">
        <f>H25-E26</f>
        <v>0.2442</v>
      </c>
      <c r="H25" s="461">
        <f>SUM(D25:E29)</f>
        <v>0.2792</v>
      </c>
      <c r="J25" s="302"/>
    </row>
    <row r="26" spans="1:10" ht="20.5" customHeight="1">
      <c r="A26" s="443"/>
      <c r="B26" s="455"/>
      <c r="C26" s="429" t="s">
        <v>420</v>
      </c>
      <c r="D26" s="410"/>
      <c r="E26" s="393">
        <v>3.5000000000000003E-2</v>
      </c>
      <c r="F26" s="462"/>
      <c r="G26" s="461"/>
      <c r="H26" s="461"/>
      <c r="J26"/>
    </row>
    <row r="27" spans="1:10" ht="20.5" customHeight="1">
      <c r="A27" s="443"/>
      <c r="B27" s="455"/>
      <c r="C27" s="429" t="s">
        <v>421</v>
      </c>
      <c r="D27" s="394" t="s">
        <v>361</v>
      </c>
      <c r="E27" s="386"/>
      <c r="F27" s="462"/>
      <c r="G27" s="461"/>
      <c r="H27" s="461"/>
      <c r="J27" s="302"/>
    </row>
    <row r="28" spans="1:10" ht="20.5" customHeight="1">
      <c r="A28" s="443"/>
      <c r="B28" s="395" t="str">
        <f>+ARG!$B$27</f>
        <v>Health</v>
      </c>
      <c r="C28" s="441" t="s">
        <v>257</v>
      </c>
      <c r="D28" s="396">
        <v>0</v>
      </c>
      <c r="E28" s="397">
        <v>0.1</v>
      </c>
      <c r="F28" s="462"/>
      <c r="G28" s="461"/>
      <c r="H28" s="461"/>
      <c r="J28"/>
    </row>
    <row r="29" spans="1:10" ht="20.5" customHeight="1">
      <c r="A29" s="443"/>
      <c r="B29" s="391" t="str">
        <f>+ARG!$B$29</f>
        <v>Others</v>
      </c>
      <c r="C29" s="342" t="s">
        <v>250</v>
      </c>
      <c r="D29" s="236">
        <v>0</v>
      </c>
      <c r="E29" s="297">
        <v>1.7100000000000001E-2</v>
      </c>
      <c r="F29" s="462"/>
      <c r="G29" s="461"/>
      <c r="H29" s="461"/>
      <c r="J29" s="302"/>
    </row>
    <row r="30" spans="1:10" ht="15" customHeight="1">
      <c r="A30" s="53"/>
      <c r="B30" s="54"/>
      <c r="E30" s="266"/>
      <c r="F30" s="267"/>
      <c r="J30"/>
    </row>
    <row r="31" spans="1:10" ht="15.75" customHeight="1">
      <c r="A31" s="53"/>
      <c r="B31" s="54"/>
      <c r="G31" s="278"/>
      <c r="J31" s="302"/>
    </row>
    <row r="32" spans="1:10" ht="15.75" customHeight="1">
      <c r="A32" s="53"/>
      <c r="B32" s="54"/>
      <c r="C32" s="8"/>
      <c r="D32" s="8"/>
      <c r="E32" s="8"/>
      <c r="F32" s="8"/>
    </row>
    <row r="33" spans="1:6" ht="15.75" customHeight="1" thickBot="1">
      <c r="A33" s="8"/>
      <c r="B33" s="8"/>
      <c r="C33" s="8"/>
      <c r="D33" s="8"/>
      <c r="E33" s="8"/>
      <c r="F33" s="8"/>
    </row>
    <row r="34" spans="1:6" ht="15" thickBot="1">
      <c r="A34" s="64"/>
      <c r="B34" s="27" t="s">
        <v>44</v>
      </c>
      <c r="C34" s="27" t="s">
        <v>13</v>
      </c>
      <c r="D34" s="30" t="s">
        <v>14</v>
      </c>
      <c r="E34" s="28" t="s">
        <v>255</v>
      </c>
    </row>
    <row r="35" spans="1:6" ht="75" customHeight="1">
      <c r="A35" s="466" t="s">
        <v>235</v>
      </c>
      <c r="B35" s="339" t="str">
        <f>+ARG!$B$36</f>
        <v>Bonus</v>
      </c>
      <c r="C35" s="340">
        <v>60</v>
      </c>
      <c r="D35" s="341">
        <f>(($C$16/30.43)*C35)/$C$17</f>
        <v>0.16431153466973381</v>
      </c>
      <c r="E35" s="376" t="s">
        <v>262</v>
      </c>
    </row>
    <row r="36" spans="1:6" ht="26">
      <c r="A36" s="466"/>
      <c r="B36" s="342" t="str">
        <f>+ARG!$B$37</f>
        <v>Paid leave</v>
      </c>
      <c r="C36" s="327">
        <v>20</v>
      </c>
      <c r="D36" s="303">
        <f>(($C$16/30.43)*C36)/$C$17</f>
        <v>5.4770511556577944E-2</v>
      </c>
      <c r="E36" s="375" t="s">
        <v>263</v>
      </c>
    </row>
    <row r="37" spans="1:6" ht="30.75" customHeight="1">
      <c r="A37" s="466"/>
      <c r="B37" s="339" t="str">
        <f>+ARG!$B$38</f>
        <v>Firing notice *</v>
      </c>
      <c r="C37" s="340">
        <v>90</v>
      </c>
      <c r="D37" s="341">
        <f>((($C$16/30.43)*C37)/$C$17)/5</f>
        <v>4.9293460400920149E-2</v>
      </c>
      <c r="E37" s="376" t="s">
        <v>264</v>
      </c>
    </row>
    <row r="38" spans="1:6" ht="65">
      <c r="A38" s="466"/>
      <c r="B38" s="342" t="str">
        <f>+ARG!$B$39</f>
        <v>Severance pay *</v>
      </c>
      <c r="C38" s="327">
        <v>150</v>
      </c>
      <c r="D38" s="303">
        <f>((($C$16/30.43)*C38)/$C$17)/5</f>
        <v>8.2155767334866917E-2</v>
      </c>
      <c r="E38" s="377" t="s">
        <v>265</v>
      </c>
    </row>
    <row r="39" spans="1:6" ht="15" customHeight="1">
      <c r="A39" s="444" t="s">
        <v>237</v>
      </c>
      <c r="B39" s="444"/>
      <c r="C39" s="444"/>
      <c r="D39" s="444"/>
      <c r="E39" s="444"/>
      <c r="F39" s="444"/>
    </row>
    <row r="41" spans="1:6">
      <c r="E41" s="6"/>
    </row>
    <row r="42" spans="1:6">
      <c r="B42" s="1"/>
      <c r="C42" s="1"/>
    </row>
    <row r="43" spans="1:6">
      <c r="B43" s="1"/>
      <c r="C43" s="7"/>
    </row>
    <row r="44" spans="1:6">
      <c r="C44" s="3"/>
    </row>
    <row r="45" spans="1:6">
      <c r="A45" s="335"/>
      <c r="B45" s="463"/>
      <c r="C45" s="336"/>
    </row>
    <row r="46" spans="1:6">
      <c r="A46" s="335"/>
      <c r="B46" s="463"/>
      <c r="C46" s="336"/>
    </row>
    <row r="47" spans="1:6">
      <c r="A47" s="335"/>
      <c r="B47" s="463"/>
      <c r="C47" s="336"/>
    </row>
    <row r="48" spans="1:6">
      <c r="A48" s="464"/>
      <c r="B48" s="463"/>
      <c r="C48" s="336"/>
    </row>
    <row r="49" spans="1:3">
      <c r="A49" s="464"/>
      <c r="B49" s="463"/>
      <c r="C49" s="336"/>
    </row>
    <row r="50" spans="1:3">
      <c r="C50" s="3"/>
    </row>
    <row r="51" spans="1:3">
      <c r="C51" s="3"/>
    </row>
  </sheetData>
  <mergeCells count="21">
    <mergeCell ref="B45:B49"/>
    <mergeCell ref="A48:A49"/>
    <mergeCell ref="A1:C1"/>
    <mergeCell ref="A4:F4"/>
    <mergeCell ref="A8:A11"/>
    <mergeCell ref="A35:A38"/>
    <mergeCell ref="A15:A20"/>
    <mergeCell ref="A39:F39"/>
    <mergeCell ref="F23:F24"/>
    <mergeCell ref="A22:H22"/>
    <mergeCell ref="G23:H23"/>
    <mergeCell ref="A25:A29"/>
    <mergeCell ref="A23:A24"/>
    <mergeCell ref="B23:B24"/>
    <mergeCell ref="C23:C24"/>
    <mergeCell ref="D23:D24"/>
    <mergeCell ref="E23:E24"/>
    <mergeCell ref="B25:B27"/>
    <mergeCell ref="G25:G29"/>
    <mergeCell ref="H25:H29"/>
    <mergeCell ref="F25:F29"/>
  </mergeCells>
  <pageMargins left="0.33571428571428569" right="0.7" top="0.48258928571428572" bottom="0.75" header="0.3" footer="0.3"/>
  <pageSetup scale="47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showGridLines="0" view="pageLayout" zoomScale="68" zoomScaleNormal="80" zoomScalePageLayoutView="68" workbookViewId="0">
      <selection activeCell="D25" sqref="D25:E26"/>
    </sheetView>
  </sheetViews>
  <sheetFormatPr defaultColWidth="9.1796875" defaultRowHeight="14.5"/>
  <cols>
    <col min="1" max="1" width="16" style="2" customWidth="1"/>
    <col min="2" max="2" width="45.453125" style="2" customWidth="1"/>
    <col min="3" max="3" width="36.54296875" style="2" customWidth="1"/>
    <col min="4" max="4" width="22.1796875" style="2" customWidth="1"/>
    <col min="5" max="5" width="46.1796875" style="2" customWidth="1"/>
    <col min="6" max="6" width="16.269531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304</v>
      </c>
      <c r="B1" s="458"/>
      <c r="C1" s="458"/>
    </row>
    <row r="2" spans="1:7" ht="18.5">
      <c r="A2" s="34">
        <v>2025</v>
      </c>
    </row>
    <row r="3" spans="1:7">
      <c r="B3" s="2" t="s">
        <v>85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>
      <c r="A8" s="443" t="str">
        <f>+ARG!$A$8</f>
        <v>Country data</v>
      </c>
      <c r="B8" s="287" t="str">
        <f>+ARG!$B$8</f>
        <v>GDP (current prices in local currency)</v>
      </c>
      <c r="C8" s="405">
        <v>178.3717193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405">
        <v>3.6189027579051398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405">
        <v>649891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221">
        <f>+((C8*1000000000)/C10)/C9</f>
        <v>75841.78784676193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4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>
      <c r="A15" s="443" t="str">
        <f>+ARG!$A$15</f>
        <v>Wages</v>
      </c>
      <c r="B15" s="287" t="str">
        <f>+ARG!$B$15</f>
        <v>Monthly minimum wage</v>
      </c>
      <c r="C15" s="249">
        <f>20.5*40*4.3</f>
        <v>3526</v>
      </c>
      <c r="D15" s="203" t="s">
        <v>86</v>
      </c>
      <c r="E15" s="315"/>
      <c r="F15" s="218"/>
    </row>
    <row r="16" spans="1:7">
      <c r="A16" s="443"/>
      <c r="B16" s="287" t="str">
        <f>+ARG!$B$16</f>
        <v>Monthly minimum wage (US $ PPP)</v>
      </c>
      <c r="C16" s="221">
        <f>+C15/C9</f>
        <v>974.32847354016269</v>
      </c>
      <c r="D16" s="203" t="s">
        <v>387</v>
      </c>
      <c r="E16" s="203" t="s">
        <v>229</v>
      </c>
      <c r="F16" s="214"/>
    </row>
    <row r="17" spans="1:8">
      <c r="A17" s="443"/>
      <c r="B17" s="287" t="str">
        <f>+ARG!$B$17</f>
        <v>Annual minimum wage (US $ PPP)</v>
      </c>
      <c r="C17" s="221">
        <f>C16*12</f>
        <v>11691.941682481953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1674.7523433308436</v>
      </c>
      <c r="D18" s="203" t="s">
        <v>387</v>
      </c>
      <c r="E18" s="203" t="s">
        <v>87</v>
      </c>
      <c r="F18" s="214"/>
    </row>
    <row r="19" spans="1:8">
      <c r="A19" s="443"/>
      <c r="B19" s="287" t="str">
        <f>+ARG!$B$19</f>
        <v>Annual wage of formal wage workers (US $ PPP)</v>
      </c>
      <c r="C19" s="221">
        <f>C18*12</f>
        <v>20097.028119970124</v>
      </c>
      <c r="D19" s="203" t="s">
        <v>387</v>
      </c>
      <c r="E19" s="203" t="s">
        <v>229</v>
      </c>
      <c r="F19" s="1"/>
    </row>
    <row r="20" spans="1:8" ht="29">
      <c r="A20" s="443"/>
      <c r="B20" s="287" t="str">
        <f>+ARG!$B$20</f>
        <v>Annual average wage of informal wage workers (US $ PPP)</v>
      </c>
      <c r="C20" s="221">
        <f>C19*0.5</f>
        <v>10048.514059985062</v>
      </c>
      <c r="D20" s="203" t="s">
        <v>387</v>
      </c>
      <c r="E20" s="203" t="s">
        <v>310</v>
      </c>
      <c r="F20" s="1"/>
    </row>
    <row r="21" spans="1:8">
      <c r="A21" s="178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27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72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73"/>
      <c r="G24" s="295" t="str">
        <f>+ARG!$G$25</f>
        <v>ACSL</v>
      </c>
      <c r="H24" s="295" t="str">
        <f>+ARG!$H$25</f>
        <v>MCSL</v>
      </c>
    </row>
    <row r="25" spans="1:8">
      <c r="A25" s="443" t="str">
        <f>+ARG!$A$26</f>
        <v>Mandatory contributions</v>
      </c>
      <c r="B25" s="293" t="s">
        <v>316</v>
      </c>
      <c r="C25" s="296" t="s">
        <v>297</v>
      </c>
      <c r="D25" s="537">
        <v>0.13200000000000001</v>
      </c>
      <c r="E25" s="538"/>
      <c r="F25" s="474" t="s">
        <v>299</v>
      </c>
      <c r="G25" s="535"/>
      <c r="H25" s="536"/>
    </row>
    <row r="26" spans="1:8">
      <c r="A26" s="443"/>
      <c r="B26" s="294" t="s">
        <v>233</v>
      </c>
      <c r="C26" s="298" t="s">
        <v>295</v>
      </c>
      <c r="D26" s="539"/>
      <c r="E26" s="540"/>
      <c r="F26" s="474"/>
      <c r="G26" s="535"/>
      <c r="H26" s="536"/>
    </row>
    <row r="27" spans="1:8">
      <c r="A27" s="443"/>
      <c r="B27" s="471" t="s">
        <v>234</v>
      </c>
      <c r="C27" s="299" t="s">
        <v>293</v>
      </c>
      <c r="D27" s="236"/>
      <c r="E27" s="297"/>
      <c r="F27" s="474"/>
      <c r="G27" s="535"/>
      <c r="H27" s="536"/>
    </row>
    <row r="28" spans="1:8">
      <c r="A28" s="443"/>
      <c r="B28" s="471"/>
      <c r="C28" s="299" t="s">
        <v>88</v>
      </c>
      <c r="D28" s="297"/>
      <c r="E28" s="297"/>
      <c r="F28" s="474"/>
      <c r="G28" s="535"/>
      <c r="H28" s="536"/>
    </row>
    <row r="29" spans="1:8" ht="18.5">
      <c r="A29" t="s">
        <v>396</v>
      </c>
      <c r="B29" s="54"/>
      <c r="C29" s="57"/>
      <c r="D29" s="58"/>
      <c r="E29" s="58"/>
      <c r="F29" s="61"/>
      <c r="G29" s="181"/>
      <c r="H29" s="179"/>
    </row>
    <row r="30" spans="1:8">
      <c r="A30"/>
      <c r="B30" s="8"/>
      <c r="C30" s="8"/>
      <c r="D30" s="8"/>
      <c r="E30" s="8"/>
      <c r="F30" s="8"/>
    </row>
    <row r="31" spans="1:8" ht="15" thickBot="1">
      <c r="A31"/>
      <c r="B31" s="8"/>
      <c r="C31" s="8"/>
      <c r="D31" s="8"/>
      <c r="E31" s="8"/>
      <c r="F31" s="8"/>
    </row>
    <row r="32" spans="1:8" ht="26">
      <c r="A32" s="382"/>
      <c r="B32" s="383" t="s">
        <v>89</v>
      </c>
      <c r="C32" s="383" t="s">
        <v>90</v>
      </c>
      <c r="D32" s="378" t="s">
        <v>300</v>
      </c>
      <c r="E32" s="384" t="s">
        <v>255</v>
      </c>
    </row>
    <row r="33" spans="1:6" ht="15" customHeight="1">
      <c r="A33" s="443" t="s">
        <v>235</v>
      </c>
      <c r="B33" s="339" t="str">
        <f>+ARG!$B$36</f>
        <v>Bonus</v>
      </c>
      <c r="C33" s="340"/>
      <c r="D33" s="374"/>
      <c r="E33" s="203"/>
    </row>
    <row r="34" spans="1:6">
      <c r="A34" s="443"/>
      <c r="B34" s="342" t="str">
        <f>+ARG!$B$37</f>
        <v>Paid leave</v>
      </c>
      <c r="C34" s="327">
        <v>14</v>
      </c>
      <c r="D34" s="303">
        <f>((($C$16/30.43)*C34))/$C$17</f>
        <v>3.833935808960455E-2</v>
      </c>
      <c r="E34" s="375"/>
    </row>
    <row r="35" spans="1:6">
      <c r="A35" s="443"/>
      <c r="B35" s="339" t="str">
        <f>+ARG!$B$38</f>
        <v>Firing notice *</v>
      </c>
      <c r="C35" s="340"/>
      <c r="D35" s="341"/>
      <c r="E35" s="376"/>
    </row>
    <row r="36" spans="1:6" ht="30" customHeight="1">
      <c r="A36" s="443"/>
      <c r="B36" s="342" t="str">
        <f>+ARG!$B$39</f>
        <v>Severance pay *</v>
      </c>
      <c r="C36" s="327">
        <f>5*3*5</f>
        <v>75</v>
      </c>
      <c r="D36" s="303">
        <f>((($C$16/30.43)*C36))/$C$17/5</f>
        <v>4.1077883667433451E-2</v>
      </c>
      <c r="E36" s="406" t="s">
        <v>91</v>
      </c>
    </row>
    <row r="37" spans="1:6" ht="15" customHeight="1">
      <c r="A37" s="444" t="s">
        <v>237</v>
      </c>
      <c r="B37" s="444"/>
      <c r="C37" s="444"/>
      <c r="D37" s="444"/>
      <c r="E37" s="444"/>
      <c r="F37" s="444"/>
    </row>
    <row r="38" spans="1:6">
      <c r="E38" s="6"/>
    </row>
    <row r="39" spans="1:6">
      <c r="E39" s="40"/>
    </row>
    <row r="40" spans="1:6">
      <c r="B40" s="1"/>
      <c r="C40" s="1"/>
    </row>
    <row r="41" spans="1:6">
      <c r="B41" s="1"/>
      <c r="C41" s="7"/>
    </row>
    <row r="42" spans="1:6">
      <c r="C42" s="3"/>
    </row>
    <row r="43" spans="1:6">
      <c r="C43" s="3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</sheetData>
  <mergeCells count="21">
    <mergeCell ref="A22:H22"/>
    <mergeCell ref="D25:E26"/>
    <mergeCell ref="A1:C1"/>
    <mergeCell ref="A5:F5"/>
    <mergeCell ref="A8:A11"/>
    <mergeCell ref="A12:F12"/>
    <mergeCell ref="A15:A20"/>
    <mergeCell ref="A33:A36"/>
    <mergeCell ref="A37:F37"/>
    <mergeCell ref="G23:H23"/>
    <mergeCell ref="A25:A28"/>
    <mergeCell ref="F25:F28"/>
    <mergeCell ref="G25:G28"/>
    <mergeCell ref="H25:H28"/>
    <mergeCell ref="A23:A24"/>
    <mergeCell ref="B23:B24"/>
    <mergeCell ref="C23:C24"/>
    <mergeCell ref="D23:D24"/>
    <mergeCell ref="E23:E24"/>
    <mergeCell ref="F23:F24"/>
    <mergeCell ref="B27:B28"/>
  </mergeCells>
  <pageMargins left="0.38411458333333331" right="0.7" top="0.75" bottom="0.75" header="0.3" footer="0.3"/>
  <pageSetup scale="5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74"/>
  <sheetViews>
    <sheetView showGridLines="0" workbookViewId="0">
      <selection activeCell="M73" sqref="M73"/>
    </sheetView>
  </sheetViews>
  <sheetFormatPr defaultColWidth="9.1796875" defaultRowHeight="14.5"/>
  <cols>
    <col min="2" max="2" width="17.54296875" bestFit="1" customWidth="1"/>
    <col min="4" max="4" width="12.81640625" customWidth="1"/>
    <col min="10" max="10" width="11.81640625" bestFit="1" customWidth="1"/>
  </cols>
  <sheetData>
    <row r="1" spans="1:11">
      <c r="B1" s="73" t="s">
        <v>94</v>
      </c>
    </row>
    <row r="3" spans="1:11" ht="39">
      <c r="A3" s="76" t="s">
        <v>95</v>
      </c>
      <c r="B3" s="76" t="s">
        <v>96</v>
      </c>
      <c r="C3" s="75" t="s">
        <v>97</v>
      </c>
      <c r="D3" s="75" t="s">
        <v>98</v>
      </c>
      <c r="E3" s="75" t="s">
        <v>99</v>
      </c>
      <c r="F3" s="75" t="s">
        <v>100</v>
      </c>
      <c r="G3" s="75" t="s">
        <v>101</v>
      </c>
      <c r="H3" s="76" t="s">
        <v>102</v>
      </c>
      <c r="I3" s="75" t="s">
        <v>103</v>
      </c>
    </row>
    <row r="4" spans="1:11">
      <c r="A4" s="91" t="e">
        <f>+RANK(I4,$I$4:$I$23)</f>
        <v>#REF!</v>
      </c>
      <c r="B4" s="77" t="s">
        <v>104</v>
      </c>
      <c r="C4" s="78" t="e">
        <f>+ARG!#REF!</f>
        <v>#REF!</v>
      </c>
      <c r="D4" s="78" t="e">
        <f>+ARG!#REF!</f>
        <v>#REF!</v>
      </c>
      <c r="E4" s="79" t="e">
        <f>+ARG!#REF!</f>
        <v>#REF!</v>
      </c>
      <c r="F4" s="80" t="e">
        <f>+ARG!#REF!</f>
        <v>#REF!</v>
      </c>
      <c r="G4" s="79" t="e">
        <f>+ARG!#REF!</f>
        <v>#REF!</v>
      </c>
      <c r="H4" s="80" t="e">
        <f>+ARG!#REF!</f>
        <v>#REF!</v>
      </c>
      <c r="I4" s="81" t="e">
        <f>+ARG!#REF!</f>
        <v>#REF!</v>
      </c>
      <c r="J4" s="90"/>
      <c r="K4" s="90"/>
    </row>
    <row r="5" spans="1:11">
      <c r="A5" s="91" t="e">
        <f t="shared" ref="A5:A23" si="0">+RANK(I5,$I$4:$I$23)</f>
        <v>#REF!</v>
      </c>
      <c r="B5" t="s">
        <v>105</v>
      </c>
      <c r="C5" s="82" t="e">
        <f>+BOL!#REF!</f>
        <v>#REF!</v>
      </c>
      <c r="D5" s="82" t="e">
        <f>+BOL!#REF!</f>
        <v>#REF!</v>
      </c>
      <c r="E5" s="83" t="e">
        <f>+BOL!#REF!</f>
        <v>#REF!</v>
      </c>
      <c r="F5" s="84" t="e">
        <f>+BOL!#REF!</f>
        <v>#REF!</v>
      </c>
      <c r="G5" s="83" t="e">
        <f>+BOL!#REF!</f>
        <v>#REF!</v>
      </c>
      <c r="H5" s="84" t="e">
        <f>+BOL!#REF!</f>
        <v>#REF!</v>
      </c>
      <c r="I5" s="85" t="e">
        <f>+BOL!#REF!</f>
        <v>#REF!</v>
      </c>
      <c r="J5" s="90"/>
      <c r="K5" s="90"/>
    </row>
    <row r="6" spans="1:11">
      <c r="A6" s="91" t="e">
        <f t="shared" si="0"/>
        <v>#REF!</v>
      </c>
      <c r="B6" t="s">
        <v>106</v>
      </c>
      <c r="C6" s="82" t="e">
        <f>+BRA!#REF!</f>
        <v>#REF!</v>
      </c>
      <c r="D6" s="82" t="e">
        <f>+BRA!#REF!</f>
        <v>#REF!</v>
      </c>
      <c r="E6" s="83" t="e">
        <f>+BRA!#REF!</f>
        <v>#REF!</v>
      </c>
      <c r="F6" s="84" t="e">
        <f>+BRA!#REF!</f>
        <v>#REF!</v>
      </c>
      <c r="G6" s="83" t="e">
        <f>+BRA!#REF!</f>
        <v>#REF!</v>
      </c>
      <c r="H6" s="84" t="e">
        <f>+BRA!#REF!</f>
        <v>#REF!</v>
      </c>
      <c r="I6" s="85" t="e">
        <f>+BRA!#REF!</f>
        <v>#REF!</v>
      </c>
      <c r="J6" s="90"/>
      <c r="K6" s="90"/>
    </row>
    <row r="7" spans="1:11">
      <c r="A7" s="91" t="e">
        <f t="shared" si="0"/>
        <v>#REF!</v>
      </c>
      <c r="B7" t="s">
        <v>107</v>
      </c>
      <c r="C7" s="82" t="e">
        <f>+CHL!#REF!</f>
        <v>#REF!</v>
      </c>
      <c r="D7" s="82" t="e">
        <f>+CHL!#REF!</f>
        <v>#REF!</v>
      </c>
      <c r="E7" s="83" t="e">
        <f>+CHL!#REF!</f>
        <v>#REF!</v>
      </c>
      <c r="F7" s="84" t="e">
        <f>+CHL!#REF!</f>
        <v>#REF!</v>
      </c>
      <c r="G7" s="83" t="e">
        <f>+CHL!#REF!</f>
        <v>#REF!</v>
      </c>
      <c r="H7" s="84" t="e">
        <f>+CHL!#REF!</f>
        <v>#REF!</v>
      </c>
      <c r="I7" s="85" t="e">
        <f>+CHL!#REF!</f>
        <v>#REF!</v>
      </c>
      <c r="J7" s="90"/>
      <c r="K7" s="90"/>
    </row>
    <row r="8" spans="1:11">
      <c r="A8" s="91" t="e">
        <f t="shared" si="0"/>
        <v>#REF!</v>
      </c>
      <c r="B8" t="s">
        <v>108</v>
      </c>
      <c r="C8" s="82" t="e">
        <f>+COL!#REF!</f>
        <v>#REF!</v>
      </c>
      <c r="D8" s="82" t="e">
        <f>+COL!#REF!</f>
        <v>#REF!</v>
      </c>
      <c r="E8" s="83" t="e">
        <f>+COL!#REF!</f>
        <v>#REF!</v>
      </c>
      <c r="F8" s="84" t="e">
        <f>+COL!#REF!</f>
        <v>#REF!</v>
      </c>
      <c r="G8" s="83" t="e">
        <f>+COL!#REF!</f>
        <v>#REF!</v>
      </c>
      <c r="H8" s="84" t="e">
        <f>+COL!#REF!</f>
        <v>#REF!</v>
      </c>
      <c r="I8" s="85" t="e">
        <f>+COL!#REF!</f>
        <v>#REF!</v>
      </c>
      <c r="J8" s="90"/>
      <c r="K8" s="90"/>
    </row>
    <row r="9" spans="1:11">
      <c r="A9" s="91" t="e">
        <f t="shared" si="0"/>
        <v>#REF!</v>
      </c>
      <c r="B9" t="s">
        <v>109</v>
      </c>
      <c r="C9" s="82" t="e">
        <f>+CRI!#REF!</f>
        <v>#REF!</v>
      </c>
      <c r="D9" s="82" t="e">
        <f>+CRI!#REF!</f>
        <v>#REF!</v>
      </c>
      <c r="E9" s="83" t="e">
        <f>+CRI!#REF!</f>
        <v>#REF!</v>
      </c>
      <c r="F9" s="84" t="e">
        <f>+CRI!#REF!</f>
        <v>#REF!</v>
      </c>
      <c r="G9" s="83" t="e">
        <f>+CRI!#REF!</f>
        <v>#REF!</v>
      </c>
      <c r="H9" s="84" t="e">
        <f>+CRI!#REF!</f>
        <v>#REF!</v>
      </c>
      <c r="I9" s="85" t="e">
        <f>+CRI!#REF!</f>
        <v>#REF!</v>
      </c>
      <c r="J9" s="90"/>
      <c r="K9" s="90"/>
    </row>
    <row r="10" spans="1:11">
      <c r="A10" s="91" t="e">
        <f t="shared" si="0"/>
        <v>#REF!</v>
      </c>
      <c r="B10" t="s">
        <v>110</v>
      </c>
      <c r="C10" s="82" t="e">
        <f>+DOM!#REF!</f>
        <v>#REF!</v>
      </c>
      <c r="D10" s="82" t="e">
        <f>+DOM!#REF!</f>
        <v>#REF!</v>
      </c>
      <c r="E10" s="83" t="e">
        <f>+DOM!#REF!</f>
        <v>#REF!</v>
      </c>
      <c r="F10" s="84" t="e">
        <f>+DOM!#REF!</f>
        <v>#REF!</v>
      </c>
      <c r="G10" s="83" t="e">
        <f>+DOM!#REF!</f>
        <v>#REF!</v>
      </c>
      <c r="H10" s="84" t="e">
        <f>+DOM!#REF!</f>
        <v>#REF!</v>
      </c>
      <c r="I10" s="85" t="e">
        <f>+DOM!#REF!</f>
        <v>#REF!</v>
      </c>
      <c r="J10" s="90"/>
      <c r="K10" s="90"/>
    </row>
    <row r="11" spans="1:11">
      <c r="A11" s="91" t="e">
        <f t="shared" si="0"/>
        <v>#REF!</v>
      </c>
      <c r="B11" t="s">
        <v>111</v>
      </c>
      <c r="C11" s="82" t="e">
        <f>+ECU!#REF!</f>
        <v>#REF!</v>
      </c>
      <c r="D11" s="82" t="e">
        <f>+ECU!#REF!</f>
        <v>#REF!</v>
      </c>
      <c r="E11" s="83" t="e">
        <f>+ECU!#REF!</f>
        <v>#REF!</v>
      </c>
      <c r="F11" s="84" t="e">
        <f>+ECU!#REF!</f>
        <v>#REF!</v>
      </c>
      <c r="G11" s="83" t="e">
        <f>+ECU!#REF!</f>
        <v>#REF!</v>
      </c>
      <c r="H11" s="84" t="e">
        <f>+ECU!#REF!</f>
        <v>#REF!</v>
      </c>
      <c r="I11" s="85" t="e">
        <f>+ECU!#REF!</f>
        <v>#REF!</v>
      </c>
      <c r="J11" s="90"/>
      <c r="K11" s="90"/>
    </row>
    <row r="12" spans="1:11">
      <c r="A12" s="91" t="e">
        <f t="shared" si="0"/>
        <v>#REF!</v>
      </c>
      <c r="B12" t="s">
        <v>112</v>
      </c>
      <c r="C12" s="82" t="e">
        <f>+SLV!#REF!</f>
        <v>#REF!</v>
      </c>
      <c r="D12" s="82" t="e">
        <f>+SLV!#REF!</f>
        <v>#REF!</v>
      </c>
      <c r="E12" s="83" t="e">
        <f>+SLV!#REF!</f>
        <v>#REF!</v>
      </c>
      <c r="F12" s="84" t="e">
        <f>+SLV!#REF!</f>
        <v>#REF!</v>
      </c>
      <c r="G12" s="83" t="e">
        <f>+SLV!#REF!</f>
        <v>#REF!</v>
      </c>
      <c r="H12" s="84" t="e">
        <f>+SLV!#REF!</f>
        <v>#REF!</v>
      </c>
      <c r="I12" s="85" t="e">
        <f>+SLV!#REF!</f>
        <v>#REF!</v>
      </c>
      <c r="J12" s="90"/>
      <c r="K12" s="90"/>
    </row>
    <row r="13" spans="1:11">
      <c r="A13" s="91" t="e">
        <f t="shared" si="0"/>
        <v>#REF!</v>
      </c>
      <c r="B13" t="s">
        <v>113</v>
      </c>
      <c r="C13" s="82" t="e">
        <f>+GTM!#REF!</f>
        <v>#REF!</v>
      </c>
      <c r="D13" s="82" t="e">
        <f>+GTM!#REF!</f>
        <v>#REF!</v>
      </c>
      <c r="E13" s="83" t="e">
        <f>+GTM!#REF!</f>
        <v>#REF!</v>
      </c>
      <c r="F13" s="84" t="e">
        <f>+GTM!#REF!</f>
        <v>#REF!</v>
      </c>
      <c r="G13" s="83" t="e">
        <f>+GTM!#REF!</f>
        <v>#REF!</v>
      </c>
      <c r="H13" s="84" t="e">
        <f>+GTM!#REF!</f>
        <v>#REF!</v>
      </c>
      <c r="I13" s="85" t="e">
        <f>+GTM!#REF!</f>
        <v>#REF!</v>
      </c>
      <c r="J13" s="90"/>
      <c r="K13" s="90"/>
    </row>
    <row r="14" spans="1:11">
      <c r="A14" s="91" t="e">
        <f t="shared" si="0"/>
        <v>#REF!</v>
      </c>
      <c r="B14" t="s">
        <v>114</v>
      </c>
      <c r="C14" s="82" t="e">
        <f>+HND!#REF!</f>
        <v>#REF!</v>
      </c>
      <c r="D14" s="82" t="e">
        <f>+HND!#REF!</f>
        <v>#REF!</v>
      </c>
      <c r="E14" s="83" t="e">
        <f>+HND!#REF!</f>
        <v>#REF!</v>
      </c>
      <c r="F14" s="84" t="e">
        <f>+HND!#REF!</f>
        <v>#REF!</v>
      </c>
      <c r="G14" s="83" t="e">
        <f>+HND!#REF!</f>
        <v>#REF!</v>
      </c>
      <c r="H14" s="84" t="e">
        <f>+HND!#REF!</f>
        <v>#REF!</v>
      </c>
      <c r="I14" s="85" t="e">
        <f>+HND!#REF!</f>
        <v>#REF!</v>
      </c>
      <c r="J14" s="90"/>
      <c r="K14" s="90"/>
    </row>
    <row r="15" spans="1:11">
      <c r="A15" s="91" t="e">
        <f t="shared" si="0"/>
        <v>#REF!</v>
      </c>
      <c r="B15" t="s">
        <v>115</v>
      </c>
      <c r="C15" s="82" t="e">
        <f>+JAM!#REF!</f>
        <v>#REF!</v>
      </c>
      <c r="D15" s="82" t="e">
        <f>+JAM!#REF!</f>
        <v>#REF!</v>
      </c>
      <c r="E15" s="83" t="e">
        <f>+JAM!#REF!</f>
        <v>#REF!</v>
      </c>
      <c r="F15" s="84" t="e">
        <f>+JAM!#REF!</f>
        <v>#REF!</v>
      </c>
      <c r="G15" s="83" t="e">
        <f>+JAM!#REF!</f>
        <v>#REF!</v>
      </c>
      <c r="H15" s="84" t="e">
        <f>+JAM!#REF!</f>
        <v>#REF!</v>
      </c>
      <c r="I15" s="85" t="e">
        <f>+JAM!#REF!</f>
        <v>#REF!</v>
      </c>
      <c r="J15" s="90"/>
      <c r="K15" s="90"/>
    </row>
    <row r="16" spans="1:11">
      <c r="A16" s="91" t="e">
        <f t="shared" si="0"/>
        <v>#REF!</v>
      </c>
      <c r="B16" t="s">
        <v>116</v>
      </c>
      <c r="C16" s="82" t="e">
        <f>+MEX!#REF!</f>
        <v>#REF!</v>
      </c>
      <c r="D16" s="82" t="e">
        <f>+MEX!#REF!</f>
        <v>#REF!</v>
      </c>
      <c r="E16" s="83" t="e">
        <f>+MEX!#REF!</f>
        <v>#REF!</v>
      </c>
      <c r="F16" s="84" t="e">
        <f>+MEX!#REF!</f>
        <v>#REF!</v>
      </c>
      <c r="G16" s="83" t="e">
        <f>+MEX!#REF!</f>
        <v>#REF!</v>
      </c>
      <c r="H16" s="84" t="e">
        <f>+MEX!#REF!</f>
        <v>#REF!</v>
      </c>
      <c r="I16" s="85" t="e">
        <f>+MEX!#REF!</f>
        <v>#REF!</v>
      </c>
      <c r="J16" s="90"/>
      <c r="K16" s="90"/>
    </row>
    <row r="17" spans="1:11">
      <c r="A17" s="91" t="e">
        <f t="shared" si="0"/>
        <v>#REF!</v>
      </c>
      <c r="B17" t="s">
        <v>117</v>
      </c>
      <c r="C17" s="82" t="e">
        <f>+NIC!#REF!</f>
        <v>#REF!</v>
      </c>
      <c r="D17" s="82" t="e">
        <f>+NIC!#REF!</f>
        <v>#REF!</v>
      </c>
      <c r="E17" s="83" t="e">
        <f>+NIC!#REF!</f>
        <v>#REF!</v>
      </c>
      <c r="F17" s="84" t="e">
        <f>+NIC!#REF!</f>
        <v>#REF!</v>
      </c>
      <c r="G17" s="83" t="e">
        <f>+NIC!#REF!</f>
        <v>#REF!</v>
      </c>
      <c r="H17" s="84" t="e">
        <f>+NIC!#REF!</f>
        <v>#REF!</v>
      </c>
      <c r="I17" s="85" t="e">
        <f>+NIC!#REF!</f>
        <v>#REF!</v>
      </c>
      <c r="J17" s="90"/>
      <c r="K17" s="90"/>
    </row>
    <row r="18" spans="1:11">
      <c r="A18" s="91" t="e">
        <f t="shared" si="0"/>
        <v>#REF!</v>
      </c>
      <c r="B18" t="s">
        <v>118</v>
      </c>
      <c r="C18" s="82" t="e">
        <f>+PAN!#REF!</f>
        <v>#REF!</v>
      </c>
      <c r="D18" s="82" t="e">
        <f>+PAN!#REF!</f>
        <v>#REF!</v>
      </c>
      <c r="E18" s="83" t="e">
        <f>+PAN!#REF!</f>
        <v>#REF!</v>
      </c>
      <c r="F18" s="84" t="e">
        <f>+PAN!#REF!</f>
        <v>#REF!</v>
      </c>
      <c r="G18" s="83" t="e">
        <f>+PAN!#REF!</f>
        <v>#REF!</v>
      </c>
      <c r="H18" s="84" t="e">
        <f>+PAN!#REF!</f>
        <v>#REF!</v>
      </c>
      <c r="I18" s="85" t="e">
        <f>+PAN!#REF!</f>
        <v>#REF!</v>
      </c>
      <c r="J18" s="90"/>
      <c r="K18" s="90"/>
    </row>
    <row r="19" spans="1:11">
      <c r="A19" s="91" t="e">
        <f t="shared" si="0"/>
        <v>#REF!</v>
      </c>
      <c r="B19" t="s">
        <v>119</v>
      </c>
      <c r="C19" s="82" t="e">
        <f>+PRY!#REF!</f>
        <v>#REF!</v>
      </c>
      <c r="D19" s="82" t="e">
        <f>+PRY!#REF!</f>
        <v>#REF!</v>
      </c>
      <c r="E19" s="83" t="e">
        <f>+PRY!#REF!</f>
        <v>#REF!</v>
      </c>
      <c r="F19" s="84" t="e">
        <f>+PRY!#REF!</f>
        <v>#REF!</v>
      </c>
      <c r="G19" s="83" t="e">
        <f>+PRY!#REF!</f>
        <v>#REF!</v>
      </c>
      <c r="H19" s="84" t="e">
        <f>+PRY!#REF!</f>
        <v>#REF!</v>
      </c>
      <c r="I19" s="85" t="e">
        <f>+PRY!#REF!</f>
        <v>#REF!</v>
      </c>
      <c r="J19" s="90"/>
      <c r="K19" s="90"/>
    </row>
    <row r="20" spans="1:11">
      <c r="A20" s="91" t="e">
        <f t="shared" si="0"/>
        <v>#REF!</v>
      </c>
      <c r="B20" t="s">
        <v>120</v>
      </c>
      <c r="C20" s="82" t="e">
        <f>+PER!#REF!</f>
        <v>#REF!</v>
      </c>
      <c r="D20" s="82" t="e">
        <f>+PER!#REF!</f>
        <v>#REF!</v>
      </c>
      <c r="E20" s="83" t="e">
        <f>+PER!#REF!</f>
        <v>#REF!</v>
      </c>
      <c r="F20" s="84" t="e">
        <f>+PER!#REF!</f>
        <v>#REF!</v>
      </c>
      <c r="G20" s="83" t="e">
        <f>+PER!#REF!</f>
        <v>#REF!</v>
      </c>
      <c r="H20" s="84" t="e">
        <f>+PER!#REF!</f>
        <v>#REF!</v>
      </c>
      <c r="I20" s="85" t="e">
        <f>+PER!#REF!</f>
        <v>#REF!</v>
      </c>
      <c r="J20" s="90"/>
      <c r="K20" s="90"/>
    </row>
    <row r="21" spans="1:11">
      <c r="A21" s="91" t="e">
        <f t="shared" si="0"/>
        <v>#REF!</v>
      </c>
      <c r="B21" t="s">
        <v>121</v>
      </c>
      <c r="C21" s="82" t="e">
        <f>+TTO!#REF!</f>
        <v>#REF!</v>
      </c>
      <c r="D21" s="82" t="e">
        <f>+TTO!#REF!</f>
        <v>#REF!</v>
      </c>
      <c r="E21" s="83" t="e">
        <f>+TTO!#REF!</f>
        <v>#REF!</v>
      </c>
      <c r="F21" s="84"/>
      <c r="G21" s="83" t="e">
        <f>+TTO!#REF!</f>
        <v>#REF!</v>
      </c>
      <c r="H21" s="84"/>
      <c r="I21" s="85" t="e">
        <f>+TTO!#REF!</f>
        <v>#REF!</v>
      </c>
      <c r="J21" s="90"/>
      <c r="K21" s="90"/>
    </row>
    <row r="22" spans="1:11">
      <c r="A22" s="91" t="e">
        <f t="shared" si="0"/>
        <v>#REF!</v>
      </c>
      <c r="B22" t="s">
        <v>122</v>
      </c>
      <c r="C22" s="82" t="e">
        <f>+URY!#REF!</f>
        <v>#REF!</v>
      </c>
      <c r="D22" s="82" t="e">
        <f>+URY!#REF!</f>
        <v>#REF!</v>
      </c>
      <c r="E22" s="83" t="e">
        <f>+URY!#REF!</f>
        <v>#REF!</v>
      </c>
      <c r="F22" s="84" t="e">
        <f>+URY!#REF!</f>
        <v>#REF!</v>
      </c>
      <c r="G22" s="83" t="e">
        <f>+URY!#REF!</f>
        <v>#REF!</v>
      </c>
      <c r="H22" s="84" t="e">
        <f>+URY!#REF!</f>
        <v>#REF!</v>
      </c>
      <c r="I22" s="85" t="e">
        <f>+URY!#REF!</f>
        <v>#REF!</v>
      </c>
      <c r="J22" s="90"/>
      <c r="K22" s="90"/>
    </row>
    <row r="23" spans="1:11">
      <c r="A23" s="91" t="e">
        <f t="shared" si="0"/>
        <v>#REF!</v>
      </c>
      <c r="B23" t="s">
        <v>123</v>
      </c>
      <c r="C23" s="82" t="e">
        <f>+VEN!#REF!</f>
        <v>#REF!</v>
      </c>
      <c r="D23" s="82" t="e">
        <f>+VEN!#REF!</f>
        <v>#REF!</v>
      </c>
      <c r="E23" s="83" t="e">
        <f>+VEN!#REF!</f>
        <v>#REF!</v>
      </c>
      <c r="F23" s="84" t="e">
        <f>+VEN!#REF!</f>
        <v>#REF!</v>
      </c>
      <c r="G23" s="83" t="e">
        <f>+VEN!#REF!</f>
        <v>#REF!</v>
      </c>
      <c r="H23" s="84" t="e">
        <f>+VEN!#REF!</f>
        <v>#REF!</v>
      </c>
      <c r="I23" s="85" t="e">
        <f>+VEN!#REF!</f>
        <v>#REF!</v>
      </c>
      <c r="J23" s="90"/>
      <c r="K23" s="90"/>
    </row>
    <row r="24" spans="1:11">
      <c r="A24" s="74"/>
      <c r="B24" s="86" t="s">
        <v>124</v>
      </c>
      <c r="C24" s="87" t="e">
        <f>+AVERAGE(C4:C23)</f>
        <v>#REF!</v>
      </c>
      <c r="D24" s="87" t="e">
        <f t="shared" ref="D24:I24" si="1">+AVERAGE(D4:D23)</f>
        <v>#REF!</v>
      </c>
      <c r="E24" s="88" t="e">
        <f t="shared" si="1"/>
        <v>#REF!</v>
      </c>
      <c r="F24" s="89" t="e">
        <f t="shared" si="1"/>
        <v>#REF!</v>
      </c>
      <c r="G24" s="88" t="e">
        <f t="shared" si="1"/>
        <v>#REF!</v>
      </c>
      <c r="H24" s="89" t="e">
        <f t="shared" si="1"/>
        <v>#REF!</v>
      </c>
      <c r="I24" s="87" t="e">
        <f t="shared" si="1"/>
        <v>#REF!</v>
      </c>
      <c r="J24" s="90"/>
      <c r="K24" s="90"/>
    </row>
    <row r="25" spans="1:11">
      <c r="C25" s="170"/>
      <c r="D25" s="170"/>
      <c r="E25" s="170"/>
      <c r="F25" s="170"/>
      <c r="G25" s="170"/>
      <c r="H25" s="170"/>
      <c r="I25" s="170"/>
    </row>
    <row r="51" spans="1:11" ht="18.5">
      <c r="A51" s="92" t="s">
        <v>125</v>
      </c>
    </row>
    <row r="52" spans="1:11">
      <c r="J52" s="541" t="s">
        <v>126</v>
      </c>
      <c r="K52" s="541"/>
    </row>
    <row r="53" spans="1:11" ht="39">
      <c r="A53" s="93"/>
      <c r="B53" s="93"/>
      <c r="C53" s="75" t="s">
        <v>97</v>
      </c>
      <c r="D53" s="75" t="s">
        <v>98</v>
      </c>
      <c r="E53" s="75" t="s">
        <v>99</v>
      </c>
      <c r="F53" s="75" t="s">
        <v>100</v>
      </c>
      <c r="G53" s="75" t="s">
        <v>101</v>
      </c>
      <c r="H53" s="76" t="s">
        <v>102</v>
      </c>
      <c r="I53" s="94" t="s">
        <v>103</v>
      </c>
      <c r="J53" s="75" t="s">
        <v>127</v>
      </c>
      <c r="K53" s="75" t="s">
        <v>128</v>
      </c>
    </row>
    <row r="54" spans="1:11">
      <c r="A54" s="198">
        <v>20</v>
      </c>
      <c r="B54" s="77" t="e">
        <f t="shared" ref="B54:B73" si="2">+VLOOKUP(A54,$A$4:$I$23,2,FALSE)</f>
        <v>#N/A</v>
      </c>
      <c r="C54" s="95" t="e">
        <f t="shared" ref="C54:C73" si="3">+VLOOKUP(A54,$A$4:$I$23,3,FALSE)</f>
        <v>#N/A</v>
      </c>
      <c r="D54" s="95" t="e">
        <f t="shared" ref="D54:D73" si="4">+VLOOKUP(A54,$A$4:$I$23,4,FALSE)</f>
        <v>#N/A</v>
      </c>
      <c r="E54" s="95" t="e">
        <f t="shared" ref="E54:E73" si="5">+VLOOKUP(A54,$A$4:$I$23,5,FALSE)</f>
        <v>#N/A</v>
      </c>
      <c r="F54" s="95" t="e">
        <f t="shared" ref="F54:F73" si="6">+VLOOKUP(A54,$A$4:$I$23,6,FALSE)</f>
        <v>#N/A</v>
      </c>
      <c r="G54" s="95" t="e">
        <f t="shared" ref="G54:G73" si="7">+VLOOKUP(A54,$A$4:$I$23,7,FALSE)</f>
        <v>#N/A</v>
      </c>
      <c r="H54" s="95" t="e">
        <f t="shared" ref="H54:H73" si="8">+VLOOKUP(A54,$A$4:$I$23,8,FALSE)</f>
        <v>#N/A</v>
      </c>
      <c r="I54" s="102" t="e">
        <f t="shared" ref="I54:I73" si="9">+VLOOKUP(A54,$A$4:$I$23,9,FALSE)</f>
        <v>#N/A</v>
      </c>
      <c r="J54" s="199" t="e">
        <f>+E54+F54</f>
        <v>#N/A</v>
      </c>
      <c r="K54" s="199" t="e">
        <f>+G54+H54</f>
        <v>#N/A</v>
      </c>
    </row>
    <row r="55" spans="1:11">
      <c r="A55" s="96">
        <v>19</v>
      </c>
      <c r="B55" t="e">
        <f t="shared" si="2"/>
        <v>#N/A</v>
      </c>
      <c r="C55" s="97" t="e">
        <f t="shared" si="3"/>
        <v>#N/A</v>
      </c>
      <c r="D55" s="97" t="e">
        <f t="shared" si="4"/>
        <v>#N/A</v>
      </c>
      <c r="E55" s="97" t="e">
        <f t="shared" si="5"/>
        <v>#N/A</v>
      </c>
      <c r="F55" s="97" t="e">
        <f t="shared" si="6"/>
        <v>#N/A</v>
      </c>
      <c r="G55" s="97" t="e">
        <f t="shared" si="7"/>
        <v>#N/A</v>
      </c>
      <c r="H55" s="97" t="e">
        <f t="shared" si="8"/>
        <v>#N/A</v>
      </c>
      <c r="I55" s="103" t="e">
        <f t="shared" si="9"/>
        <v>#N/A</v>
      </c>
      <c r="J55" s="82" t="e">
        <f>+E55+F55</f>
        <v>#N/A</v>
      </c>
      <c r="K55" s="82" t="e">
        <f>+G55+H55</f>
        <v>#N/A</v>
      </c>
    </row>
    <row r="56" spans="1:11">
      <c r="A56" s="96">
        <v>18</v>
      </c>
      <c r="B56" t="e">
        <f t="shared" si="2"/>
        <v>#N/A</v>
      </c>
      <c r="C56" s="97" t="e">
        <f t="shared" si="3"/>
        <v>#N/A</v>
      </c>
      <c r="D56" s="97" t="e">
        <f t="shared" si="4"/>
        <v>#N/A</v>
      </c>
      <c r="E56" s="97" t="e">
        <f t="shared" si="5"/>
        <v>#N/A</v>
      </c>
      <c r="F56" s="97" t="e">
        <f t="shared" si="6"/>
        <v>#N/A</v>
      </c>
      <c r="G56" s="97" t="e">
        <f t="shared" si="7"/>
        <v>#N/A</v>
      </c>
      <c r="H56" s="97" t="e">
        <f t="shared" si="8"/>
        <v>#N/A</v>
      </c>
      <c r="I56" s="103" t="e">
        <f t="shared" si="9"/>
        <v>#N/A</v>
      </c>
      <c r="J56" s="82" t="e">
        <f t="shared" ref="J56:J73" si="10">+E56+F56</f>
        <v>#N/A</v>
      </c>
      <c r="K56" s="82" t="e">
        <f t="shared" ref="K56:K73" si="11">+G56+H56</f>
        <v>#N/A</v>
      </c>
    </row>
    <row r="57" spans="1:11">
      <c r="A57" s="96">
        <v>17</v>
      </c>
      <c r="B57" t="e">
        <f t="shared" si="2"/>
        <v>#N/A</v>
      </c>
      <c r="C57" s="97" t="e">
        <f t="shared" si="3"/>
        <v>#N/A</v>
      </c>
      <c r="D57" s="97" t="e">
        <f t="shared" si="4"/>
        <v>#N/A</v>
      </c>
      <c r="E57" s="97" t="e">
        <f t="shared" si="5"/>
        <v>#N/A</v>
      </c>
      <c r="F57" s="97" t="e">
        <f t="shared" si="6"/>
        <v>#N/A</v>
      </c>
      <c r="G57" s="97" t="e">
        <f t="shared" si="7"/>
        <v>#N/A</v>
      </c>
      <c r="H57" s="97" t="e">
        <f t="shared" si="8"/>
        <v>#N/A</v>
      </c>
      <c r="I57" s="103" t="e">
        <f t="shared" si="9"/>
        <v>#N/A</v>
      </c>
      <c r="J57" s="82" t="e">
        <f t="shared" si="10"/>
        <v>#N/A</v>
      </c>
      <c r="K57" s="82" t="e">
        <f t="shared" si="11"/>
        <v>#N/A</v>
      </c>
    </row>
    <row r="58" spans="1:11">
      <c r="A58" s="96">
        <v>16</v>
      </c>
      <c r="B58" t="e">
        <f t="shared" si="2"/>
        <v>#N/A</v>
      </c>
      <c r="C58" s="97" t="e">
        <f t="shared" si="3"/>
        <v>#N/A</v>
      </c>
      <c r="D58" s="97" t="e">
        <f t="shared" si="4"/>
        <v>#N/A</v>
      </c>
      <c r="E58" s="97" t="e">
        <f t="shared" si="5"/>
        <v>#N/A</v>
      </c>
      <c r="F58" s="97" t="e">
        <f t="shared" si="6"/>
        <v>#N/A</v>
      </c>
      <c r="G58" s="97" t="e">
        <f t="shared" si="7"/>
        <v>#N/A</v>
      </c>
      <c r="H58" s="97" t="e">
        <f t="shared" si="8"/>
        <v>#N/A</v>
      </c>
      <c r="I58" s="103" t="e">
        <f t="shared" si="9"/>
        <v>#N/A</v>
      </c>
      <c r="J58" s="82" t="e">
        <f t="shared" si="10"/>
        <v>#N/A</v>
      </c>
      <c r="K58" s="82" t="e">
        <f t="shared" si="11"/>
        <v>#N/A</v>
      </c>
    </row>
    <row r="59" spans="1:11">
      <c r="A59" s="96">
        <v>15</v>
      </c>
      <c r="B59" t="e">
        <f t="shared" si="2"/>
        <v>#N/A</v>
      </c>
      <c r="C59" s="97" t="e">
        <f t="shared" si="3"/>
        <v>#N/A</v>
      </c>
      <c r="D59" s="97" t="e">
        <f t="shared" si="4"/>
        <v>#N/A</v>
      </c>
      <c r="E59" s="97" t="e">
        <f t="shared" si="5"/>
        <v>#N/A</v>
      </c>
      <c r="F59" s="97" t="e">
        <f t="shared" si="6"/>
        <v>#N/A</v>
      </c>
      <c r="G59" s="97" t="e">
        <f t="shared" si="7"/>
        <v>#N/A</v>
      </c>
      <c r="H59" s="97" t="e">
        <f t="shared" si="8"/>
        <v>#N/A</v>
      </c>
      <c r="I59" s="103" t="e">
        <f t="shared" si="9"/>
        <v>#N/A</v>
      </c>
      <c r="J59" s="82" t="e">
        <f t="shared" si="10"/>
        <v>#N/A</v>
      </c>
      <c r="K59" s="82" t="e">
        <f t="shared" si="11"/>
        <v>#N/A</v>
      </c>
    </row>
    <row r="60" spans="1:11">
      <c r="A60" s="96">
        <v>14</v>
      </c>
      <c r="B60" t="e">
        <f t="shared" si="2"/>
        <v>#N/A</v>
      </c>
      <c r="C60" s="97" t="e">
        <f t="shared" si="3"/>
        <v>#N/A</v>
      </c>
      <c r="D60" s="97" t="e">
        <f t="shared" si="4"/>
        <v>#N/A</v>
      </c>
      <c r="E60" s="97" t="e">
        <f t="shared" si="5"/>
        <v>#N/A</v>
      </c>
      <c r="F60" s="97" t="e">
        <f t="shared" si="6"/>
        <v>#N/A</v>
      </c>
      <c r="G60" s="97" t="e">
        <f t="shared" si="7"/>
        <v>#N/A</v>
      </c>
      <c r="H60" s="97" t="e">
        <f t="shared" si="8"/>
        <v>#N/A</v>
      </c>
      <c r="I60" s="103" t="e">
        <f t="shared" si="9"/>
        <v>#N/A</v>
      </c>
      <c r="J60" s="82" t="e">
        <f t="shared" si="10"/>
        <v>#N/A</v>
      </c>
      <c r="K60" s="82" t="e">
        <f t="shared" si="11"/>
        <v>#N/A</v>
      </c>
    </row>
    <row r="61" spans="1:11">
      <c r="A61" s="96">
        <v>13</v>
      </c>
      <c r="B61" t="e">
        <f t="shared" si="2"/>
        <v>#N/A</v>
      </c>
      <c r="C61" s="97" t="e">
        <f t="shared" si="3"/>
        <v>#N/A</v>
      </c>
      <c r="D61" s="97" t="e">
        <f t="shared" si="4"/>
        <v>#N/A</v>
      </c>
      <c r="E61" s="97" t="e">
        <f t="shared" si="5"/>
        <v>#N/A</v>
      </c>
      <c r="F61" s="97" t="e">
        <f t="shared" si="6"/>
        <v>#N/A</v>
      </c>
      <c r="G61" s="97" t="e">
        <f t="shared" si="7"/>
        <v>#N/A</v>
      </c>
      <c r="H61" s="97" t="e">
        <f t="shared" si="8"/>
        <v>#N/A</v>
      </c>
      <c r="I61" s="103" t="e">
        <f t="shared" si="9"/>
        <v>#N/A</v>
      </c>
      <c r="J61" s="82" t="e">
        <f t="shared" si="10"/>
        <v>#N/A</v>
      </c>
      <c r="K61" s="82" t="e">
        <f t="shared" si="11"/>
        <v>#N/A</v>
      </c>
    </row>
    <row r="62" spans="1:11">
      <c r="A62" s="96">
        <v>12</v>
      </c>
      <c r="B62" t="e">
        <f t="shared" si="2"/>
        <v>#N/A</v>
      </c>
      <c r="C62" s="97" t="e">
        <f t="shared" si="3"/>
        <v>#N/A</v>
      </c>
      <c r="D62" s="97" t="e">
        <f t="shared" si="4"/>
        <v>#N/A</v>
      </c>
      <c r="E62" s="97" t="e">
        <f t="shared" si="5"/>
        <v>#N/A</v>
      </c>
      <c r="F62" s="97" t="e">
        <f t="shared" si="6"/>
        <v>#N/A</v>
      </c>
      <c r="G62" s="97" t="e">
        <f t="shared" si="7"/>
        <v>#N/A</v>
      </c>
      <c r="H62" s="97" t="e">
        <f t="shared" si="8"/>
        <v>#N/A</v>
      </c>
      <c r="I62" s="103" t="e">
        <f t="shared" si="9"/>
        <v>#N/A</v>
      </c>
      <c r="J62" s="82" t="e">
        <f t="shared" si="10"/>
        <v>#N/A</v>
      </c>
      <c r="K62" s="82" t="e">
        <f t="shared" si="11"/>
        <v>#N/A</v>
      </c>
    </row>
    <row r="63" spans="1:11">
      <c r="A63" s="96">
        <v>11</v>
      </c>
      <c r="B63" t="e">
        <f t="shared" si="2"/>
        <v>#N/A</v>
      </c>
      <c r="C63" s="97" t="e">
        <f t="shared" si="3"/>
        <v>#N/A</v>
      </c>
      <c r="D63" s="97" t="e">
        <f t="shared" si="4"/>
        <v>#N/A</v>
      </c>
      <c r="E63" s="97" t="e">
        <f t="shared" si="5"/>
        <v>#N/A</v>
      </c>
      <c r="F63" s="97" t="e">
        <f t="shared" si="6"/>
        <v>#N/A</v>
      </c>
      <c r="G63" s="97" t="e">
        <f t="shared" si="7"/>
        <v>#N/A</v>
      </c>
      <c r="H63" s="97" t="e">
        <f t="shared" si="8"/>
        <v>#N/A</v>
      </c>
      <c r="I63" s="103" t="e">
        <f t="shared" si="9"/>
        <v>#N/A</v>
      </c>
      <c r="J63" s="82" t="e">
        <f t="shared" si="10"/>
        <v>#N/A</v>
      </c>
      <c r="K63" s="82" t="e">
        <f t="shared" si="11"/>
        <v>#N/A</v>
      </c>
    </row>
    <row r="64" spans="1:11">
      <c r="A64" s="96">
        <v>10</v>
      </c>
      <c r="B64" t="e">
        <f t="shared" si="2"/>
        <v>#N/A</v>
      </c>
      <c r="C64" s="97" t="e">
        <f t="shared" si="3"/>
        <v>#N/A</v>
      </c>
      <c r="D64" s="97" t="e">
        <f t="shared" si="4"/>
        <v>#N/A</v>
      </c>
      <c r="E64" s="97" t="e">
        <f t="shared" si="5"/>
        <v>#N/A</v>
      </c>
      <c r="F64" s="97" t="e">
        <f t="shared" si="6"/>
        <v>#N/A</v>
      </c>
      <c r="G64" s="97" t="e">
        <f t="shared" si="7"/>
        <v>#N/A</v>
      </c>
      <c r="H64" s="97" t="e">
        <f t="shared" si="8"/>
        <v>#N/A</v>
      </c>
      <c r="I64" s="103" t="e">
        <f t="shared" si="9"/>
        <v>#N/A</v>
      </c>
      <c r="J64" s="82" t="e">
        <f t="shared" si="10"/>
        <v>#N/A</v>
      </c>
      <c r="K64" s="82" t="e">
        <f t="shared" si="11"/>
        <v>#N/A</v>
      </c>
    </row>
    <row r="65" spans="1:11">
      <c r="A65" s="96">
        <v>9</v>
      </c>
      <c r="B65" t="e">
        <f t="shared" si="2"/>
        <v>#N/A</v>
      </c>
      <c r="C65" s="97" t="e">
        <f t="shared" si="3"/>
        <v>#N/A</v>
      </c>
      <c r="D65" s="97" t="e">
        <f t="shared" si="4"/>
        <v>#N/A</v>
      </c>
      <c r="E65" s="97" t="e">
        <f t="shared" si="5"/>
        <v>#N/A</v>
      </c>
      <c r="F65" s="97" t="e">
        <f t="shared" si="6"/>
        <v>#N/A</v>
      </c>
      <c r="G65" s="97" t="e">
        <f t="shared" si="7"/>
        <v>#N/A</v>
      </c>
      <c r="H65" s="97" t="e">
        <f t="shared" si="8"/>
        <v>#N/A</v>
      </c>
      <c r="I65" s="103" t="e">
        <f t="shared" si="9"/>
        <v>#N/A</v>
      </c>
      <c r="J65" s="82" t="e">
        <f t="shared" si="10"/>
        <v>#N/A</v>
      </c>
      <c r="K65" s="82" t="e">
        <f t="shared" si="11"/>
        <v>#N/A</v>
      </c>
    </row>
    <row r="66" spans="1:11">
      <c r="A66" s="96">
        <v>8</v>
      </c>
      <c r="B66" t="e">
        <f t="shared" si="2"/>
        <v>#N/A</v>
      </c>
      <c r="C66" s="97" t="e">
        <f t="shared" si="3"/>
        <v>#N/A</v>
      </c>
      <c r="D66" s="97" t="e">
        <f t="shared" si="4"/>
        <v>#N/A</v>
      </c>
      <c r="E66" s="97" t="e">
        <f t="shared" si="5"/>
        <v>#N/A</v>
      </c>
      <c r="F66" s="97" t="e">
        <f t="shared" si="6"/>
        <v>#N/A</v>
      </c>
      <c r="G66" s="97" t="e">
        <f t="shared" si="7"/>
        <v>#N/A</v>
      </c>
      <c r="H66" s="97" t="e">
        <f t="shared" si="8"/>
        <v>#N/A</v>
      </c>
      <c r="I66" s="103" t="e">
        <f t="shared" si="9"/>
        <v>#N/A</v>
      </c>
      <c r="J66" s="82" t="e">
        <f t="shared" si="10"/>
        <v>#N/A</v>
      </c>
      <c r="K66" s="82" t="e">
        <f t="shared" si="11"/>
        <v>#N/A</v>
      </c>
    </row>
    <row r="67" spans="1:11">
      <c r="A67" s="96">
        <v>7</v>
      </c>
      <c r="B67" t="e">
        <f t="shared" si="2"/>
        <v>#N/A</v>
      </c>
      <c r="C67" s="97" t="e">
        <f t="shared" si="3"/>
        <v>#N/A</v>
      </c>
      <c r="D67" s="97" t="e">
        <f t="shared" si="4"/>
        <v>#N/A</v>
      </c>
      <c r="E67" s="97" t="e">
        <f t="shared" si="5"/>
        <v>#N/A</v>
      </c>
      <c r="F67" s="97" t="e">
        <f t="shared" si="6"/>
        <v>#N/A</v>
      </c>
      <c r="G67" s="97" t="e">
        <f t="shared" si="7"/>
        <v>#N/A</v>
      </c>
      <c r="H67" s="97" t="e">
        <f t="shared" si="8"/>
        <v>#N/A</v>
      </c>
      <c r="I67" s="103" t="e">
        <f t="shared" si="9"/>
        <v>#N/A</v>
      </c>
      <c r="J67" s="82" t="e">
        <f t="shared" si="10"/>
        <v>#N/A</v>
      </c>
      <c r="K67" s="82" t="e">
        <f t="shared" si="11"/>
        <v>#N/A</v>
      </c>
    </row>
    <row r="68" spans="1:11">
      <c r="A68" s="96">
        <v>6</v>
      </c>
      <c r="B68" t="e">
        <f t="shared" si="2"/>
        <v>#N/A</v>
      </c>
      <c r="C68" s="97" t="e">
        <f t="shared" si="3"/>
        <v>#N/A</v>
      </c>
      <c r="D68" s="97" t="e">
        <f t="shared" si="4"/>
        <v>#N/A</v>
      </c>
      <c r="E68" s="97" t="e">
        <f t="shared" si="5"/>
        <v>#N/A</v>
      </c>
      <c r="F68" s="97" t="e">
        <f t="shared" si="6"/>
        <v>#N/A</v>
      </c>
      <c r="G68" s="97" t="e">
        <f t="shared" si="7"/>
        <v>#N/A</v>
      </c>
      <c r="H68" s="97" t="e">
        <f t="shared" si="8"/>
        <v>#N/A</v>
      </c>
      <c r="I68" s="103" t="e">
        <f t="shared" si="9"/>
        <v>#N/A</v>
      </c>
      <c r="J68" s="82" t="e">
        <f t="shared" si="10"/>
        <v>#N/A</v>
      </c>
      <c r="K68" s="82" t="e">
        <f t="shared" si="11"/>
        <v>#N/A</v>
      </c>
    </row>
    <row r="69" spans="1:11">
      <c r="A69" s="96">
        <v>5</v>
      </c>
      <c r="B69" t="e">
        <f t="shared" si="2"/>
        <v>#N/A</v>
      </c>
      <c r="C69" s="97" t="e">
        <f t="shared" si="3"/>
        <v>#N/A</v>
      </c>
      <c r="D69" s="97" t="e">
        <f t="shared" si="4"/>
        <v>#N/A</v>
      </c>
      <c r="E69" s="97" t="e">
        <f t="shared" si="5"/>
        <v>#N/A</v>
      </c>
      <c r="F69" s="97" t="e">
        <f t="shared" si="6"/>
        <v>#N/A</v>
      </c>
      <c r="G69" s="97" t="e">
        <f t="shared" si="7"/>
        <v>#N/A</v>
      </c>
      <c r="H69" s="97" t="e">
        <f t="shared" si="8"/>
        <v>#N/A</v>
      </c>
      <c r="I69" s="103" t="e">
        <f t="shared" si="9"/>
        <v>#N/A</v>
      </c>
      <c r="J69" s="82" t="e">
        <f t="shared" si="10"/>
        <v>#N/A</v>
      </c>
      <c r="K69" s="82" t="e">
        <f t="shared" si="11"/>
        <v>#N/A</v>
      </c>
    </row>
    <row r="70" spans="1:11">
      <c r="A70" s="96">
        <v>4</v>
      </c>
      <c r="B70" t="e">
        <f t="shared" si="2"/>
        <v>#N/A</v>
      </c>
      <c r="C70" s="97" t="e">
        <f t="shared" si="3"/>
        <v>#N/A</v>
      </c>
      <c r="D70" s="97" t="e">
        <f t="shared" si="4"/>
        <v>#N/A</v>
      </c>
      <c r="E70" s="97" t="e">
        <f t="shared" si="5"/>
        <v>#N/A</v>
      </c>
      <c r="F70" s="97" t="e">
        <f t="shared" si="6"/>
        <v>#N/A</v>
      </c>
      <c r="G70" s="97" t="e">
        <f t="shared" si="7"/>
        <v>#N/A</v>
      </c>
      <c r="H70" s="97" t="e">
        <f t="shared" si="8"/>
        <v>#N/A</v>
      </c>
      <c r="I70" s="103" t="e">
        <f t="shared" si="9"/>
        <v>#N/A</v>
      </c>
      <c r="J70" s="82" t="e">
        <f t="shared" si="10"/>
        <v>#N/A</v>
      </c>
      <c r="K70" s="82" t="e">
        <f t="shared" si="11"/>
        <v>#N/A</v>
      </c>
    </row>
    <row r="71" spans="1:11">
      <c r="A71" s="96">
        <v>3</v>
      </c>
      <c r="B71" t="e">
        <f t="shared" si="2"/>
        <v>#N/A</v>
      </c>
      <c r="C71" s="97" t="e">
        <f t="shared" si="3"/>
        <v>#N/A</v>
      </c>
      <c r="D71" s="97" t="e">
        <f t="shared" si="4"/>
        <v>#N/A</v>
      </c>
      <c r="E71" s="97" t="e">
        <f t="shared" si="5"/>
        <v>#N/A</v>
      </c>
      <c r="F71" s="97" t="e">
        <f t="shared" si="6"/>
        <v>#N/A</v>
      </c>
      <c r="G71" s="97" t="e">
        <f t="shared" si="7"/>
        <v>#N/A</v>
      </c>
      <c r="H71" s="97" t="e">
        <f t="shared" si="8"/>
        <v>#N/A</v>
      </c>
      <c r="I71" s="103" t="e">
        <f t="shared" si="9"/>
        <v>#N/A</v>
      </c>
      <c r="J71" s="82" t="e">
        <f t="shared" si="10"/>
        <v>#N/A</v>
      </c>
      <c r="K71" s="82" t="e">
        <f t="shared" si="11"/>
        <v>#N/A</v>
      </c>
    </row>
    <row r="72" spans="1:11">
      <c r="A72" s="96">
        <v>2</v>
      </c>
      <c r="B72" t="e">
        <f t="shared" si="2"/>
        <v>#N/A</v>
      </c>
      <c r="C72" s="97" t="e">
        <f t="shared" si="3"/>
        <v>#N/A</v>
      </c>
      <c r="D72" s="97" t="e">
        <f t="shared" si="4"/>
        <v>#N/A</v>
      </c>
      <c r="E72" s="97" t="e">
        <f t="shared" si="5"/>
        <v>#N/A</v>
      </c>
      <c r="F72" s="97" t="e">
        <f t="shared" si="6"/>
        <v>#N/A</v>
      </c>
      <c r="G72" s="97" t="e">
        <f t="shared" si="7"/>
        <v>#N/A</v>
      </c>
      <c r="H72" s="97" t="e">
        <f t="shared" si="8"/>
        <v>#N/A</v>
      </c>
      <c r="I72" s="103" t="e">
        <f t="shared" si="9"/>
        <v>#N/A</v>
      </c>
      <c r="J72" s="82" t="e">
        <f t="shared" si="10"/>
        <v>#N/A</v>
      </c>
      <c r="K72" s="82" t="e">
        <f t="shared" si="11"/>
        <v>#N/A</v>
      </c>
    </row>
    <row r="73" spans="1:11">
      <c r="A73" s="98">
        <v>1</v>
      </c>
      <c r="B73" s="99" t="e">
        <f t="shared" si="2"/>
        <v>#N/A</v>
      </c>
      <c r="C73" s="100" t="e">
        <f t="shared" si="3"/>
        <v>#N/A</v>
      </c>
      <c r="D73" s="100" t="e">
        <f t="shared" si="4"/>
        <v>#N/A</v>
      </c>
      <c r="E73" s="100" t="e">
        <f t="shared" si="5"/>
        <v>#N/A</v>
      </c>
      <c r="F73" s="100" t="e">
        <f t="shared" si="6"/>
        <v>#N/A</v>
      </c>
      <c r="G73" s="100" t="e">
        <f t="shared" si="7"/>
        <v>#N/A</v>
      </c>
      <c r="H73" s="100" t="e">
        <f t="shared" si="8"/>
        <v>#N/A</v>
      </c>
      <c r="I73" s="104" t="e">
        <f t="shared" si="9"/>
        <v>#N/A</v>
      </c>
      <c r="J73" s="101" t="e">
        <f t="shared" si="10"/>
        <v>#N/A</v>
      </c>
      <c r="K73" s="101" t="e">
        <f t="shared" si="11"/>
        <v>#N/A</v>
      </c>
    </row>
    <row r="74" spans="1:11">
      <c r="C74" s="90" t="e">
        <f t="shared" ref="C74:K74" si="12">+AVERAGE(C54:C73)</f>
        <v>#N/A</v>
      </c>
      <c r="D74" s="90" t="e">
        <f t="shared" si="12"/>
        <v>#N/A</v>
      </c>
      <c r="E74" s="90" t="e">
        <f t="shared" si="12"/>
        <v>#N/A</v>
      </c>
      <c r="F74" s="90" t="e">
        <f t="shared" si="12"/>
        <v>#N/A</v>
      </c>
      <c r="G74" s="90" t="e">
        <f t="shared" si="12"/>
        <v>#N/A</v>
      </c>
      <c r="H74" s="90" t="e">
        <f t="shared" si="12"/>
        <v>#N/A</v>
      </c>
      <c r="I74" s="90" t="e">
        <f t="shared" si="12"/>
        <v>#N/A</v>
      </c>
      <c r="J74" s="90" t="e">
        <f t="shared" si="12"/>
        <v>#N/A</v>
      </c>
      <c r="K74" s="90" t="e">
        <f t="shared" si="12"/>
        <v>#N/A</v>
      </c>
    </row>
  </sheetData>
  <mergeCells count="1">
    <mergeCell ref="J52:K5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Z46"/>
  <sheetViews>
    <sheetView showGridLines="0" topLeftCell="A6" zoomScale="80" zoomScaleNormal="80" workbookViewId="0">
      <selection activeCell="R38" sqref="R38"/>
    </sheetView>
  </sheetViews>
  <sheetFormatPr defaultColWidth="9.1796875" defaultRowHeight="13"/>
  <cols>
    <col min="1" max="1" width="5.453125" style="107" bestFit="1" customWidth="1"/>
    <col min="2" max="2" width="9.1796875" style="107"/>
    <col min="3" max="3" width="11.1796875" style="107" customWidth="1"/>
    <col min="4" max="4" width="9.1796875" style="107"/>
    <col min="5" max="6" width="14.453125" style="107" customWidth="1"/>
    <col min="7" max="7" width="12.7265625" style="107" customWidth="1"/>
    <col min="8" max="8" width="12.453125" style="107" customWidth="1"/>
    <col min="9" max="16384" width="9.1796875" style="107"/>
  </cols>
  <sheetData>
    <row r="1" spans="1:18">
      <c r="A1" s="105" t="s">
        <v>129</v>
      </c>
      <c r="B1" s="106"/>
      <c r="C1" s="106"/>
      <c r="D1" s="106"/>
    </row>
    <row r="2" spans="1:18" ht="14.5">
      <c r="B2" s="106"/>
      <c r="C2" s="106"/>
      <c r="D2" s="106"/>
      <c r="I2"/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s="108" t="s">
        <v>135</v>
      </c>
      <c r="P2" s="109" t="s">
        <v>136</v>
      </c>
    </row>
    <row r="3" spans="1:18" ht="14.5">
      <c r="B3" s="106"/>
      <c r="C3" s="106"/>
      <c r="D3" s="106"/>
      <c r="H3" t="s">
        <v>137</v>
      </c>
      <c r="I3" t="s">
        <v>137</v>
      </c>
      <c r="J3" s="110">
        <v>0.27931817046151308</v>
      </c>
      <c r="K3" s="110">
        <v>4.3331793377662603E-2</v>
      </c>
      <c r="L3" s="110">
        <v>2.4769413942968142E-2</v>
      </c>
      <c r="M3" s="110">
        <v>4.6369430753869401E-2</v>
      </c>
      <c r="N3" s="110">
        <v>0.11301463678711385</v>
      </c>
      <c r="O3" s="110">
        <v>0.39233280724862701</v>
      </c>
      <c r="P3" s="111"/>
    </row>
    <row r="4" spans="1:18" ht="14.5">
      <c r="B4" s="106"/>
      <c r="C4" s="106"/>
      <c r="D4" s="106"/>
      <c r="H4" t="s">
        <v>138</v>
      </c>
      <c r="I4" t="s">
        <v>138</v>
      </c>
      <c r="J4" s="110">
        <v>0.20066911840766705</v>
      </c>
      <c r="K4" s="110">
        <v>5.0051256024675285E-2</v>
      </c>
      <c r="L4" s="110">
        <v>2.3411397147561065E-2</v>
      </c>
      <c r="M4" s="110">
        <v>2.4526225583159301E-2</v>
      </c>
      <c r="N4" s="110">
        <v>9.798887875539565E-2</v>
      </c>
      <c r="O4" s="110">
        <v>0.29865799716306268</v>
      </c>
      <c r="P4" s="112">
        <v>0.51520750000000004</v>
      </c>
      <c r="Q4" s="113"/>
      <c r="R4" s="113"/>
    </row>
    <row r="5" spans="1:18" ht="14.5">
      <c r="B5" s="106"/>
      <c r="C5" s="106"/>
      <c r="D5" s="106"/>
      <c r="H5" t="s">
        <v>139</v>
      </c>
      <c r="I5" t="s">
        <v>139</v>
      </c>
      <c r="J5" s="110">
        <v>0.3553804420819659</v>
      </c>
      <c r="K5" s="110">
        <v>6.9281417183879257E-2</v>
      </c>
      <c r="L5" s="110">
        <v>4.738405894426212E-2</v>
      </c>
      <c r="M5" s="110">
        <v>7.8973431573770181E-2</v>
      </c>
      <c r="N5" s="110">
        <v>0.19563890770191156</v>
      </c>
      <c r="O5" s="114">
        <v>0.55101934978387745</v>
      </c>
      <c r="P5" s="112">
        <v>0.2228861</v>
      </c>
      <c r="Q5" s="113"/>
      <c r="R5" s="113"/>
    </row>
    <row r="6" spans="1:18" ht="14.5">
      <c r="B6" s="106"/>
      <c r="C6" s="106"/>
      <c r="D6" s="106"/>
      <c r="H6" t="s">
        <v>140</v>
      </c>
      <c r="I6" t="s">
        <v>140</v>
      </c>
      <c r="J6" s="110">
        <v>0.15211542943894693</v>
      </c>
      <c r="K6" s="110">
        <v>5.0070932556065338E-2</v>
      </c>
      <c r="L6" s="110">
        <v>8.4170537622883946E-3</v>
      </c>
      <c r="M6" s="110">
        <v>2.9578000168684126E-2</v>
      </c>
      <c r="N6" s="110">
        <v>8.8065986487037853E-2</v>
      </c>
      <c r="O6" s="114">
        <v>0.2401814159259848</v>
      </c>
      <c r="P6" s="112">
        <v>0.63435520000000001</v>
      </c>
      <c r="Q6" s="113"/>
      <c r="R6" s="113"/>
    </row>
    <row r="7" spans="1:18" ht="14.5">
      <c r="B7" s="106"/>
      <c r="C7" s="106"/>
      <c r="D7" s="106"/>
      <c r="H7" t="s">
        <v>141</v>
      </c>
      <c r="I7" t="s">
        <v>141</v>
      </c>
      <c r="J7" s="110">
        <v>0.13389723568086614</v>
      </c>
      <c r="K7" s="110">
        <v>6.1726625648879287E-3</v>
      </c>
      <c r="L7" s="110">
        <v>1.3389723568086613E-2</v>
      </c>
      <c r="M7" s="110">
        <v>5.5790514867027534E-3</v>
      </c>
      <c r="N7" s="110">
        <v>2.5141437619677295E-2</v>
      </c>
      <c r="O7" s="114">
        <v>0.15903867330054344</v>
      </c>
      <c r="P7" s="112">
        <v>0.71080500000000002</v>
      </c>
      <c r="Q7" s="113"/>
      <c r="R7" s="113"/>
    </row>
    <row r="8" spans="1:18" ht="14.5">
      <c r="B8" s="106"/>
      <c r="C8" s="106"/>
      <c r="D8" s="106"/>
      <c r="H8" t="s">
        <v>142</v>
      </c>
      <c r="I8" t="s">
        <v>142</v>
      </c>
      <c r="J8" s="110">
        <v>0.21151491773063891</v>
      </c>
      <c r="K8" s="110">
        <v>6.0537508341254723E-2</v>
      </c>
      <c r="L8" s="110">
        <v>1.3807223796305595E-2</v>
      </c>
      <c r="M8" s="110">
        <v>2.6439364716329856E-2</v>
      </c>
      <c r="N8" s="110">
        <v>0.10078409685389017</v>
      </c>
      <c r="O8" s="114">
        <v>0.31229901458452908</v>
      </c>
      <c r="P8" s="112">
        <v>0.35349419999999998</v>
      </c>
      <c r="Q8" s="113"/>
      <c r="R8" s="113"/>
    </row>
    <row r="9" spans="1:18" ht="14.5">
      <c r="B9" s="106"/>
      <c r="C9" s="106"/>
      <c r="D9" s="106"/>
      <c r="H9" t="s">
        <v>143</v>
      </c>
      <c r="I9" t="s">
        <v>143</v>
      </c>
      <c r="J9" s="110">
        <v>0.22849865442993469</v>
      </c>
      <c r="K9" s="110">
        <v>6.4781272686340069E-2</v>
      </c>
      <c r="L9" s="110">
        <v>1.728973151853172E-2</v>
      </c>
      <c r="M9" s="110">
        <v>2.7927613319214235E-2</v>
      </c>
      <c r="N9" s="110">
        <v>0.10999861752408602</v>
      </c>
      <c r="O9" s="114">
        <v>0.33849727195402068</v>
      </c>
      <c r="P9" s="112">
        <v>0.71580730000000004</v>
      </c>
      <c r="Q9" s="113"/>
      <c r="R9" s="113"/>
    </row>
    <row r="10" spans="1:18" ht="14.5">
      <c r="B10" s="106"/>
      <c r="C10" s="106"/>
      <c r="D10" s="106"/>
      <c r="H10" t="s">
        <v>144</v>
      </c>
      <c r="I10" t="s">
        <v>144</v>
      </c>
      <c r="J10" s="110">
        <v>0.13100000403347786</v>
      </c>
      <c r="K10" s="110">
        <v>1.7214753267481182E-2</v>
      </c>
      <c r="L10" s="110">
        <v>1.0407222542659628E-2</v>
      </c>
      <c r="M10" s="110">
        <v>1.7466667204463715E-2</v>
      </c>
      <c r="N10" s="110">
        <v>4.5088643014604524E-2</v>
      </c>
      <c r="O10" s="114">
        <v>0.17608864704808239</v>
      </c>
      <c r="P10" s="112">
        <v>0.34745340000000002</v>
      </c>
      <c r="Q10" s="113"/>
      <c r="R10" s="113"/>
    </row>
    <row r="11" spans="1:18" ht="14.5">
      <c r="B11" s="106"/>
      <c r="C11" s="106"/>
      <c r="D11" s="106"/>
      <c r="H11" t="s">
        <v>145</v>
      </c>
      <c r="I11" t="s">
        <v>145</v>
      </c>
      <c r="J11" s="110">
        <v>0.27263946453272364</v>
      </c>
      <c r="K11" s="110">
        <v>3.4497976804878157E-2</v>
      </c>
      <c r="L11" s="110">
        <v>2.2719955377726968E-2</v>
      </c>
      <c r="M11" s="110">
        <v>4.8119408267154759E-2</v>
      </c>
      <c r="N11" s="110">
        <v>0.10533734044975988</v>
      </c>
      <c r="O11" s="114">
        <v>0.37797680498248354</v>
      </c>
      <c r="P11" s="112">
        <v>0.3290728</v>
      </c>
      <c r="Q11" s="113"/>
      <c r="R11" s="113"/>
    </row>
    <row r="12" spans="1:18" ht="14.5">
      <c r="B12" s="106"/>
      <c r="C12" s="106"/>
      <c r="D12" s="106"/>
      <c r="H12" t="s">
        <v>146</v>
      </c>
      <c r="I12" t="s">
        <v>146</v>
      </c>
      <c r="J12" s="110">
        <v>0.34315517672834528</v>
      </c>
      <c r="K12" s="110">
        <v>3.4514311510763583E-2</v>
      </c>
      <c r="L12" s="110">
        <v>2.8596264727362115E-2</v>
      </c>
      <c r="M12" s="110">
        <v>0.10233708393462597</v>
      </c>
      <c r="N12" s="110">
        <v>0.16544766017275167</v>
      </c>
      <c r="O12" s="114">
        <v>0.50860283690109698</v>
      </c>
      <c r="P12" s="112">
        <v>0.19593169999999999</v>
      </c>
      <c r="Q12" s="113"/>
      <c r="R12" s="113"/>
    </row>
    <row r="13" spans="1:18" ht="14.5">
      <c r="B13" s="106"/>
      <c r="C13" s="106"/>
      <c r="D13" s="106"/>
      <c r="H13" s="107" t="s">
        <v>147</v>
      </c>
      <c r="I13" t="s">
        <v>147</v>
      </c>
      <c r="J13" s="110">
        <v>0.72716323590587983</v>
      </c>
      <c r="K13" s="110">
        <v>5.4145280986952496E-2</v>
      </c>
      <c r="L13" s="110">
        <v>7.2716323590587967E-2</v>
      </c>
      <c r="M13" s="110">
        <v>0.1615918302013066</v>
      </c>
      <c r="N13" s="110">
        <v>0.28845343477884711</v>
      </c>
      <c r="O13" s="114">
        <v>1.0156166706847269</v>
      </c>
      <c r="P13" s="112">
        <v>0.17400689999999999</v>
      </c>
      <c r="Q13" s="113"/>
      <c r="R13" s="113"/>
    </row>
    <row r="14" spans="1:18" ht="14.5">
      <c r="A14" s="115"/>
      <c r="B14" s="116"/>
      <c r="C14" s="116"/>
      <c r="D14" s="116"/>
      <c r="H14" t="s">
        <v>148</v>
      </c>
      <c r="I14" t="s">
        <v>148</v>
      </c>
      <c r="J14" s="110">
        <v>0.39692666705398527</v>
      </c>
      <c r="K14" s="110">
        <v>4.4653229307862891E-2</v>
      </c>
      <c r="L14" s="110">
        <v>2.1610451872939199E-2</v>
      </c>
      <c r="M14" s="110">
        <v>1.5436037052099429E-2</v>
      </c>
      <c r="N14" s="110">
        <v>8.1699718232901508E-2</v>
      </c>
      <c r="O14" s="114"/>
      <c r="P14" s="117" t="s">
        <v>149</v>
      </c>
      <c r="Q14" s="113"/>
      <c r="R14" s="113"/>
    </row>
    <row r="15" spans="1:18" ht="14.5">
      <c r="A15" s="118"/>
      <c r="B15" s="119"/>
      <c r="C15" s="119"/>
      <c r="D15" s="119"/>
      <c r="H15" t="s">
        <v>150</v>
      </c>
      <c r="I15" t="s">
        <v>150</v>
      </c>
      <c r="J15" s="110">
        <v>7.8364131658597097E-2</v>
      </c>
      <c r="K15" s="110">
        <v>1.6599431938098375E-2</v>
      </c>
      <c r="L15" s="110">
        <v>8.2717694528519192E-3</v>
      </c>
      <c r="M15" s="110">
        <v>6.3126661613869921E-3</v>
      </c>
      <c r="N15" s="110">
        <v>3.1183867552337288E-2</v>
      </c>
      <c r="O15" s="114">
        <v>0.10954799921093442</v>
      </c>
      <c r="P15" s="117">
        <v>0.3061585</v>
      </c>
      <c r="Q15" s="113"/>
      <c r="R15" s="113"/>
    </row>
    <row r="16" spans="1:18" ht="14.5">
      <c r="B16" s="106"/>
      <c r="C16" s="106"/>
      <c r="D16" s="106"/>
      <c r="H16" s="110" t="s">
        <v>151</v>
      </c>
      <c r="I16" t="s">
        <v>151</v>
      </c>
      <c r="J16" s="110">
        <v>0.49955998021104953</v>
      </c>
      <c r="K16" s="110">
        <v>8.9920796437988906E-2</v>
      </c>
      <c r="L16" s="110">
        <v>4.0242331739223439E-2</v>
      </c>
      <c r="M16" s="110">
        <v>8.325999670184156E-2</v>
      </c>
      <c r="N16" s="110">
        <v>0.2134231248790539</v>
      </c>
      <c r="O16" s="114">
        <v>0.71298310509010343</v>
      </c>
      <c r="P16" s="117">
        <v>0.1856611</v>
      </c>
      <c r="Q16" s="113"/>
      <c r="R16" s="113"/>
    </row>
    <row r="17" spans="1:26" ht="14.5">
      <c r="A17" s="115"/>
      <c r="B17" s="116"/>
      <c r="C17" s="116"/>
      <c r="D17" s="116"/>
      <c r="H17" t="s">
        <v>152</v>
      </c>
      <c r="I17" t="s">
        <v>152</v>
      </c>
      <c r="J17" s="110">
        <v>0.21750078876419179</v>
      </c>
      <c r="K17" s="110">
        <v>4.4484439447324983E-2</v>
      </c>
      <c r="L17" s="110">
        <v>1.4379218812743795E-2</v>
      </c>
      <c r="M17" s="110">
        <v>3.625013146069863E-2</v>
      </c>
      <c r="N17" s="110">
        <v>9.5113789720767408E-2</v>
      </c>
      <c r="O17" s="114">
        <v>0.31261457848495922</v>
      </c>
      <c r="P17" s="112">
        <v>0.56090859999999998</v>
      </c>
      <c r="Q17" s="113"/>
      <c r="R17" s="113"/>
    </row>
    <row r="18" spans="1:26" ht="14.5">
      <c r="H18" t="s">
        <v>153</v>
      </c>
      <c r="I18" t="s">
        <v>153</v>
      </c>
      <c r="J18" s="110">
        <v>0.26968621833313833</v>
      </c>
      <c r="K18" s="110">
        <v>3.0299246629728088E-2</v>
      </c>
      <c r="L18" s="110">
        <v>3.3711325162250311E-2</v>
      </c>
      <c r="M18" s="110">
        <v>6.7421554583284568E-2</v>
      </c>
      <c r="N18" s="110">
        <v>0.13143212637526297</v>
      </c>
      <c r="O18" s="114">
        <v>0.4011183447084013</v>
      </c>
      <c r="P18" s="112">
        <v>0.21107490000000001</v>
      </c>
      <c r="Q18" s="113"/>
      <c r="R18" s="113"/>
      <c r="X18" s="120"/>
      <c r="Y18" s="120"/>
      <c r="Z18" s="120"/>
    </row>
    <row r="19" spans="1:26" ht="14.5">
      <c r="H19" t="s">
        <v>154</v>
      </c>
      <c r="I19" t="s">
        <v>154</v>
      </c>
      <c r="J19" s="110">
        <v>0.52296581302102851</v>
      </c>
      <c r="K19" s="110">
        <v>7.3651018667128171E-2</v>
      </c>
      <c r="L19" s="110">
        <v>3.4864387534735239E-2</v>
      </c>
      <c r="M19" s="110">
        <v>6.1012678185786651E-2</v>
      </c>
      <c r="N19" s="110">
        <v>0.16952808438765005</v>
      </c>
      <c r="O19" s="114">
        <v>0.6924938974086785</v>
      </c>
      <c r="P19" s="112">
        <v>0.23029350000000001</v>
      </c>
      <c r="Q19" s="113"/>
      <c r="R19" s="113"/>
      <c r="X19" s="120"/>
      <c r="Y19" s="120"/>
      <c r="Z19" s="120"/>
    </row>
    <row r="20" spans="1:26" ht="14.5">
      <c r="H20" t="s">
        <v>155</v>
      </c>
      <c r="I20" t="s">
        <v>155</v>
      </c>
      <c r="J20" s="110">
        <v>0.24361401597427762</v>
      </c>
      <c r="K20" s="110">
        <v>2.6242784631615699E-2</v>
      </c>
      <c r="L20" s="110">
        <v>2.0448980634147077E-2</v>
      </c>
      <c r="M20" s="110">
        <v>2.6391518397213404E-2</v>
      </c>
      <c r="N20" s="110">
        <v>7.3083283662976173E-2</v>
      </c>
      <c r="O20" s="114">
        <v>0.31669729963725379</v>
      </c>
      <c r="P20" s="112">
        <v>0.30485570000000001</v>
      </c>
      <c r="Q20" s="113"/>
      <c r="R20" s="113"/>
      <c r="X20" s="120"/>
      <c r="Y20" s="120"/>
      <c r="Z20" s="120"/>
    </row>
    <row r="21" spans="1:26" ht="14.5">
      <c r="H21" t="s">
        <v>156</v>
      </c>
      <c r="I21" t="s">
        <v>156</v>
      </c>
      <c r="J21" s="110">
        <v>0.13484123657633859</v>
      </c>
      <c r="K21" s="110">
        <v>2.8521730728324281E-2</v>
      </c>
      <c r="L21" s="110">
        <v>1.3423437226356333E-2</v>
      </c>
      <c r="M21" s="110">
        <v>1.9102508514981305E-2</v>
      </c>
      <c r="N21" s="110">
        <v>6.1047676469661923E-2</v>
      </c>
      <c r="O21" s="114">
        <v>0.19588891304600051</v>
      </c>
      <c r="P21" s="112">
        <v>0.76619320000000002</v>
      </c>
      <c r="Q21" s="121"/>
      <c r="R21" s="121"/>
      <c r="X21" s="120"/>
      <c r="Y21" s="120"/>
      <c r="Z21" s="120"/>
    </row>
    <row r="22" spans="1:26" ht="14.5">
      <c r="H22" t="s">
        <v>157</v>
      </c>
      <c r="I22" s="110" t="s">
        <v>157</v>
      </c>
      <c r="J22" s="110">
        <v>0.18755270820569553</v>
      </c>
      <c r="K22" s="110">
        <v>2.7664024460340098E-2</v>
      </c>
      <c r="L22" s="110">
        <v>1.5629392350474631E-2</v>
      </c>
      <c r="M22" s="110">
        <v>2.5528007505775222E-2</v>
      </c>
      <c r="N22" s="110">
        <v>6.8821424316589941E-2</v>
      </c>
      <c r="O22" s="110">
        <v>0.25637413252228547</v>
      </c>
      <c r="P22" s="112">
        <v>0.3371961</v>
      </c>
      <c r="Q22" s="121"/>
      <c r="R22" s="121"/>
      <c r="X22" s="120"/>
      <c r="Y22" s="120"/>
      <c r="Z22" s="120"/>
    </row>
    <row r="23" spans="1:26">
      <c r="B23" s="122" t="s">
        <v>158</v>
      </c>
      <c r="O23" s="123"/>
      <c r="P23" s="124"/>
      <c r="X23" s="120"/>
      <c r="Y23" s="120"/>
      <c r="Z23" s="120"/>
    </row>
    <row r="24" spans="1:26">
      <c r="B24" s="125"/>
    </row>
    <row r="25" spans="1:26" ht="14">
      <c r="I25" s="126"/>
      <c r="J25" s="127"/>
      <c r="K25" s="127"/>
      <c r="L25" s="127"/>
      <c r="M25" s="127"/>
      <c r="N25" s="127"/>
    </row>
    <row r="26" spans="1:26" ht="14.5">
      <c r="I26"/>
      <c r="J26"/>
      <c r="K26"/>
      <c r="L26"/>
      <c r="M26"/>
      <c r="N26"/>
      <c r="O26" s="108"/>
    </row>
    <row r="27" spans="1:26" ht="14.5">
      <c r="B27" s="165" t="s">
        <v>159</v>
      </c>
      <c r="I27"/>
      <c r="J27" s="110"/>
      <c r="K27" s="110"/>
      <c r="L27" s="110"/>
      <c r="M27" s="110"/>
      <c r="N27" s="110"/>
      <c r="O27" s="110"/>
    </row>
    <row r="28" spans="1:26" ht="14.5">
      <c r="C28" s="107" t="s">
        <v>136</v>
      </c>
      <c r="F28" s="107" t="s">
        <v>160</v>
      </c>
      <c r="I28"/>
      <c r="J28" s="110"/>
      <c r="K28" s="110"/>
      <c r="L28" s="110"/>
      <c r="M28" s="110"/>
      <c r="N28" s="110"/>
      <c r="O28" s="110"/>
    </row>
    <row r="29" spans="1:26" ht="14.5">
      <c r="B29" s="107" t="s">
        <v>138</v>
      </c>
      <c r="C29" s="107">
        <v>0.51520750000000004</v>
      </c>
      <c r="E29" s="107" t="s">
        <v>138</v>
      </c>
      <c r="F29" s="107">
        <v>0.30545300781566398</v>
      </c>
      <c r="I29"/>
      <c r="J29" s="110"/>
      <c r="K29" s="110"/>
      <c r="L29" s="110"/>
      <c r="M29" s="110"/>
      <c r="N29" s="110"/>
      <c r="O29" s="114"/>
    </row>
    <row r="30" spans="1:26" ht="14.5">
      <c r="B30" s="107" t="s">
        <v>139</v>
      </c>
      <c r="C30" s="107">
        <v>0.2228861</v>
      </c>
      <c r="E30" s="107" t="s">
        <v>139</v>
      </c>
      <c r="F30" s="107">
        <v>0.54112200447189474</v>
      </c>
      <c r="I30"/>
      <c r="J30" s="110"/>
      <c r="K30" s="110"/>
      <c r="L30" s="110"/>
      <c r="M30" s="110"/>
      <c r="N30" s="110"/>
      <c r="O30" s="114"/>
    </row>
    <row r="31" spans="1:26" ht="14.5">
      <c r="B31" s="107" t="s">
        <v>140</v>
      </c>
      <c r="C31" s="107">
        <v>0.63435520000000001</v>
      </c>
      <c r="E31" s="107" t="s">
        <v>140</v>
      </c>
      <c r="F31" s="107">
        <v>0.24198566778036282</v>
      </c>
      <c r="I31"/>
      <c r="J31" s="110"/>
      <c r="K31" s="110"/>
      <c r="L31" s="110"/>
      <c r="M31" s="110"/>
      <c r="N31" s="110"/>
      <c r="O31" s="114"/>
    </row>
    <row r="32" spans="1:26" ht="14.5">
      <c r="B32" s="107" t="s">
        <v>141</v>
      </c>
      <c r="C32" s="107">
        <v>0.71080500000000002</v>
      </c>
      <c r="E32" s="107" t="s">
        <v>141</v>
      </c>
      <c r="F32" s="107">
        <v>0.15903867330054344</v>
      </c>
      <c r="I32"/>
      <c r="J32" s="110"/>
      <c r="K32" s="110"/>
      <c r="L32" s="110"/>
      <c r="M32" s="110"/>
      <c r="N32" s="110"/>
      <c r="O32" s="114"/>
    </row>
    <row r="33" spans="2:15" ht="14.5">
      <c r="B33" s="107" t="s">
        <v>142</v>
      </c>
      <c r="C33" s="107">
        <v>0.35349419999999998</v>
      </c>
      <c r="E33" s="107" t="s">
        <v>142</v>
      </c>
      <c r="F33" s="107">
        <v>0.32775224975062606</v>
      </c>
      <c r="I33"/>
      <c r="J33" s="110"/>
      <c r="K33" s="110"/>
      <c r="L33" s="110"/>
      <c r="M33" s="110"/>
      <c r="N33" s="110"/>
      <c r="O33" s="114"/>
    </row>
    <row r="34" spans="2:15" ht="14.5">
      <c r="B34" s="107" t="s">
        <v>143</v>
      </c>
      <c r="C34" s="107">
        <v>0.71580730000000004</v>
      </c>
      <c r="E34" s="107" t="s">
        <v>143</v>
      </c>
      <c r="F34" s="107">
        <v>0.32258086282098192</v>
      </c>
      <c r="I34"/>
      <c r="J34" s="110"/>
      <c r="K34" s="110"/>
      <c r="L34" s="110"/>
      <c r="M34" s="110"/>
      <c r="N34" s="110"/>
      <c r="O34" s="114"/>
    </row>
    <row r="35" spans="2:15" ht="14.5">
      <c r="B35" s="107" t="s">
        <v>144</v>
      </c>
      <c r="C35" s="107">
        <v>0.34745340000000002</v>
      </c>
      <c r="E35" s="107" t="s">
        <v>144</v>
      </c>
      <c r="F35" s="107">
        <v>0.17665467730464562</v>
      </c>
      <c r="I35"/>
      <c r="J35" s="110"/>
      <c r="K35" s="110"/>
      <c r="L35" s="110"/>
      <c r="M35" s="110"/>
      <c r="N35" s="110"/>
      <c r="O35" s="114"/>
    </row>
    <row r="36" spans="2:15" ht="14.5">
      <c r="B36" s="107" t="s">
        <v>145</v>
      </c>
      <c r="C36" s="107">
        <v>0.3290728</v>
      </c>
      <c r="E36" s="107" t="s">
        <v>145</v>
      </c>
      <c r="F36" s="107">
        <v>0.37861205392521091</v>
      </c>
      <c r="I36"/>
      <c r="J36" s="110"/>
      <c r="K36" s="110"/>
      <c r="L36" s="110"/>
      <c r="M36" s="110"/>
      <c r="N36" s="110"/>
      <c r="O36" s="114"/>
    </row>
    <row r="37" spans="2:15" ht="15" customHeight="1">
      <c r="B37" s="107" t="s">
        <v>146</v>
      </c>
      <c r="C37" s="107">
        <v>0.19593169999999999</v>
      </c>
      <c r="E37" s="107" t="s">
        <v>146</v>
      </c>
      <c r="F37" s="107">
        <v>0.48013986365182804</v>
      </c>
      <c r="I37"/>
      <c r="J37" s="110"/>
      <c r="K37" s="110"/>
      <c r="L37" s="110"/>
      <c r="M37" s="110"/>
      <c r="N37" s="110"/>
      <c r="O37" s="114"/>
    </row>
    <row r="38" spans="2:15" ht="14.5">
      <c r="B38" s="107" t="s">
        <v>147</v>
      </c>
      <c r="C38" s="107">
        <v>0.17400689999999999</v>
      </c>
      <c r="E38" s="107" t="s">
        <v>147</v>
      </c>
      <c r="F38" s="107">
        <v>0.99496102140200549</v>
      </c>
      <c r="I38"/>
      <c r="J38" s="110"/>
      <c r="K38" s="110"/>
      <c r="L38" s="110"/>
      <c r="M38" s="110"/>
      <c r="N38" s="110"/>
      <c r="O38" s="114"/>
    </row>
    <row r="39" spans="2:15" ht="14.5">
      <c r="B39" s="107" t="s">
        <v>150</v>
      </c>
      <c r="C39" s="107">
        <v>0.3061585</v>
      </c>
      <c r="E39" s="107" t="s">
        <v>150</v>
      </c>
      <c r="F39" s="107">
        <v>0.10368466633642601</v>
      </c>
      <c r="I39"/>
      <c r="J39" s="110"/>
      <c r="K39" s="110"/>
      <c r="L39" s="110"/>
      <c r="M39" s="110"/>
      <c r="N39" s="110"/>
      <c r="O39" s="114"/>
    </row>
    <row r="40" spans="2:15" ht="14.5">
      <c r="B40" s="107" t="s">
        <v>151</v>
      </c>
      <c r="C40" s="107">
        <v>0.1856611</v>
      </c>
      <c r="E40" s="107" t="s">
        <v>151</v>
      </c>
      <c r="F40" s="107">
        <v>0.70831628564362625</v>
      </c>
      <c r="I40"/>
      <c r="J40" s="110"/>
      <c r="K40" s="110"/>
      <c r="L40" s="110"/>
      <c r="M40" s="110"/>
      <c r="N40" s="110"/>
      <c r="O40" s="114"/>
    </row>
    <row r="41" spans="2:15" ht="14.5">
      <c r="B41" s="107" t="s">
        <v>152</v>
      </c>
      <c r="C41" s="107">
        <v>0.56090859999999998</v>
      </c>
      <c r="E41" s="107" t="s">
        <v>152</v>
      </c>
      <c r="F41" s="107">
        <v>0.29841392304054465</v>
      </c>
      <c r="I41"/>
      <c r="J41" s="110"/>
      <c r="K41" s="110"/>
      <c r="L41" s="110"/>
      <c r="M41" s="110"/>
      <c r="N41" s="110"/>
      <c r="O41" s="114"/>
    </row>
    <row r="42" spans="2:15" ht="14.5">
      <c r="B42" s="107" t="s">
        <v>153</v>
      </c>
      <c r="C42" s="107">
        <v>0.21107490000000001</v>
      </c>
      <c r="E42" s="107" t="s">
        <v>153</v>
      </c>
      <c r="F42" s="107">
        <v>0.39029663732717612</v>
      </c>
      <c r="I42"/>
      <c r="J42" s="110"/>
      <c r="K42" s="110"/>
      <c r="L42" s="110"/>
      <c r="M42" s="110"/>
      <c r="N42" s="110"/>
      <c r="O42" s="114"/>
    </row>
    <row r="43" spans="2:15" ht="14.5">
      <c r="B43" s="107" t="s">
        <v>154</v>
      </c>
      <c r="C43" s="107">
        <v>0.23029350000000001</v>
      </c>
      <c r="E43" s="107" t="s">
        <v>154</v>
      </c>
      <c r="F43" s="107">
        <v>0.70431266460095732</v>
      </c>
      <c r="I43"/>
      <c r="J43" s="110"/>
      <c r="K43" s="110"/>
      <c r="L43" s="110"/>
      <c r="M43" s="110"/>
      <c r="N43" s="110"/>
      <c r="O43" s="114"/>
    </row>
    <row r="44" spans="2:15" ht="14.5">
      <c r="B44" s="107" t="s">
        <v>155</v>
      </c>
      <c r="C44" s="107">
        <v>0.30485570000000001</v>
      </c>
      <c r="E44" s="107" t="s">
        <v>155</v>
      </c>
      <c r="F44" s="107">
        <v>0.32539511334163207</v>
      </c>
      <c r="I44"/>
      <c r="J44" s="110"/>
      <c r="K44" s="110"/>
      <c r="L44" s="110"/>
      <c r="M44" s="110"/>
      <c r="N44" s="110"/>
      <c r="O44" s="114"/>
    </row>
    <row r="45" spans="2:15" ht="12.75" customHeight="1">
      <c r="B45" s="107" t="s">
        <v>156</v>
      </c>
      <c r="C45" s="107">
        <v>0.76619320000000002</v>
      </c>
      <c r="E45" s="107" t="s">
        <v>156</v>
      </c>
      <c r="F45" s="107">
        <v>0.19368070839238588</v>
      </c>
      <c r="I45" s="110"/>
      <c r="J45" s="110"/>
      <c r="K45" s="110"/>
      <c r="L45" s="110"/>
      <c r="M45" s="110"/>
      <c r="N45" s="110"/>
      <c r="O45" s="110"/>
    </row>
    <row r="46" spans="2:15">
      <c r="B46" s="107" t="s">
        <v>157</v>
      </c>
      <c r="C46" s="107">
        <v>0.3371961</v>
      </c>
      <c r="E46" s="107" t="s">
        <v>157</v>
      </c>
      <c r="F46" s="107">
        <v>0.25824965960434243</v>
      </c>
    </row>
  </sheetData>
  <sortState xmlns:xlrd2="http://schemas.microsoft.com/office/spreadsheetml/2017/richdata2" ref="E29:F47">
    <sortCondition ref="E29"/>
  </sortState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AZ60"/>
  <sheetViews>
    <sheetView showGridLines="0" zoomScale="80" zoomScaleNormal="80" workbookViewId="0">
      <selection activeCell="D28" sqref="D28:E46"/>
    </sheetView>
  </sheetViews>
  <sheetFormatPr defaultColWidth="9.1796875" defaultRowHeight="13"/>
  <cols>
    <col min="1" max="11" width="9.1796875" style="53"/>
    <col min="12" max="12" width="20.81640625" style="53" bestFit="1" customWidth="1"/>
    <col min="13" max="13" width="5.453125" style="53" bestFit="1" customWidth="1"/>
    <col min="14" max="14" width="9.1796875" style="53"/>
    <col min="15" max="15" width="11.1796875" style="53" customWidth="1"/>
    <col min="16" max="16" width="9.1796875" style="53"/>
    <col min="17" max="18" width="14.453125" style="53" customWidth="1"/>
    <col min="19" max="34" width="9.1796875" style="53"/>
    <col min="35" max="35" width="22.26953125" style="53" bestFit="1" customWidth="1"/>
    <col min="36" max="16384" width="9.1796875" style="53"/>
  </cols>
  <sheetData>
    <row r="1" spans="1:52">
      <c r="A1" s="125" t="s">
        <v>161</v>
      </c>
      <c r="AH1" s="128"/>
      <c r="AJ1" s="128"/>
      <c r="AK1" s="128"/>
      <c r="AX1" s="129"/>
      <c r="AY1" s="129"/>
      <c r="AZ1" s="129"/>
    </row>
    <row r="2" spans="1:52" ht="13.5" thickBot="1">
      <c r="M2" s="53" t="s">
        <v>96</v>
      </c>
      <c r="N2" s="70" t="s">
        <v>162</v>
      </c>
      <c r="O2" s="130" t="s">
        <v>163</v>
      </c>
      <c r="P2" s="130" t="s">
        <v>164</v>
      </c>
      <c r="Q2" s="130" t="s">
        <v>165</v>
      </c>
      <c r="R2" s="130" t="s">
        <v>166</v>
      </c>
      <c r="S2" s="130" t="s">
        <v>167</v>
      </c>
      <c r="T2" s="130" t="s">
        <v>168</v>
      </c>
      <c r="U2" s="130" t="s">
        <v>169</v>
      </c>
      <c r="V2" s="130" t="s">
        <v>170</v>
      </c>
      <c r="W2" s="130" t="s">
        <v>171</v>
      </c>
      <c r="X2" s="130" t="s">
        <v>172</v>
      </c>
      <c r="Y2" s="130" t="s">
        <v>173</v>
      </c>
      <c r="Z2" s="130" t="s">
        <v>174</v>
      </c>
      <c r="AA2" s="130" t="s">
        <v>175</v>
      </c>
      <c r="AB2" s="130"/>
      <c r="AX2" s="129"/>
      <c r="AY2" s="129"/>
      <c r="AZ2" s="129"/>
    </row>
    <row r="3" spans="1:52" ht="13.5" thickTop="1">
      <c r="L3" s="53" t="s">
        <v>104</v>
      </c>
      <c r="M3" s="131" t="s">
        <v>138</v>
      </c>
      <c r="N3" s="132">
        <v>0.51251100000000005</v>
      </c>
      <c r="O3" s="132">
        <v>0.53907020000000005</v>
      </c>
      <c r="P3" s="132">
        <v>0.34604279999999998</v>
      </c>
      <c r="Q3" s="132">
        <v>0.5122989</v>
      </c>
      <c r="R3" s="132">
        <v>0.51281060000000001</v>
      </c>
      <c r="S3" s="132">
        <v>0.51251100000000005</v>
      </c>
      <c r="T3" s="132" t="s">
        <v>149</v>
      </c>
      <c r="U3" s="132">
        <v>0.324019</v>
      </c>
      <c r="V3" s="132">
        <v>0.49706339999999999</v>
      </c>
      <c r="W3" s="132">
        <v>0.66783360000000003</v>
      </c>
      <c r="X3" s="133">
        <f>+U3/V3</f>
        <v>0.65186654257786836</v>
      </c>
      <c r="Y3" s="132">
        <f>+V3/W3</f>
        <v>0.74429229077422876</v>
      </c>
      <c r="Z3" s="132">
        <f>+P3/O3</f>
        <v>0.64192530026701522</v>
      </c>
      <c r="AA3" s="132">
        <f>+Q3/R3</f>
        <v>0.99900216571186318</v>
      </c>
      <c r="AB3" s="133">
        <v>0.29865799716306268</v>
      </c>
      <c r="AC3" s="53" t="s">
        <v>138</v>
      </c>
      <c r="AD3" s="53">
        <f>+LN(Z3)</f>
        <v>-0.44328333678618731</v>
      </c>
      <c r="AE3" s="53">
        <f>+LN(AB3)</f>
        <v>-1.2084561824524351</v>
      </c>
      <c r="AF3" s="129"/>
      <c r="AG3" s="129"/>
      <c r="AX3" s="129"/>
      <c r="AY3" s="129"/>
      <c r="AZ3" s="129"/>
    </row>
    <row r="4" spans="1:52">
      <c r="L4" s="53" t="s">
        <v>105</v>
      </c>
      <c r="M4" s="131" t="s">
        <v>139</v>
      </c>
      <c r="N4" s="134">
        <v>0.18819530000000001</v>
      </c>
      <c r="O4" s="134">
        <v>0.21583640000000001</v>
      </c>
      <c r="P4" s="134">
        <v>7.5367600000000007E-2</v>
      </c>
      <c r="Q4" s="134">
        <v>0.2012525</v>
      </c>
      <c r="R4" s="134">
        <v>0.17159569999999999</v>
      </c>
      <c r="S4" s="134">
        <v>0.2416054</v>
      </c>
      <c r="T4" s="134">
        <v>7.7353500000000006E-2</v>
      </c>
      <c r="U4" s="134">
        <v>4.1030900000000002E-2</v>
      </c>
      <c r="V4" s="134">
        <v>0.13344839999999999</v>
      </c>
      <c r="W4" s="134">
        <v>0.52407539999999997</v>
      </c>
      <c r="X4" s="135">
        <f t="shared" ref="X4:Y20" si="0">+U4/V4</f>
        <v>0.30746640649119811</v>
      </c>
      <c r="Y4" s="134">
        <f t="shared" si="0"/>
        <v>0.25463587873042698</v>
      </c>
      <c r="Z4" s="134">
        <f t="shared" ref="Z4:Z20" si="1">+P4/O4</f>
        <v>0.34918855206999377</v>
      </c>
      <c r="AA4" s="134">
        <f t="shared" ref="AA4:AA20" si="2">+Q4/R4</f>
        <v>1.1728295056344653</v>
      </c>
      <c r="AB4" s="135">
        <v>0.55101934978387745</v>
      </c>
      <c r="AC4" s="53" t="s">
        <v>139</v>
      </c>
      <c r="AD4" s="53">
        <f t="shared" ref="AD4:AD20" si="3">+LN(Z4)</f>
        <v>-1.0521432388587886</v>
      </c>
      <c r="AE4" s="53">
        <f t="shared" ref="AE4:AE20" si="4">+LN(AB4)</f>
        <v>-0.59598535287073495</v>
      </c>
      <c r="AF4" s="129"/>
      <c r="AG4" s="129"/>
      <c r="AH4" s="131"/>
      <c r="AI4" s="136"/>
      <c r="AX4" s="129"/>
      <c r="AY4" s="129"/>
      <c r="AZ4" s="129"/>
    </row>
    <row r="5" spans="1:52">
      <c r="L5" s="53" t="s">
        <v>106</v>
      </c>
      <c r="M5" s="131" t="s">
        <v>140</v>
      </c>
      <c r="N5" s="134">
        <v>0.62225169999999996</v>
      </c>
      <c r="O5" s="134">
        <v>0.64088829999999997</v>
      </c>
      <c r="P5" s="134">
        <v>0.53910329999999995</v>
      </c>
      <c r="Q5" s="134">
        <v>0.61816519999999997</v>
      </c>
      <c r="R5" s="134">
        <v>0.62771920000000003</v>
      </c>
      <c r="S5" s="134">
        <v>0.67777969999999998</v>
      </c>
      <c r="T5" s="134">
        <v>0.29823850000000002</v>
      </c>
      <c r="U5" s="134">
        <v>0.46201019999999998</v>
      </c>
      <c r="V5" s="134">
        <v>0.71581419999999996</v>
      </c>
      <c r="W5" s="134">
        <v>0.87111450000000001</v>
      </c>
      <c r="X5" s="135">
        <f t="shared" si="0"/>
        <v>0.6454331305525931</v>
      </c>
      <c r="Y5" s="134">
        <f t="shared" si="0"/>
        <v>0.8217222879426298</v>
      </c>
      <c r="Z5" s="134">
        <f t="shared" si="1"/>
        <v>0.84118137279148331</v>
      </c>
      <c r="AA5" s="134">
        <f t="shared" si="2"/>
        <v>0.98477981874698106</v>
      </c>
      <c r="AB5" s="135">
        <v>0.2401814159259848</v>
      </c>
      <c r="AC5" s="53" t="s">
        <v>140</v>
      </c>
      <c r="AD5" s="53">
        <f t="shared" si="3"/>
        <v>-0.17294797901326495</v>
      </c>
      <c r="AE5" s="53">
        <f t="shared" si="4"/>
        <v>-1.4263607414968262</v>
      </c>
      <c r="AF5" s="129"/>
      <c r="AG5" s="129"/>
      <c r="AH5" s="131"/>
      <c r="AI5" s="136"/>
      <c r="AX5" s="129"/>
      <c r="AY5" s="129"/>
      <c r="AZ5" s="129"/>
    </row>
    <row r="6" spans="1:52">
      <c r="L6" s="53" t="s">
        <v>107</v>
      </c>
      <c r="M6" s="131" t="s">
        <v>141</v>
      </c>
      <c r="N6" s="134">
        <v>0.69678680000000004</v>
      </c>
      <c r="O6" s="134">
        <v>0.70131779999999999</v>
      </c>
      <c r="P6" s="134">
        <v>0.66740529999999998</v>
      </c>
      <c r="Q6" s="134">
        <v>0.71872899999999995</v>
      </c>
      <c r="R6" s="134">
        <v>0.66516799999999998</v>
      </c>
      <c r="S6" s="134">
        <v>0.70984599999999998</v>
      </c>
      <c r="T6" s="134">
        <v>0.59358889999999997</v>
      </c>
      <c r="U6" s="134">
        <v>0.54763070000000003</v>
      </c>
      <c r="V6" s="134">
        <v>0.70435009999999998</v>
      </c>
      <c r="W6" s="134">
        <v>0.80947619999999998</v>
      </c>
      <c r="X6" s="135">
        <f t="shared" si="0"/>
        <v>0.77749786647293728</v>
      </c>
      <c r="Y6" s="134">
        <f t="shared" si="0"/>
        <v>0.87013070921665148</v>
      </c>
      <c r="Z6" s="134">
        <f t="shared" si="1"/>
        <v>0.95164460391565708</v>
      </c>
      <c r="AA6" s="134">
        <f t="shared" si="2"/>
        <v>1.0805225146128496</v>
      </c>
      <c r="AB6" s="135">
        <v>0.15903867330054344</v>
      </c>
      <c r="AC6" s="53" t="s">
        <v>141</v>
      </c>
      <c r="AD6" s="53">
        <f t="shared" si="3"/>
        <v>-4.9563629104889526E-2</v>
      </c>
      <c r="AE6" s="53">
        <f t="shared" si="4"/>
        <v>-1.8386078780318096</v>
      </c>
      <c r="AF6" s="129"/>
      <c r="AG6" s="129"/>
      <c r="AH6" s="131"/>
      <c r="AI6" s="136"/>
      <c r="AX6" s="129"/>
      <c r="AY6" s="129"/>
      <c r="AZ6" s="129"/>
    </row>
    <row r="7" spans="1:52">
      <c r="L7" s="53" t="s">
        <v>108</v>
      </c>
      <c r="M7" s="131" t="s">
        <v>142</v>
      </c>
      <c r="N7" s="134">
        <v>0.33228530000000001</v>
      </c>
      <c r="O7" s="134">
        <v>0.35516259999999999</v>
      </c>
      <c r="P7" s="134">
        <v>0.23030429999999999</v>
      </c>
      <c r="Q7" s="134">
        <v>0.3362752</v>
      </c>
      <c r="R7" s="134">
        <v>0.32672960000000001</v>
      </c>
      <c r="S7" s="134">
        <v>0.39063130000000001</v>
      </c>
      <c r="T7" s="134">
        <v>0.10919230000000001</v>
      </c>
      <c r="U7" s="134">
        <v>0.1415757</v>
      </c>
      <c r="V7" s="134">
        <v>0.38417620000000002</v>
      </c>
      <c r="W7" s="134">
        <v>0.70555000000000001</v>
      </c>
      <c r="X7" s="135">
        <f t="shared" si="0"/>
        <v>0.36851762290324075</v>
      </c>
      <c r="Y7" s="134">
        <f t="shared" si="0"/>
        <v>0.54450598823612784</v>
      </c>
      <c r="Z7" s="134">
        <f t="shared" si="1"/>
        <v>0.64844749982120864</v>
      </c>
      <c r="AA7" s="134">
        <f t="shared" si="2"/>
        <v>1.029215596015788</v>
      </c>
      <c r="AB7" s="135">
        <v>0.31229901458452908</v>
      </c>
      <c r="AC7" s="53" t="s">
        <v>142</v>
      </c>
      <c r="AD7" s="53">
        <f t="shared" si="3"/>
        <v>-0.43317423483090745</v>
      </c>
      <c r="AE7" s="53">
        <f t="shared" si="4"/>
        <v>-1.1637941700470125</v>
      </c>
      <c r="AF7" s="129"/>
      <c r="AG7" s="129"/>
      <c r="AH7" s="131"/>
      <c r="AI7" s="136"/>
      <c r="AX7" s="129"/>
      <c r="AY7" s="129"/>
      <c r="AZ7" s="129"/>
    </row>
    <row r="8" spans="1:52">
      <c r="L8" s="53" t="s">
        <v>109</v>
      </c>
      <c r="M8" s="131" t="s">
        <v>143</v>
      </c>
      <c r="N8" s="134">
        <v>0.71742479999999997</v>
      </c>
      <c r="O8" s="134">
        <v>0.74046040000000002</v>
      </c>
      <c r="P8" s="134">
        <v>0.60519909999999999</v>
      </c>
      <c r="Q8" s="134">
        <v>0.75576339999999997</v>
      </c>
      <c r="R8" s="134">
        <v>0.65529669999999995</v>
      </c>
      <c r="S8" s="134">
        <v>0.74711300000000003</v>
      </c>
      <c r="T8" s="134">
        <v>0.66074880000000003</v>
      </c>
      <c r="U8" s="134">
        <v>0.60194559999999997</v>
      </c>
      <c r="V8" s="134">
        <v>0.74995820000000002</v>
      </c>
      <c r="W8" s="134">
        <v>0.90193279999999998</v>
      </c>
      <c r="X8" s="135">
        <f t="shared" si="0"/>
        <v>0.80263886707285814</v>
      </c>
      <c r="Y8" s="134">
        <f t="shared" si="0"/>
        <v>0.8315011938805198</v>
      </c>
      <c r="Z8" s="134">
        <f t="shared" si="1"/>
        <v>0.81732811099688785</v>
      </c>
      <c r="AA8" s="134">
        <f t="shared" si="2"/>
        <v>1.1533148267036901</v>
      </c>
      <c r="AB8" s="135">
        <v>0.33849727195402068</v>
      </c>
      <c r="AC8" s="53" t="s">
        <v>143</v>
      </c>
      <c r="AD8" s="53">
        <f t="shared" si="3"/>
        <v>-0.2017146600963424</v>
      </c>
      <c r="AE8" s="53">
        <f t="shared" si="4"/>
        <v>-1.0832392458823106</v>
      </c>
      <c r="AF8" s="129"/>
      <c r="AG8" s="129"/>
      <c r="AH8" s="131"/>
      <c r="AI8" s="136"/>
      <c r="AX8" s="129"/>
      <c r="AY8" s="129"/>
      <c r="AZ8" s="129"/>
    </row>
    <row r="9" spans="1:52">
      <c r="L9" s="53" t="s">
        <v>176</v>
      </c>
      <c r="M9" s="131" t="s">
        <v>144</v>
      </c>
      <c r="N9" s="134">
        <v>0.34299489999999999</v>
      </c>
      <c r="O9" s="134">
        <v>0.35847639999999997</v>
      </c>
      <c r="P9" s="134">
        <v>0.27090979999999998</v>
      </c>
      <c r="Q9" s="134">
        <v>0.30619079999999999</v>
      </c>
      <c r="R9" s="134">
        <v>0.40359610000000001</v>
      </c>
      <c r="S9" s="134">
        <v>0.38806420000000003</v>
      </c>
      <c r="T9" s="134">
        <v>0.24367150000000001</v>
      </c>
      <c r="U9" s="134">
        <v>0.19283800000000001</v>
      </c>
      <c r="V9" s="134">
        <v>0.34683190000000003</v>
      </c>
      <c r="W9" s="134">
        <v>0.67304799999999998</v>
      </c>
      <c r="X9" s="135">
        <f t="shared" si="0"/>
        <v>0.55599845342945675</v>
      </c>
      <c r="Y9" s="134">
        <f t="shared" si="0"/>
        <v>0.51531525240398912</v>
      </c>
      <c r="Z9" s="134">
        <f t="shared" si="1"/>
        <v>0.75572562098927576</v>
      </c>
      <c r="AA9" s="134">
        <f t="shared" si="2"/>
        <v>0.75865648850422485</v>
      </c>
      <c r="AB9" s="135">
        <v>0.17608864704808239</v>
      </c>
      <c r="AC9" s="53" t="s">
        <v>144</v>
      </c>
      <c r="AD9" s="53">
        <f t="shared" si="3"/>
        <v>-0.28007690387889406</v>
      </c>
      <c r="AE9" s="53">
        <f t="shared" si="4"/>
        <v>-1.7367677343368126</v>
      </c>
      <c r="AF9" s="129"/>
      <c r="AG9" s="129"/>
      <c r="AH9" s="131"/>
      <c r="AI9" s="136"/>
      <c r="AX9" s="129"/>
      <c r="AY9" s="129"/>
      <c r="AZ9" s="129"/>
    </row>
    <row r="10" spans="1:52">
      <c r="L10" s="53" t="s">
        <v>111</v>
      </c>
      <c r="M10" s="131" t="s">
        <v>145</v>
      </c>
      <c r="N10" s="134">
        <v>0.3165615</v>
      </c>
      <c r="O10" s="134">
        <v>0.33055440000000003</v>
      </c>
      <c r="P10" s="134">
        <v>0.2476488</v>
      </c>
      <c r="Q10" s="134">
        <v>0.30869659999999999</v>
      </c>
      <c r="R10" s="134">
        <v>0.3283316</v>
      </c>
      <c r="S10" s="134">
        <v>0.39868009999999998</v>
      </c>
      <c r="T10" s="134">
        <v>0.13594120000000001</v>
      </c>
      <c r="U10" s="134">
        <v>0.13290370000000001</v>
      </c>
      <c r="V10" s="134">
        <v>0.32568150000000001</v>
      </c>
      <c r="W10" s="134">
        <v>0.63936230000000005</v>
      </c>
      <c r="X10" s="135">
        <f t="shared" si="0"/>
        <v>0.40807875178663822</v>
      </c>
      <c r="Y10" s="134">
        <f t="shared" si="0"/>
        <v>0.50938489804606868</v>
      </c>
      <c r="Z10" s="134">
        <f t="shared" si="1"/>
        <v>0.74919226608388811</v>
      </c>
      <c r="AA10" s="134">
        <f t="shared" si="2"/>
        <v>0.94019765383532983</v>
      </c>
      <c r="AB10" s="135">
        <v>0.37797680498248354</v>
      </c>
      <c r="AC10" s="53" t="s">
        <v>145</v>
      </c>
      <c r="AD10" s="53">
        <f t="shared" si="3"/>
        <v>-0.28875963136472682</v>
      </c>
      <c r="AE10" s="53">
        <f t="shared" si="4"/>
        <v>-0.97292244772550562</v>
      </c>
      <c r="AF10" s="129"/>
      <c r="AG10" s="129"/>
      <c r="AH10" s="131"/>
      <c r="AI10" s="136"/>
      <c r="AX10" s="129"/>
      <c r="AY10" s="129"/>
      <c r="AZ10" s="129"/>
    </row>
    <row r="11" spans="1:52">
      <c r="L11" s="53" t="s">
        <v>112</v>
      </c>
      <c r="M11" s="131" t="s">
        <v>155</v>
      </c>
      <c r="N11" s="134">
        <v>0.29086020000000001</v>
      </c>
      <c r="O11" s="134">
        <v>0.321544</v>
      </c>
      <c r="P11" s="134">
        <v>0.18458459999999999</v>
      </c>
      <c r="Q11" s="134">
        <v>0.29707549999999999</v>
      </c>
      <c r="R11" s="134">
        <v>0.28227079999999999</v>
      </c>
      <c r="S11" s="134">
        <v>0.37367879999999998</v>
      </c>
      <c r="T11" s="134">
        <v>0.12903200000000001</v>
      </c>
      <c r="U11" s="134">
        <v>0.1056926</v>
      </c>
      <c r="V11" s="134">
        <v>0.38440540000000001</v>
      </c>
      <c r="W11" s="134">
        <v>0.72778200000000004</v>
      </c>
      <c r="X11" s="135">
        <f t="shared" si="0"/>
        <v>0.27495087217817438</v>
      </c>
      <c r="Y11" s="134">
        <f t="shared" si="0"/>
        <v>0.52818756165994762</v>
      </c>
      <c r="Z11" s="134">
        <f t="shared" si="1"/>
        <v>0.57405704973502847</v>
      </c>
      <c r="AA11" s="134">
        <f t="shared" si="2"/>
        <v>1.0524485706633488</v>
      </c>
      <c r="AB11" s="135">
        <v>0.31669729963725379</v>
      </c>
      <c r="AC11" s="53" t="s">
        <v>155</v>
      </c>
      <c r="AD11" s="53">
        <f t="shared" si="3"/>
        <v>-0.55502649781912827</v>
      </c>
      <c r="AE11" s="53">
        <f t="shared" si="4"/>
        <v>-1.149808852037665</v>
      </c>
      <c r="AF11" s="129"/>
      <c r="AG11" s="129"/>
      <c r="AH11" s="131"/>
      <c r="AI11" s="136"/>
      <c r="AX11" s="129"/>
      <c r="AY11" s="129"/>
      <c r="AZ11" s="129"/>
    </row>
    <row r="12" spans="1:52">
      <c r="L12" s="53" t="s">
        <v>113</v>
      </c>
      <c r="M12" s="131" t="s">
        <v>146</v>
      </c>
      <c r="N12" s="134">
        <v>0.19339010000000001</v>
      </c>
      <c r="O12" s="134">
        <v>0.21413740000000001</v>
      </c>
      <c r="P12" s="134">
        <v>0.1370595</v>
      </c>
      <c r="Q12" s="134">
        <v>0.1871051</v>
      </c>
      <c r="R12" s="134">
        <v>0.2060574</v>
      </c>
      <c r="S12" s="134">
        <v>0.26770450000000001</v>
      </c>
      <c r="T12" s="134">
        <v>0.1121301</v>
      </c>
      <c r="U12" s="134">
        <v>8.5336099999999998E-2</v>
      </c>
      <c r="V12" s="134">
        <v>0.3587111</v>
      </c>
      <c r="W12" s="134">
        <v>0.6078036</v>
      </c>
      <c r="X12" s="135">
        <f t="shared" si="0"/>
        <v>0.23789645762286141</v>
      </c>
      <c r="Y12" s="134">
        <f t="shared" si="0"/>
        <v>0.59017600422241656</v>
      </c>
      <c r="Z12" s="134">
        <f t="shared" si="1"/>
        <v>0.64005400271040924</v>
      </c>
      <c r="AA12" s="134">
        <f t="shared" si="2"/>
        <v>0.90802417190549811</v>
      </c>
      <c r="AB12" s="135">
        <v>0.50860283690109698</v>
      </c>
      <c r="AC12" s="53" t="s">
        <v>146</v>
      </c>
      <c r="AD12" s="53">
        <f t="shared" si="3"/>
        <v>-0.44620272695313246</v>
      </c>
      <c r="AE12" s="53">
        <f t="shared" si="4"/>
        <v>-0.67608784814672285</v>
      </c>
      <c r="AF12" s="129"/>
      <c r="AG12" s="129"/>
      <c r="AH12" s="131"/>
      <c r="AI12" s="136"/>
      <c r="AX12" s="129"/>
      <c r="AY12" s="129"/>
      <c r="AZ12" s="129"/>
    </row>
    <row r="13" spans="1:52">
      <c r="L13" s="53" t="s">
        <v>114</v>
      </c>
      <c r="M13" s="131" t="s">
        <v>147</v>
      </c>
      <c r="N13" s="134">
        <v>0.1593011</v>
      </c>
      <c r="O13" s="134">
        <v>0.18280479999999999</v>
      </c>
      <c r="P13" s="134">
        <v>0.10129829999999999</v>
      </c>
      <c r="Q13" s="134">
        <v>0.1335239</v>
      </c>
      <c r="R13" s="134">
        <v>0.2067977</v>
      </c>
      <c r="S13" s="134">
        <v>0.2698893</v>
      </c>
      <c r="T13" s="134">
        <v>5.6120900000000001E-2</v>
      </c>
      <c r="U13" s="134">
        <v>7.6410199999999998E-2</v>
      </c>
      <c r="V13" s="134">
        <v>0.32120270000000001</v>
      </c>
      <c r="W13" s="134">
        <v>0.63413920000000001</v>
      </c>
      <c r="X13" s="135">
        <f t="shared" si="0"/>
        <v>0.23788778861447926</v>
      </c>
      <c r="Y13" s="134">
        <f t="shared" si="0"/>
        <v>0.50651765416804384</v>
      </c>
      <c r="Z13" s="134">
        <f t="shared" si="1"/>
        <v>0.55413369889630903</v>
      </c>
      <c r="AA13" s="134">
        <f t="shared" si="2"/>
        <v>0.64567400894690807</v>
      </c>
      <c r="AB13" s="135">
        <v>1.0156166706847269</v>
      </c>
      <c r="AC13" s="53" t="s">
        <v>147</v>
      </c>
      <c r="AD13" s="53">
        <f t="shared" si="3"/>
        <v>-0.59034928760330752</v>
      </c>
      <c r="AE13" s="53">
        <f t="shared" si="4"/>
        <v>1.5495985330374294E-2</v>
      </c>
      <c r="AF13" s="129"/>
      <c r="AG13" s="129"/>
      <c r="AH13" s="131"/>
      <c r="AI13" s="136"/>
      <c r="AX13" s="129"/>
      <c r="AY13" s="129"/>
      <c r="AZ13" s="129"/>
    </row>
    <row r="14" spans="1:52">
      <c r="L14" s="53" t="s">
        <v>177</v>
      </c>
      <c r="M14" s="131" t="s">
        <v>150</v>
      </c>
      <c r="N14" s="134">
        <v>0.3061585</v>
      </c>
      <c r="O14" s="134">
        <v>0.32575929999999997</v>
      </c>
      <c r="P14" s="134">
        <v>0.23275170000000001</v>
      </c>
      <c r="Q14" s="134">
        <v>0.32504769999999999</v>
      </c>
      <c r="R14" s="134">
        <v>0.2785704</v>
      </c>
      <c r="S14" s="134">
        <v>0.39377030000000002</v>
      </c>
      <c r="T14" s="134">
        <v>0.1421665</v>
      </c>
      <c r="U14" s="134">
        <v>0.1363027</v>
      </c>
      <c r="V14" s="134">
        <v>0.31386940000000002</v>
      </c>
      <c r="W14" s="134">
        <v>0.56348089999999995</v>
      </c>
      <c r="X14" s="135">
        <f t="shared" si="0"/>
        <v>0.43426565316657179</v>
      </c>
      <c r="Y14" s="134">
        <f t="shared" si="0"/>
        <v>0.55701870285221744</v>
      </c>
      <c r="Z14" s="134">
        <f t="shared" si="1"/>
        <v>0.71448980888650004</v>
      </c>
      <c r="AA14" s="134">
        <f t="shared" si="2"/>
        <v>1.1668422057763495</v>
      </c>
      <c r="AB14" s="135">
        <v>0.10954799921093442</v>
      </c>
      <c r="AC14" s="53" t="s">
        <v>150</v>
      </c>
      <c r="AD14" s="53">
        <f t="shared" si="3"/>
        <v>-0.33618654499385248</v>
      </c>
      <c r="AE14" s="53">
        <f t="shared" si="4"/>
        <v>-2.211392476814114</v>
      </c>
      <c r="AF14" s="129"/>
      <c r="AG14" s="129"/>
      <c r="AH14" s="131"/>
      <c r="AI14" s="136"/>
    </row>
    <row r="15" spans="1:52">
      <c r="L15" s="53" t="s">
        <v>117</v>
      </c>
      <c r="M15" s="131" t="s">
        <v>151</v>
      </c>
      <c r="N15" s="134">
        <v>0.1856611</v>
      </c>
      <c r="O15" s="134">
        <v>0.22025549999999999</v>
      </c>
      <c r="P15" s="134">
        <v>0.1019911</v>
      </c>
      <c r="Q15" s="134">
        <v>0.1915896</v>
      </c>
      <c r="R15" s="134">
        <v>0.1784675</v>
      </c>
      <c r="S15" s="134">
        <v>0.26118629999999998</v>
      </c>
      <c r="T15" s="134">
        <v>7.6919600000000005E-2</v>
      </c>
      <c r="U15" s="134">
        <v>8.1046199999999999E-2</v>
      </c>
      <c r="V15" s="134">
        <v>0.23277059999999999</v>
      </c>
      <c r="W15" s="134">
        <v>0.54901860000000002</v>
      </c>
      <c r="X15" s="135">
        <f t="shared" si="0"/>
        <v>0.34818056919559431</v>
      </c>
      <c r="Y15" s="134">
        <f t="shared" si="0"/>
        <v>0.42397579972700378</v>
      </c>
      <c r="Z15" s="134">
        <f t="shared" si="1"/>
        <v>0.46305813021695258</v>
      </c>
      <c r="AA15" s="134">
        <f t="shared" si="2"/>
        <v>1.073526552453528</v>
      </c>
      <c r="AB15" s="135">
        <v>0.71298310509010343</v>
      </c>
      <c r="AC15" s="53" t="s">
        <v>151</v>
      </c>
      <c r="AD15" s="53">
        <f t="shared" si="3"/>
        <v>-0.7699026815522787</v>
      </c>
      <c r="AE15" s="53">
        <f t="shared" si="4"/>
        <v>-0.33829755437438619</v>
      </c>
      <c r="AF15" s="129"/>
      <c r="AG15" s="129"/>
      <c r="AH15" s="131"/>
      <c r="AI15" s="136"/>
    </row>
    <row r="16" spans="1:52">
      <c r="L16" s="53" t="s">
        <v>118</v>
      </c>
      <c r="M16" s="131" t="s">
        <v>152</v>
      </c>
      <c r="N16" s="134">
        <v>0.55873249999999997</v>
      </c>
      <c r="O16" s="134">
        <v>0.58449390000000001</v>
      </c>
      <c r="P16" s="134">
        <v>0.43573440000000002</v>
      </c>
      <c r="Q16" s="134">
        <v>0.54058660000000003</v>
      </c>
      <c r="R16" s="134">
        <v>0.58663080000000001</v>
      </c>
      <c r="S16" s="134">
        <v>0.67320100000000005</v>
      </c>
      <c r="T16" s="134">
        <v>0.29304669999999999</v>
      </c>
      <c r="U16" s="134">
        <v>0.30412620000000001</v>
      </c>
      <c r="V16" s="134">
        <v>0.58882049999999997</v>
      </c>
      <c r="W16" s="134">
        <v>0.81972849999999997</v>
      </c>
      <c r="X16" s="135">
        <f t="shared" si="0"/>
        <v>0.51650069927932196</v>
      </c>
      <c r="Y16" s="134">
        <f t="shared" si="0"/>
        <v>0.71831161171046265</v>
      </c>
      <c r="Z16" s="134">
        <f t="shared" si="1"/>
        <v>0.74549007269365863</v>
      </c>
      <c r="AA16" s="134">
        <f t="shared" si="2"/>
        <v>0.92151076963568912</v>
      </c>
      <c r="AB16" s="135">
        <v>0.31261457848495922</v>
      </c>
      <c r="AC16" s="53" t="s">
        <v>152</v>
      </c>
      <c r="AD16" s="53">
        <f t="shared" si="3"/>
        <v>-0.29371346117229963</v>
      </c>
      <c r="AE16" s="53">
        <f t="shared" si="4"/>
        <v>-1.1627842258539194</v>
      </c>
      <c r="AF16" s="129"/>
      <c r="AG16" s="129"/>
      <c r="AH16" s="131"/>
      <c r="AI16" s="136"/>
    </row>
    <row r="17" spans="1:46">
      <c r="L17" s="53" t="s">
        <v>178</v>
      </c>
      <c r="M17" s="131" t="s">
        <v>153</v>
      </c>
      <c r="N17" s="134">
        <v>0.20534830000000001</v>
      </c>
      <c r="O17" s="134">
        <v>0.23109499999999999</v>
      </c>
      <c r="P17" s="134">
        <v>0.1101919</v>
      </c>
      <c r="Q17" s="134">
        <v>0.23101459999999999</v>
      </c>
      <c r="R17" s="134">
        <v>0.17215179999999999</v>
      </c>
      <c r="S17" s="134">
        <v>0.25779980000000002</v>
      </c>
      <c r="T17" s="134">
        <v>4.5775200000000002E-2</v>
      </c>
      <c r="U17" s="134">
        <v>4.0203000000000003E-2</v>
      </c>
      <c r="V17" s="134">
        <v>0.1748972</v>
      </c>
      <c r="W17" s="134">
        <v>0.46435189999999998</v>
      </c>
      <c r="X17" s="135">
        <f t="shared" si="0"/>
        <v>0.22986645869688024</v>
      </c>
      <c r="Y17" s="134">
        <f t="shared" si="0"/>
        <v>0.37664796892184571</v>
      </c>
      <c r="Z17" s="134">
        <f t="shared" si="1"/>
        <v>0.47682511521235854</v>
      </c>
      <c r="AA17" s="134">
        <f t="shared" si="2"/>
        <v>1.3419238137504226</v>
      </c>
      <c r="AB17" s="135">
        <v>0.4011183447084013</v>
      </c>
      <c r="AC17" s="53" t="s">
        <v>153</v>
      </c>
      <c r="AD17" s="53">
        <f t="shared" si="3"/>
        <v>-0.74060549009568699</v>
      </c>
      <c r="AE17" s="53">
        <f t="shared" si="4"/>
        <v>-0.91349877125497725</v>
      </c>
      <c r="AF17" s="129"/>
      <c r="AG17" s="129"/>
      <c r="AH17" s="131"/>
      <c r="AI17" s="136"/>
    </row>
    <row r="18" spans="1:46">
      <c r="L18" s="53" t="s">
        <v>119</v>
      </c>
      <c r="M18" s="131" t="s">
        <v>154</v>
      </c>
      <c r="N18" s="134">
        <v>0.20302629999999999</v>
      </c>
      <c r="O18" s="134">
        <v>0.22602639999999999</v>
      </c>
      <c r="P18" s="134">
        <v>0.13233120000000001</v>
      </c>
      <c r="Q18" s="134">
        <v>0.20989430000000001</v>
      </c>
      <c r="R18" s="134">
        <v>0.19345390000000001</v>
      </c>
      <c r="S18" s="134">
        <v>0.28215299999999999</v>
      </c>
      <c r="T18" s="134">
        <v>7.6204300000000003E-2</v>
      </c>
      <c r="U18" s="134">
        <v>6.2785800000000003E-2</v>
      </c>
      <c r="V18" s="134">
        <v>0.2259661</v>
      </c>
      <c r="W18" s="134">
        <v>0.54775390000000002</v>
      </c>
      <c r="X18" s="135">
        <f t="shared" si="0"/>
        <v>0.27785495257917009</v>
      </c>
      <c r="Y18" s="134">
        <f t="shared" si="0"/>
        <v>0.41253216088466005</v>
      </c>
      <c r="Z18" s="134">
        <f t="shared" si="1"/>
        <v>0.58546789224621554</v>
      </c>
      <c r="AA18" s="134">
        <f t="shared" si="2"/>
        <v>1.084983554221445</v>
      </c>
      <c r="AB18" s="135">
        <v>0.6924938974086785</v>
      </c>
      <c r="AC18" s="53" t="s">
        <v>154</v>
      </c>
      <c r="AD18" s="53">
        <f t="shared" si="3"/>
        <v>-0.53534393562699867</v>
      </c>
      <c r="AE18" s="53">
        <f t="shared" si="4"/>
        <v>-0.3674558533657134</v>
      </c>
      <c r="AF18" s="129"/>
      <c r="AG18" s="129"/>
      <c r="AH18" s="131"/>
      <c r="AI18" s="136"/>
    </row>
    <row r="19" spans="1:46">
      <c r="L19" s="53" t="s">
        <v>122</v>
      </c>
      <c r="M19" s="131" t="s">
        <v>156</v>
      </c>
      <c r="N19" s="134">
        <v>0.75771619999999995</v>
      </c>
      <c r="O19" s="134">
        <v>0.77671129999999999</v>
      </c>
      <c r="P19" s="134">
        <v>0.64832140000000005</v>
      </c>
      <c r="Q19" s="134">
        <v>0.75801969999999996</v>
      </c>
      <c r="R19" s="134">
        <v>0.75735430000000004</v>
      </c>
      <c r="S19" s="134">
        <v>0.76544000000000001</v>
      </c>
      <c r="T19" s="134">
        <v>0.70276729999999998</v>
      </c>
      <c r="U19" s="134">
        <v>0.60795129999999997</v>
      </c>
      <c r="V19" s="134">
        <v>0.80114920000000001</v>
      </c>
      <c r="W19" s="134">
        <v>0.94451390000000002</v>
      </c>
      <c r="X19" s="135">
        <f t="shared" si="0"/>
        <v>0.75884903835640094</v>
      </c>
      <c r="Y19" s="134">
        <f t="shared" si="0"/>
        <v>0.84821324492948169</v>
      </c>
      <c r="Z19" s="134">
        <f t="shared" si="1"/>
        <v>0.83470061527365447</v>
      </c>
      <c r="AA19" s="134">
        <f t="shared" si="2"/>
        <v>1.0008785848314321</v>
      </c>
      <c r="AB19" s="135">
        <v>0.19588891304600051</v>
      </c>
      <c r="AC19" s="53" t="s">
        <v>156</v>
      </c>
      <c r="AD19" s="53">
        <f t="shared" si="3"/>
        <v>-0.18068216300620837</v>
      </c>
      <c r="AE19" s="53">
        <f t="shared" si="4"/>
        <v>-1.6302075506000147</v>
      </c>
      <c r="AF19" s="129"/>
      <c r="AG19" s="129"/>
      <c r="AH19" s="131"/>
      <c r="AI19" s="136"/>
    </row>
    <row r="20" spans="1:46">
      <c r="L20" s="137" t="s">
        <v>123</v>
      </c>
      <c r="M20" s="138" t="s">
        <v>157</v>
      </c>
      <c r="N20" s="139">
        <v>0.41419879999999998</v>
      </c>
      <c r="O20" s="139">
        <v>0.4299057</v>
      </c>
      <c r="P20" s="139">
        <v>0.32665880000000003</v>
      </c>
      <c r="Q20" s="139">
        <v>0.37507980000000002</v>
      </c>
      <c r="R20" s="139">
        <v>0.47412140000000003</v>
      </c>
      <c r="S20" s="139" t="s">
        <v>149</v>
      </c>
      <c r="T20" s="139" t="s">
        <v>149</v>
      </c>
      <c r="U20" s="139">
        <v>0.24204629999999999</v>
      </c>
      <c r="V20" s="139">
        <v>0.4096515</v>
      </c>
      <c r="W20" s="139">
        <v>0.66692370000000001</v>
      </c>
      <c r="X20" s="140">
        <f t="shared" si="0"/>
        <v>0.59085905946884121</v>
      </c>
      <c r="Y20" s="139">
        <f t="shared" si="0"/>
        <v>0.6142404296023668</v>
      </c>
      <c r="Z20" s="139">
        <f t="shared" si="1"/>
        <v>0.7598382622049441</v>
      </c>
      <c r="AA20" s="139">
        <f t="shared" si="2"/>
        <v>0.79110497859830842</v>
      </c>
      <c r="AB20" s="140">
        <v>0.25637413252228547</v>
      </c>
      <c r="AC20" s="53" t="s">
        <v>157</v>
      </c>
      <c r="AD20" s="53">
        <f t="shared" si="3"/>
        <v>-0.27464968123786765</v>
      </c>
      <c r="AE20" s="53">
        <f t="shared" si="4"/>
        <v>-1.3611174462236524</v>
      </c>
      <c r="AF20" s="129"/>
      <c r="AG20" s="129"/>
      <c r="AH20" s="131"/>
      <c r="AI20" s="136"/>
    </row>
    <row r="21" spans="1:46">
      <c r="M21" s="141" t="s">
        <v>137</v>
      </c>
      <c r="N21" s="128">
        <f t="shared" ref="N21:AA21" si="5">+AVERAGE(N3:N20)</f>
        <v>0.38907802222222221</v>
      </c>
      <c r="O21" s="128">
        <f t="shared" si="5"/>
        <v>0.41080554444444445</v>
      </c>
      <c r="P21" s="128">
        <f t="shared" si="5"/>
        <v>0.29960577222222223</v>
      </c>
      <c r="Q21" s="128">
        <f t="shared" si="5"/>
        <v>0.38923935555555561</v>
      </c>
      <c r="R21" s="128">
        <f t="shared" si="5"/>
        <v>0.39039574999999999</v>
      </c>
      <c r="S21" s="128">
        <f t="shared" si="5"/>
        <v>0.44770904117647059</v>
      </c>
      <c r="T21" s="128">
        <f t="shared" si="5"/>
        <v>0.23455608125000002</v>
      </c>
      <c r="U21" s="128">
        <f t="shared" si="5"/>
        <v>0.23254745555555553</v>
      </c>
      <c r="V21" s="128">
        <f t="shared" si="5"/>
        <v>0.42604264444444445</v>
      </c>
      <c r="W21" s="128">
        <f t="shared" si="5"/>
        <v>0.68432716666666671</v>
      </c>
      <c r="X21" s="128">
        <f t="shared" si="5"/>
        <v>0.46803384391361585</v>
      </c>
      <c r="Y21" s="128">
        <f t="shared" si="5"/>
        <v>0.59262831321717169</v>
      </c>
      <c r="Z21" s="128">
        <f t="shared" si="5"/>
        <v>0.67237488750063568</v>
      </c>
      <c r="AA21" s="128">
        <f t="shared" si="5"/>
        <v>1.0058575433637846</v>
      </c>
      <c r="AB21" s="142">
        <v>0.39233280724862701</v>
      </c>
      <c r="AC21" s="53" t="s">
        <v>137</v>
      </c>
      <c r="AF21" s="129"/>
      <c r="AG21" s="129"/>
      <c r="AH21" s="138"/>
      <c r="AI21" s="136"/>
    </row>
    <row r="22" spans="1:46">
      <c r="A22" s="107" t="s">
        <v>179</v>
      </c>
      <c r="AG22" s="129"/>
      <c r="AH22" s="141"/>
    </row>
    <row r="24" spans="1:46">
      <c r="AS24" s="129"/>
      <c r="AT24" s="129"/>
    </row>
    <row r="25" spans="1:46">
      <c r="AS25" s="129"/>
      <c r="AT25" s="129"/>
    </row>
    <row r="26" spans="1:46">
      <c r="A26" s="165" t="s">
        <v>159</v>
      </c>
      <c r="AS26" s="129"/>
      <c r="AT26" s="129"/>
    </row>
    <row r="27" spans="1:46">
      <c r="AS27" s="129"/>
      <c r="AT27" s="129"/>
    </row>
    <row r="28" spans="1:46">
      <c r="B28" s="53" t="s">
        <v>180</v>
      </c>
      <c r="E28" s="53" t="s">
        <v>160</v>
      </c>
      <c r="AS28" s="129"/>
      <c r="AT28" s="129"/>
    </row>
    <row r="29" spans="1:46">
      <c r="A29" s="53" t="s">
        <v>138</v>
      </c>
      <c r="B29" s="53">
        <v>0.64192530026701522</v>
      </c>
      <c r="D29" s="107" t="s">
        <v>138</v>
      </c>
      <c r="E29" s="107">
        <v>0.30545300781566398</v>
      </c>
      <c r="AS29" s="129"/>
      <c r="AT29" s="129"/>
    </row>
    <row r="30" spans="1:46">
      <c r="A30" s="53" t="s">
        <v>139</v>
      </c>
      <c r="B30" s="53">
        <v>0.34918855206999377</v>
      </c>
      <c r="D30" s="107" t="s">
        <v>139</v>
      </c>
      <c r="E30" s="107">
        <v>0.54112200447189474</v>
      </c>
      <c r="AS30" s="129"/>
      <c r="AT30" s="129"/>
    </row>
    <row r="31" spans="1:46">
      <c r="A31" s="53" t="s">
        <v>140</v>
      </c>
      <c r="B31" s="53">
        <v>0.84118137279148331</v>
      </c>
      <c r="D31" s="107" t="s">
        <v>140</v>
      </c>
      <c r="E31" s="107">
        <v>0.24198566778036282</v>
      </c>
      <c r="AS31" s="129"/>
      <c r="AT31" s="129"/>
    </row>
    <row r="32" spans="1:46">
      <c r="A32" s="53" t="s">
        <v>141</v>
      </c>
      <c r="B32" s="53">
        <v>0.95164460391565708</v>
      </c>
      <c r="D32" s="107" t="s">
        <v>141</v>
      </c>
      <c r="E32" s="107">
        <v>0.15903867330054344</v>
      </c>
      <c r="AS32" s="129"/>
      <c r="AT32" s="129"/>
    </row>
    <row r="33" spans="1:46">
      <c r="A33" s="53" t="s">
        <v>142</v>
      </c>
      <c r="B33" s="53">
        <v>0.64844749982120864</v>
      </c>
      <c r="D33" s="107" t="s">
        <v>142</v>
      </c>
      <c r="E33" s="107">
        <v>0.32775224975062606</v>
      </c>
      <c r="AS33" s="129"/>
      <c r="AT33" s="129"/>
    </row>
    <row r="34" spans="1:46">
      <c r="A34" s="53" t="s">
        <v>143</v>
      </c>
      <c r="B34" s="53">
        <v>0.81732811099688785</v>
      </c>
      <c r="D34" s="107" t="s">
        <v>143</v>
      </c>
      <c r="E34" s="107">
        <v>0.32258086282098192</v>
      </c>
      <c r="AS34" s="129"/>
      <c r="AT34" s="129"/>
    </row>
    <row r="35" spans="1:46">
      <c r="A35" s="53" t="s">
        <v>144</v>
      </c>
      <c r="B35" s="53">
        <v>0.75572562098927576</v>
      </c>
      <c r="D35" s="107" t="s">
        <v>144</v>
      </c>
      <c r="E35" s="107">
        <v>0.17665467730464562</v>
      </c>
      <c r="AS35" s="129"/>
      <c r="AT35" s="129"/>
    </row>
    <row r="36" spans="1:46">
      <c r="A36" s="53" t="s">
        <v>145</v>
      </c>
      <c r="B36" s="53">
        <v>0.74919226608388811</v>
      </c>
      <c r="D36" s="107" t="s">
        <v>145</v>
      </c>
      <c r="E36" s="107">
        <v>0.37861205392521091</v>
      </c>
      <c r="AS36" s="129"/>
      <c r="AT36" s="129"/>
    </row>
    <row r="37" spans="1:46">
      <c r="A37" s="53" t="s">
        <v>155</v>
      </c>
      <c r="B37" s="53">
        <v>0.57405704973502847</v>
      </c>
      <c r="D37" s="107" t="s">
        <v>155</v>
      </c>
      <c r="E37" s="107">
        <v>0.32539511334163207</v>
      </c>
      <c r="AS37" s="129"/>
      <c r="AT37" s="129"/>
    </row>
    <row r="38" spans="1:46">
      <c r="A38" s="53" t="s">
        <v>146</v>
      </c>
      <c r="B38" s="53">
        <v>0.64005400271040924</v>
      </c>
      <c r="D38" s="107" t="s">
        <v>146</v>
      </c>
      <c r="E38" s="107">
        <v>0.48013986365182804</v>
      </c>
      <c r="AS38" s="129"/>
      <c r="AT38" s="129"/>
    </row>
    <row r="39" spans="1:46">
      <c r="A39" s="53" t="s">
        <v>147</v>
      </c>
      <c r="B39" s="53">
        <v>0.55413369889630903</v>
      </c>
      <c r="D39" s="107" t="s">
        <v>147</v>
      </c>
      <c r="E39" s="107">
        <v>0.99496102140200549</v>
      </c>
      <c r="AS39" s="129"/>
      <c r="AT39" s="129"/>
    </row>
    <row r="40" spans="1:46">
      <c r="A40" s="53" t="s">
        <v>150</v>
      </c>
      <c r="B40" s="53">
        <v>0.71448980888650004</v>
      </c>
      <c r="D40" s="107" t="s">
        <v>150</v>
      </c>
      <c r="E40" s="107">
        <v>0.10368466633642601</v>
      </c>
      <c r="AS40" s="129"/>
      <c r="AT40" s="129"/>
    </row>
    <row r="41" spans="1:46">
      <c r="A41" s="53" t="s">
        <v>151</v>
      </c>
      <c r="B41" s="53">
        <v>0.46305813021695258</v>
      </c>
      <c r="D41" s="107" t="s">
        <v>151</v>
      </c>
      <c r="E41" s="107">
        <v>0.70831628564362625</v>
      </c>
      <c r="AS41" s="129"/>
      <c r="AT41" s="129"/>
    </row>
    <row r="42" spans="1:46">
      <c r="A42" s="53" t="s">
        <v>152</v>
      </c>
      <c r="B42" s="53">
        <v>0.74549007269365863</v>
      </c>
      <c r="D42" s="107" t="s">
        <v>152</v>
      </c>
      <c r="E42" s="107">
        <v>0.29841392304054465</v>
      </c>
    </row>
    <row r="43" spans="1:46">
      <c r="A43" s="53" t="s">
        <v>153</v>
      </c>
      <c r="B43" s="53">
        <v>0.47682511521235854</v>
      </c>
      <c r="D43" s="107" t="s">
        <v>153</v>
      </c>
      <c r="E43" s="107">
        <v>0.39029663732717612</v>
      </c>
    </row>
    <row r="44" spans="1:46">
      <c r="A44" s="53" t="s">
        <v>154</v>
      </c>
      <c r="B44" s="53">
        <v>0.58546789224621554</v>
      </c>
      <c r="D44" s="107" t="s">
        <v>154</v>
      </c>
      <c r="E44" s="107">
        <v>0.70431266460095732</v>
      </c>
    </row>
    <row r="45" spans="1:46">
      <c r="A45" s="53" t="s">
        <v>156</v>
      </c>
      <c r="B45" s="53">
        <v>0.83470061527365447</v>
      </c>
      <c r="D45" s="107" t="s">
        <v>156</v>
      </c>
      <c r="E45" s="107">
        <v>0.19368070839238588</v>
      </c>
    </row>
    <row r="46" spans="1:46">
      <c r="A46" s="53" t="s">
        <v>157</v>
      </c>
      <c r="B46" s="53">
        <v>0.7598382622049441</v>
      </c>
      <c r="D46" s="107" t="s">
        <v>157</v>
      </c>
      <c r="E46" s="107">
        <v>0.25824965960434243</v>
      </c>
    </row>
    <row r="49" spans="4:5">
      <c r="D49" s="107"/>
      <c r="E49" s="107"/>
    </row>
    <row r="60" spans="4:5">
      <c r="D60" s="107"/>
      <c r="E60" s="107"/>
    </row>
  </sheetData>
  <conditionalFormatting sqref="N3:AB20">
    <cfRule type="expression" dxfId="4" priority="1">
      <formula>ISNA(N3)</formula>
    </cfRule>
  </conditionalFormatting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AD72"/>
  <sheetViews>
    <sheetView showGridLines="0" topLeftCell="A28" zoomScale="80" zoomScaleNormal="80" workbookViewId="0">
      <selection activeCell="E62" activeCellId="1" sqref="E51:E60 E62:E69"/>
    </sheetView>
  </sheetViews>
  <sheetFormatPr defaultColWidth="9.1796875" defaultRowHeight="13"/>
  <cols>
    <col min="1" max="3" width="9.1796875" style="107"/>
    <col min="4" max="4" width="16" style="107" customWidth="1"/>
    <col min="5" max="5" width="9.1796875" style="107"/>
    <col min="6" max="6" width="11.26953125" style="107" customWidth="1"/>
    <col min="7" max="7" width="6.453125" style="107" bestFit="1" customWidth="1"/>
    <col min="8" max="8" width="9.1796875" style="107"/>
    <col min="9" max="9" width="12.81640625" style="107" customWidth="1"/>
    <col min="10" max="10" width="12.7265625" style="107" customWidth="1"/>
    <col min="11" max="11" width="12.81640625" style="107" customWidth="1"/>
    <col min="12" max="12" width="17.54296875" style="107" customWidth="1"/>
    <col min="13" max="13" width="21.26953125" style="107" customWidth="1"/>
    <col min="14" max="16384" width="9.1796875" style="107"/>
  </cols>
  <sheetData>
    <row r="1" spans="1:24">
      <c r="A1" s="125" t="s">
        <v>181</v>
      </c>
      <c r="W1" s="120"/>
      <c r="X1" s="120"/>
    </row>
    <row r="2" spans="1:24">
      <c r="W2" s="120"/>
      <c r="X2" s="120"/>
    </row>
    <row r="3" spans="1:24">
      <c r="W3" s="120"/>
      <c r="X3" s="120"/>
    </row>
    <row r="4" spans="1:24">
      <c r="W4" s="120"/>
      <c r="X4" s="120"/>
    </row>
    <row r="22" spans="1:14">
      <c r="C22" s="122" t="s">
        <v>182</v>
      </c>
    </row>
    <row r="23" spans="1:14">
      <c r="C23" s="122" t="s">
        <v>183</v>
      </c>
    </row>
    <row r="24" spans="1:14" ht="39">
      <c r="B24" s="143"/>
      <c r="C24" s="144" t="s">
        <v>130</v>
      </c>
      <c r="D24" s="144" t="s">
        <v>131</v>
      </c>
      <c r="E24" s="144" t="s">
        <v>132</v>
      </c>
      <c r="F24" s="144" t="s">
        <v>184</v>
      </c>
      <c r="G24" s="144" t="s">
        <v>134</v>
      </c>
      <c r="H24" s="145" t="s">
        <v>135</v>
      </c>
      <c r="I24" s="145" t="s">
        <v>136</v>
      </c>
      <c r="J24" s="144" t="s">
        <v>185</v>
      </c>
      <c r="K24" s="144" t="s">
        <v>186</v>
      </c>
      <c r="L24" s="144" t="s">
        <v>187</v>
      </c>
      <c r="M24" s="144" t="s">
        <v>188</v>
      </c>
      <c r="N24" s="146"/>
    </row>
    <row r="25" spans="1:14">
      <c r="A25" s="147" t="s">
        <v>150</v>
      </c>
      <c r="B25" s="107" t="s">
        <v>150</v>
      </c>
      <c r="C25" s="120">
        <v>7.8364131658597097E-2</v>
      </c>
      <c r="D25" s="120">
        <v>1.6599431938098375E-2</v>
      </c>
      <c r="E25" s="120">
        <v>8.2717694528519192E-3</v>
      </c>
      <c r="F25" s="120">
        <v>6.3126661613869921E-3</v>
      </c>
      <c r="G25" s="120">
        <v>3.1183867552337288E-2</v>
      </c>
      <c r="H25" s="148">
        <v>0.10954799921093442</v>
      </c>
      <c r="I25" s="149">
        <v>0.3061585</v>
      </c>
      <c r="J25" s="120">
        <f t="shared" ref="J25:J36" si="0">+C25/H25</f>
        <v>0.71534060159060642</v>
      </c>
      <c r="K25" s="150">
        <v>0.71038505986065414</v>
      </c>
      <c r="L25" s="120">
        <v>0.83078401757517506</v>
      </c>
      <c r="M25" s="120">
        <v>0.38127145407112456</v>
      </c>
    </row>
    <row r="26" spans="1:14">
      <c r="A26" s="147" t="s">
        <v>141</v>
      </c>
      <c r="B26" s="107" t="s">
        <v>141</v>
      </c>
      <c r="C26" s="120">
        <v>0.13389723568086614</v>
      </c>
      <c r="D26" s="120">
        <v>6.1726625648879287E-3</v>
      </c>
      <c r="E26" s="120">
        <v>1.3389723568086613E-2</v>
      </c>
      <c r="F26" s="120">
        <v>5.5790514867027534E-3</v>
      </c>
      <c r="G26" s="120">
        <v>2.5141437619677295E-2</v>
      </c>
      <c r="H26" s="148">
        <v>0.15903867330054344</v>
      </c>
      <c r="I26" s="111">
        <v>0.69678680000000004</v>
      </c>
      <c r="J26" s="120">
        <f t="shared" si="0"/>
        <v>0.84191620127409983</v>
      </c>
      <c r="K26" s="150">
        <v>0.79902851995094115</v>
      </c>
      <c r="L26" s="120"/>
      <c r="M26" s="120"/>
    </row>
    <row r="27" spans="1:14">
      <c r="A27" s="147" t="s">
        <v>144</v>
      </c>
      <c r="B27" s="107" t="s">
        <v>144</v>
      </c>
      <c r="C27" s="120">
        <v>0.13100000403347786</v>
      </c>
      <c r="D27" s="120">
        <v>1.7214753267481182E-2</v>
      </c>
      <c r="E27" s="120">
        <v>1.0407222542659628E-2</v>
      </c>
      <c r="F27" s="120">
        <v>1.7466667204463715E-2</v>
      </c>
      <c r="G27" s="120">
        <v>4.5088643014604524E-2</v>
      </c>
      <c r="H27" s="148">
        <v>0.17608864704808239</v>
      </c>
      <c r="I27" s="111">
        <v>0.34299489999999999</v>
      </c>
      <c r="J27" s="120">
        <f t="shared" si="0"/>
        <v>0.74394349794570958</v>
      </c>
      <c r="K27" s="150">
        <v>0.55507115967985543</v>
      </c>
      <c r="L27" s="120"/>
      <c r="M27" s="120"/>
    </row>
    <row r="28" spans="1:14">
      <c r="A28" s="147" t="s">
        <v>156</v>
      </c>
      <c r="B28" s="107" t="s">
        <v>138</v>
      </c>
      <c r="C28" s="120">
        <v>0.20066911840766705</v>
      </c>
      <c r="D28" s="120">
        <v>5.0051256024675285E-2</v>
      </c>
      <c r="E28" s="120">
        <v>2.3411397147561065E-2</v>
      </c>
      <c r="F28" s="120">
        <v>2.4526225583159301E-2</v>
      </c>
      <c r="G28" s="120">
        <v>9.798887875539565E-2</v>
      </c>
      <c r="H28" s="148">
        <v>0.29865799716306268</v>
      </c>
      <c r="I28" s="111">
        <v>0.51251100000000005</v>
      </c>
      <c r="J28" s="120">
        <f t="shared" si="0"/>
        <v>0.67190271251335276</v>
      </c>
      <c r="K28" s="150">
        <v>0.777413700262365</v>
      </c>
      <c r="L28" s="120">
        <v>0.76804441702652682</v>
      </c>
      <c r="M28" s="120">
        <v>0.28624305983960519</v>
      </c>
    </row>
    <row r="29" spans="1:14">
      <c r="A29" s="147" t="s">
        <v>140</v>
      </c>
      <c r="B29" s="107" t="s">
        <v>156</v>
      </c>
      <c r="C29" s="120">
        <v>0.13484123657633859</v>
      </c>
      <c r="D29" s="120">
        <v>2.8521730728324281E-2</v>
      </c>
      <c r="E29" s="120">
        <v>1.3423437226356333E-2</v>
      </c>
      <c r="F29" s="120">
        <v>1.9102508514981305E-2</v>
      </c>
      <c r="G29" s="120">
        <v>6.1047676469661923E-2</v>
      </c>
      <c r="H29" s="148">
        <v>0.19588891304600051</v>
      </c>
      <c r="I29" s="111">
        <v>0.75771619999999995</v>
      </c>
      <c r="J29" s="120">
        <f t="shared" si="0"/>
        <v>0.68835563217747742</v>
      </c>
      <c r="K29" s="150">
        <v>0.74278747503045539</v>
      </c>
      <c r="L29" s="120"/>
      <c r="M29" s="120"/>
    </row>
    <row r="30" spans="1:14">
      <c r="A30" s="120" t="s">
        <v>157</v>
      </c>
      <c r="B30" s="107" t="s">
        <v>140</v>
      </c>
      <c r="C30" s="120">
        <v>0.15211542943894693</v>
      </c>
      <c r="D30" s="120">
        <v>5.0070932556065338E-2</v>
      </c>
      <c r="E30" s="120">
        <v>8.4170537622883946E-3</v>
      </c>
      <c r="F30" s="120">
        <v>2.9578000168684126E-2</v>
      </c>
      <c r="G30" s="120">
        <v>8.8065986487037853E-2</v>
      </c>
      <c r="H30" s="148">
        <v>0.2401814159259848</v>
      </c>
      <c r="I30" s="111">
        <v>0.62225169999999996</v>
      </c>
      <c r="J30" s="120">
        <f t="shared" si="0"/>
        <v>0.63333555118112628</v>
      </c>
      <c r="K30" s="150">
        <v>0.70642204689403187</v>
      </c>
      <c r="L30" s="120">
        <v>0.8335622710622711</v>
      </c>
      <c r="M30" s="120">
        <v>0.5315934065934067</v>
      </c>
    </row>
    <row r="31" spans="1:14">
      <c r="A31" s="120" t="s">
        <v>138</v>
      </c>
      <c r="B31" s="107" t="s">
        <v>142</v>
      </c>
      <c r="C31" s="120">
        <v>0.21151491773063891</v>
      </c>
      <c r="D31" s="120">
        <v>6.0537508341254723E-2</v>
      </c>
      <c r="E31" s="120">
        <v>1.3807223796305595E-2</v>
      </c>
      <c r="F31" s="120">
        <v>2.6439364716329856E-2</v>
      </c>
      <c r="G31" s="120">
        <v>0.10078409685389017</v>
      </c>
      <c r="H31" s="148">
        <v>0.31229901458452908</v>
      </c>
      <c r="I31" s="111">
        <v>0.33228530000000001</v>
      </c>
      <c r="J31" s="120">
        <f t="shared" si="0"/>
        <v>0.67728333376917771</v>
      </c>
      <c r="K31" s="150">
        <v>0.45916516784767591</v>
      </c>
      <c r="L31" s="120">
        <v>0.59365298378751286</v>
      </c>
      <c r="M31" s="120">
        <v>0.38375301828216629</v>
      </c>
    </row>
    <row r="32" spans="1:14">
      <c r="A32" s="120" t="s">
        <v>142</v>
      </c>
      <c r="B32" s="107" t="s">
        <v>152</v>
      </c>
      <c r="C32" s="120">
        <v>0.21750078876419179</v>
      </c>
      <c r="D32" s="120">
        <v>4.4484439447324983E-2</v>
      </c>
      <c r="E32" s="120">
        <v>1.4379218812743795E-2</v>
      </c>
      <c r="F32" s="120">
        <v>3.625013146069863E-2</v>
      </c>
      <c r="G32" s="120">
        <v>9.5113789720767408E-2</v>
      </c>
      <c r="H32" s="148">
        <v>0.31261457848495922</v>
      </c>
      <c r="I32" s="111">
        <v>0.55873249999999997</v>
      </c>
      <c r="J32" s="120">
        <f t="shared" si="0"/>
        <v>0.69574742744972906</v>
      </c>
      <c r="K32" s="150">
        <v>0.70631908201684401</v>
      </c>
      <c r="L32" s="120"/>
      <c r="M32" s="120"/>
    </row>
    <row r="33" spans="1:30">
      <c r="A33" s="120" t="s">
        <v>152</v>
      </c>
      <c r="B33" s="107" t="s">
        <v>155</v>
      </c>
      <c r="C33" s="120">
        <v>0.24361401597427762</v>
      </c>
      <c r="D33" s="120">
        <v>2.6242784631615699E-2</v>
      </c>
      <c r="E33" s="120">
        <v>2.0448980634147077E-2</v>
      </c>
      <c r="F33" s="120">
        <v>2.6391518397213404E-2</v>
      </c>
      <c r="G33" s="120">
        <v>7.3083283662976173E-2</v>
      </c>
      <c r="H33" s="148">
        <v>0.31669729963725379</v>
      </c>
      <c r="I33" s="111">
        <v>0.29086020000000001</v>
      </c>
      <c r="J33" s="120">
        <f t="shared" si="0"/>
        <v>0.76923300657540805</v>
      </c>
      <c r="K33" s="150">
        <v>0.60057151185394553</v>
      </c>
      <c r="L33" s="120"/>
      <c r="M33" s="120"/>
    </row>
    <row r="34" spans="1:30">
      <c r="A34" s="120" t="s">
        <v>155</v>
      </c>
      <c r="B34" s="107" t="s">
        <v>143</v>
      </c>
      <c r="C34" s="120">
        <v>0.22849865442993469</v>
      </c>
      <c r="D34" s="120">
        <v>6.4781272686340069E-2</v>
      </c>
      <c r="E34" s="120">
        <v>1.728973151853172E-2</v>
      </c>
      <c r="F34" s="120">
        <v>2.7927613319214235E-2</v>
      </c>
      <c r="G34" s="120">
        <v>0.10999861752408602</v>
      </c>
      <c r="H34" s="148">
        <v>0.33849727195402068</v>
      </c>
      <c r="I34" s="111">
        <v>0.71742479999999997</v>
      </c>
      <c r="J34" s="120">
        <f t="shared" si="0"/>
        <v>0.67503839280859113</v>
      </c>
      <c r="K34" s="150">
        <v>0.76846602219250515</v>
      </c>
      <c r="L34" s="120"/>
      <c r="M34" s="120"/>
    </row>
    <row r="35" spans="1:30">
      <c r="A35" s="120" t="s">
        <v>143</v>
      </c>
      <c r="B35" s="107" t="s">
        <v>145</v>
      </c>
      <c r="C35" s="120">
        <v>0.27263946453272364</v>
      </c>
      <c r="D35" s="120">
        <v>3.4497976804878157E-2</v>
      </c>
      <c r="E35" s="120">
        <v>2.2719955377726968E-2</v>
      </c>
      <c r="F35" s="120">
        <v>4.8119408267154759E-2</v>
      </c>
      <c r="G35" s="120">
        <v>0.10533734044975988</v>
      </c>
      <c r="H35" s="148">
        <v>0.37797680498248354</v>
      </c>
      <c r="I35" s="111">
        <v>0.3165615</v>
      </c>
      <c r="J35" s="120">
        <f t="shared" si="0"/>
        <v>0.72131268622517319</v>
      </c>
      <c r="K35" s="150">
        <v>0.59894356904174773</v>
      </c>
      <c r="L35" s="120">
        <v>0.7239263803680982</v>
      </c>
      <c r="M35" s="120">
        <v>0.17641544806899137</v>
      </c>
    </row>
    <row r="36" spans="1:30">
      <c r="A36" s="120" t="s">
        <v>145</v>
      </c>
      <c r="B36" s="107" t="s">
        <v>153</v>
      </c>
      <c r="C36" s="120">
        <v>0.26968621833313833</v>
      </c>
      <c r="D36" s="120">
        <v>3.0299246629728088E-2</v>
      </c>
      <c r="E36" s="120">
        <v>3.3711325162250311E-2</v>
      </c>
      <c r="F36" s="120">
        <v>6.7421554583284568E-2</v>
      </c>
      <c r="G36" s="120">
        <v>0.13143212637526297</v>
      </c>
      <c r="H36" s="148">
        <v>0.4011183447084013</v>
      </c>
      <c r="I36" s="111">
        <v>0.20534830000000001</v>
      </c>
      <c r="J36" s="120">
        <f t="shared" si="0"/>
        <v>0.67233578790616166</v>
      </c>
      <c r="K36" s="150">
        <v>0.50455238859245144</v>
      </c>
      <c r="L36" s="120">
        <v>0.71878515185601799</v>
      </c>
      <c r="M36" s="120">
        <v>0.24543557642149189</v>
      </c>
    </row>
    <row r="37" spans="1:30">
      <c r="A37" s="120" t="s">
        <v>153</v>
      </c>
      <c r="B37" s="107" t="s">
        <v>137</v>
      </c>
      <c r="C37" s="120">
        <v>0.28758560147515483</v>
      </c>
      <c r="D37" s="120">
        <v>4.4149477791418999E-2</v>
      </c>
      <c r="E37" s="120">
        <v>2.4805991406819484E-2</v>
      </c>
      <c r="F37" s="120">
        <v>4.661444650596807E-2</v>
      </c>
      <c r="G37" s="120">
        <v>0.11556991570420654</v>
      </c>
      <c r="H37" s="148">
        <v>0.40315551717936138</v>
      </c>
      <c r="I37" s="111"/>
      <c r="J37" s="120"/>
      <c r="K37" s="150"/>
      <c r="L37" s="120"/>
      <c r="M37" s="120"/>
    </row>
    <row r="38" spans="1:30">
      <c r="A38" s="120" t="s">
        <v>137</v>
      </c>
      <c r="B38" s="107" t="s">
        <v>148</v>
      </c>
      <c r="C38" s="120">
        <v>0.39692666705398527</v>
      </c>
      <c r="D38" s="120">
        <v>4.4653229307862891E-2</v>
      </c>
      <c r="E38" s="120">
        <v>2.1610451872939199E-2</v>
      </c>
      <c r="F38" s="120">
        <v>1.5436037052099429E-2</v>
      </c>
      <c r="G38" s="120">
        <v>8.1699718232901508E-2</v>
      </c>
      <c r="H38" s="148">
        <v>0.47862638528688678</v>
      </c>
      <c r="I38" s="149" t="s">
        <v>149</v>
      </c>
      <c r="J38" s="120"/>
      <c r="K38" s="150">
        <v>0.60819001881511336</v>
      </c>
      <c r="L38" s="120"/>
      <c r="M38" s="120"/>
    </row>
    <row r="39" spans="1:30">
      <c r="A39" s="120" t="s">
        <v>148</v>
      </c>
      <c r="B39" s="107" t="s">
        <v>146</v>
      </c>
      <c r="C39" s="120">
        <v>0.34315517672834528</v>
      </c>
      <c r="D39" s="120">
        <v>3.4514311510763583E-2</v>
      </c>
      <c r="E39" s="120">
        <v>2.8596264727362115E-2</v>
      </c>
      <c r="F39" s="120">
        <v>0.10233708393462597</v>
      </c>
      <c r="G39" s="120">
        <v>0.16544766017275167</v>
      </c>
      <c r="H39" s="148">
        <v>0.50860283690109698</v>
      </c>
      <c r="I39" s="111">
        <v>0.19339010000000001</v>
      </c>
      <c r="J39" s="120">
        <f t="shared" ref="J39:J44" si="1">+C39/H39</f>
        <v>0.67470165683538119</v>
      </c>
      <c r="K39" s="150">
        <v>0.60239212749779025</v>
      </c>
      <c r="L39" s="120"/>
      <c r="M39" s="120"/>
    </row>
    <row r="40" spans="1:30">
      <c r="A40" s="120" t="s">
        <v>146</v>
      </c>
      <c r="B40" s="107" t="s">
        <v>139</v>
      </c>
      <c r="C40" s="120">
        <v>0.3553804420819659</v>
      </c>
      <c r="D40" s="120">
        <v>6.9281417183879257E-2</v>
      </c>
      <c r="E40" s="120">
        <v>4.738405894426212E-2</v>
      </c>
      <c r="F40" s="120">
        <v>7.8973431573770181E-2</v>
      </c>
      <c r="G40" s="120">
        <v>0.19563890770191156</v>
      </c>
      <c r="H40" s="148">
        <v>0.55101934978387745</v>
      </c>
      <c r="I40" s="111">
        <v>0.18819530000000001</v>
      </c>
      <c r="J40" s="120">
        <f t="shared" si="1"/>
        <v>0.64495092998341041</v>
      </c>
      <c r="K40" s="150">
        <v>0.41825527216165093</v>
      </c>
      <c r="L40" s="120"/>
      <c r="M40" s="120"/>
      <c r="AB40" s="120"/>
      <c r="AC40" s="120"/>
      <c r="AD40" s="120"/>
    </row>
    <row r="41" spans="1:30">
      <c r="A41" s="120" t="s">
        <v>139</v>
      </c>
      <c r="B41" s="107" t="s">
        <v>157</v>
      </c>
      <c r="C41" s="151">
        <v>0.18755270820569553</v>
      </c>
      <c r="D41" s="151">
        <v>2.7664024460340098E-2</v>
      </c>
      <c r="E41" s="151">
        <v>1.5629392350474631E-2</v>
      </c>
      <c r="F41" s="151">
        <v>2.5528007505775222E-2</v>
      </c>
      <c r="G41" s="151">
        <v>6.8821424316589941E-2</v>
      </c>
      <c r="H41" s="152">
        <v>0.25637413252228547</v>
      </c>
      <c r="I41" s="153">
        <v>0.41419879999999998</v>
      </c>
      <c r="J41" s="151">
        <f t="shared" si="1"/>
        <v>0.73155862629546842</v>
      </c>
      <c r="K41" s="154">
        <v>0.6041601406031617</v>
      </c>
      <c r="L41" s="151">
        <v>0.60989754494490622</v>
      </c>
      <c r="M41" s="151">
        <v>0.32051034216122165</v>
      </c>
      <c r="AB41" s="120"/>
      <c r="AC41" s="120"/>
      <c r="AD41" s="120"/>
    </row>
    <row r="42" spans="1:30">
      <c r="A42" s="120" t="s">
        <v>154</v>
      </c>
      <c r="B42" s="107" t="s">
        <v>154</v>
      </c>
      <c r="C42" s="120">
        <v>0.52296581302102851</v>
      </c>
      <c r="D42" s="120">
        <v>7.3651018667128171E-2</v>
      </c>
      <c r="E42" s="120">
        <v>3.4864387534735239E-2</v>
      </c>
      <c r="F42" s="120">
        <v>6.1012678185786651E-2</v>
      </c>
      <c r="G42" s="120">
        <v>0.16952808438765005</v>
      </c>
      <c r="H42" s="148">
        <v>0.6924938974086785</v>
      </c>
      <c r="I42" s="111">
        <v>0.20302629999999999</v>
      </c>
      <c r="J42" s="120">
        <f t="shared" si="1"/>
        <v>0.75519194461925754</v>
      </c>
      <c r="K42" s="150">
        <v>0.57569183785482436</v>
      </c>
      <c r="L42" s="120">
        <v>0.81464576304822389</v>
      </c>
      <c r="M42" s="120">
        <v>0.10048939641109299</v>
      </c>
      <c r="AB42" s="120"/>
      <c r="AC42" s="120"/>
      <c r="AD42" s="120"/>
    </row>
    <row r="43" spans="1:30">
      <c r="A43" s="120" t="s">
        <v>151</v>
      </c>
      <c r="B43" s="107" t="s">
        <v>151</v>
      </c>
      <c r="C43" s="151">
        <v>0.49955998021104953</v>
      </c>
      <c r="D43" s="151">
        <v>8.9920796437988906E-2</v>
      </c>
      <c r="E43" s="151">
        <v>4.0242331739223439E-2</v>
      </c>
      <c r="F43" s="151">
        <v>8.325999670184156E-2</v>
      </c>
      <c r="G43" s="151">
        <v>0.2134231248790539</v>
      </c>
      <c r="H43" s="152">
        <v>0.71298310509010343</v>
      </c>
      <c r="I43" s="155">
        <v>0.1856611</v>
      </c>
      <c r="J43" s="151">
        <f t="shared" si="1"/>
        <v>0.70066173608407945</v>
      </c>
      <c r="K43" s="154">
        <v>0.4380734050324116</v>
      </c>
      <c r="L43" s="151"/>
      <c r="M43" s="151"/>
      <c r="AB43" s="120"/>
      <c r="AC43" s="120"/>
      <c r="AD43" s="120"/>
    </row>
    <row r="44" spans="1:30">
      <c r="A44" s="120" t="s">
        <v>147</v>
      </c>
      <c r="B44" s="115" t="s">
        <v>147</v>
      </c>
      <c r="C44" s="156">
        <v>0.72716323590587983</v>
      </c>
      <c r="D44" s="156">
        <v>5.4145280986952496E-2</v>
      </c>
      <c r="E44" s="156">
        <v>7.2716323590587967E-2</v>
      </c>
      <c r="F44" s="156">
        <v>0.1615918302013066</v>
      </c>
      <c r="G44" s="156">
        <v>0.28845343477884711</v>
      </c>
      <c r="H44" s="157">
        <v>1.0156166706847269</v>
      </c>
      <c r="I44" s="158">
        <v>0.1593011</v>
      </c>
      <c r="J44" s="156">
        <f t="shared" si="1"/>
        <v>0.71598198109098354</v>
      </c>
      <c r="K44" s="159">
        <v>0.46089902219994955</v>
      </c>
      <c r="L44" s="156"/>
      <c r="M44" s="156"/>
      <c r="AB44" s="120"/>
      <c r="AC44" s="120"/>
      <c r="AD44" s="120"/>
    </row>
    <row r="45" spans="1:30">
      <c r="H45" s="123">
        <f>+AVERAGE(H25:H44)</f>
        <v>0.39287394274516363</v>
      </c>
      <c r="I45" s="160">
        <f>1-AVERAGE(I25:I36,I39:I44)</f>
        <v>0.61092197777777768</v>
      </c>
      <c r="J45" s="123">
        <f>+AVERAGE(J25:J44)</f>
        <v>0.70715509479584415</v>
      </c>
      <c r="K45" s="123"/>
      <c r="O45" s="131"/>
      <c r="R45" s="161"/>
      <c r="AB45" s="120"/>
      <c r="AC45" s="120"/>
      <c r="AD45" s="120"/>
    </row>
    <row r="46" spans="1:30">
      <c r="A46" s="162"/>
      <c r="B46" s="163"/>
      <c r="C46" s="147"/>
      <c r="D46" s="120"/>
      <c r="E46" s="120"/>
      <c r="F46" s="120"/>
      <c r="G46" s="120"/>
      <c r="H46" s="120"/>
      <c r="O46" s="131"/>
      <c r="R46" s="161"/>
      <c r="AB46" s="120"/>
      <c r="AC46" s="120"/>
      <c r="AD46" s="120"/>
    </row>
    <row r="47" spans="1:30">
      <c r="B47" s="147"/>
      <c r="C47" s="147"/>
      <c r="D47" s="120"/>
      <c r="E47" s="120"/>
      <c r="F47" s="120"/>
      <c r="G47" s="120"/>
      <c r="H47" s="120"/>
    </row>
    <row r="48" spans="1:30">
      <c r="B48" s="147"/>
      <c r="C48" s="147"/>
      <c r="D48" s="120"/>
      <c r="E48" s="120"/>
      <c r="F48" s="120"/>
      <c r="G48" s="120"/>
      <c r="H48" s="120"/>
    </row>
    <row r="49" spans="1:8">
      <c r="B49" s="147"/>
      <c r="C49" s="147"/>
      <c r="D49" s="120"/>
      <c r="E49" s="120"/>
      <c r="F49" s="120"/>
      <c r="G49" s="120"/>
      <c r="H49" s="120"/>
    </row>
    <row r="50" spans="1:8">
      <c r="B50" s="120" t="s">
        <v>188</v>
      </c>
      <c r="C50" s="120"/>
      <c r="D50" s="120"/>
      <c r="E50" s="120" t="s">
        <v>189</v>
      </c>
      <c r="F50" s="120"/>
      <c r="G50" s="120"/>
      <c r="H50" s="120"/>
    </row>
    <row r="51" spans="1:8">
      <c r="A51" s="107" t="s">
        <v>138</v>
      </c>
      <c r="B51" s="120">
        <v>0.28624305983960519</v>
      </c>
      <c r="C51" s="147"/>
      <c r="D51" s="107" t="s">
        <v>138</v>
      </c>
      <c r="E51" s="107">
        <v>0.30545300781566398</v>
      </c>
      <c r="F51" s="120"/>
      <c r="G51" s="120"/>
      <c r="H51" s="120"/>
    </row>
    <row r="52" spans="1:8">
      <c r="A52" s="107" t="s">
        <v>139</v>
      </c>
      <c r="B52" s="120"/>
      <c r="C52" s="147"/>
      <c r="D52" s="107" t="s">
        <v>139</v>
      </c>
      <c r="E52" s="107">
        <v>0.54112200447189474</v>
      </c>
      <c r="F52" s="120"/>
      <c r="G52" s="120"/>
      <c r="H52" s="120"/>
    </row>
    <row r="53" spans="1:8">
      <c r="A53" s="107" t="s">
        <v>140</v>
      </c>
      <c r="B53" s="120">
        <v>0.5315934065934067</v>
      </c>
      <c r="C53" s="120"/>
      <c r="D53" s="107" t="s">
        <v>140</v>
      </c>
      <c r="E53" s="107">
        <v>0.24198566778036282</v>
      </c>
      <c r="F53" s="120"/>
      <c r="G53" s="120"/>
      <c r="H53" s="120"/>
    </row>
    <row r="54" spans="1:8">
      <c r="A54" s="107" t="s">
        <v>141</v>
      </c>
      <c r="B54" s="147"/>
      <c r="C54" s="120"/>
      <c r="D54" s="107" t="s">
        <v>141</v>
      </c>
      <c r="E54" s="107">
        <v>0.15903867330054344</v>
      </c>
      <c r="F54" s="120"/>
      <c r="G54" s="120"/>
      <c r="H54" s="120"/>
    </row>
    <row r="55" spans="1:8">
      <c r="A55" s="107" t="s">
        <v>142</v>
      </c>
      <c r="B55" s="120">
        <v>0.38375301828216629</v>
      </c>
      <c r="C55" s="120"/>
      <c r="D55" s="107" t="s">
        <v>142</v>
      </c>
      <c r="E55" s="107">
        <v>0.32775224975062606</v>
      </c>
      <c r="F55" s="120"/>
      <c r="G55" s="120"/>
      <c r="H55" s="120"/>
    </row>
    <row r="56" spans="1:8">
      <c r="A56" s="107" t="s">
        <v>143</v>
      </c>
      <c r="B56" s="120"/>
      <c r="C56" s="120"/>
      <c r="D56" s="107" t="s">
        <v>143</v>
      </c>
      <c r="E56" s="107">
        <v>0.32258086282098192</v>
      </c>
      <c r="F56" s="120"/>
      <c r="G56" s="120"/>
      <c r="H56" s="120"/>
    </row>
    <row r="57" spans="1:8">
      <c r="A57" s="107" t="s">
        <v>144</v>
      </c>
      <c r="B57" s="147"/>
      <c r="C57" s="120"/>
      <c r="D57" s="107" t="s">
        <v>144</v>
      </c>
      <c r="E57" s="107">
        <v>0.17665467730464562</v>
      </c>
      <c r="F57" s="120"/>
      <c r="G57" s="120"/>
      <c r="H57" s="120"/>
    </row>
    <row r="58" spans="1:8">
      <c r="A58" s="107" t="s">
        <v>145</v>
      </c>
      <c r="B58" s="120">
        <v>0.17641544806899137</v>
      </c>
      <c r="C58" s="120"/>
      <c r="D58" s="107" t="s">
        <v>145</v>
      </c>
      <c r="E58" s="107">
        <v>0.37861205392521091</v>
      </c>
      <c r="F58" s="120"/>
      <c r="G58" s="120"/>
      <c r="H58" s="120"/>
    </row>
    <row r="59" spans="1:8">
      <c r="A59" s="107" t="s">
        <v>146</v>
      </c>
      <c r="B59" s="120"/>
      <c r="C59" s="120"/>
      <c r="D59" s="107" t="s">
        <v>146</v>
      </c>
      <c r="E59" s="107">
        <v>0.48013986365182804</v>
      </c>
      <c r="F59" s="120"/>
      <c r="G59" s="120"/>
      <c r="H59" s="120"/>
    </row>
    <row r="60" spans="1:8">
      <c r="A60" s="107" t="s">
        <v>147</v>
      </c>
      <c r="C60" s="120"/>
      <c r="D60" s="107" t="s">
        <v>147</v>
      </c>
      <c r="E60" s="107">
        <v>0.99496102140200549</v>
      </c>
      <c r="F60" s="120"/>
      <c r="G60" s="120"/>
      <c r="H60" s="120"/>
    </row>
    <row r="61" spans="1:8">
      <c r="A61" s="107" t="s">
        <v>148</v>
      </c>
      <c r="B61" s="120"/>
      <c r="C61" s="120"/>
      <c r="D61" s="107" t="s">
        <v>115</v>
      </c>
      <c r="F61" s="120"/>
      <c r="G61" s="120"/>
      <c r="H61" s="120"/>
    </row>
    <row r="62" spans="1:8">
      <c r="A62" s="107" t="s">
        <v>150</v>
      </c>
      <c r="B62" s="120">
        <v>0.38127145407112456</v>
      </c>
      <c r="C62" s="120"/>
      <c r="D62" s="107" t="s">
        <v>150</v>
      </c>
      <c r="E62" s="107">
        <v>0.10368466633642601</v>
      </c>
      <c r="F62" s="120"/>
      <c r="G62" s="120"/>
      <c r="H62" s="120"/>
    </row>
    <row r="63" spans="1:8">
      <c r="A63" s="107" t="s">
        <v>151</v>
      </c>
      <c r="C63" s="120"/>
      <c r="D63" s="107" t="s">
        <v>151</v>
      </c>
      <c r="E63" s="107">
        <v>0.70831628564362625</v>
      </c>
      <c r="F63" s="120"/>
      <c r="G63" s="120"/>
      <c r="H63" s="120"/>
    </row>
    <row r="64" spans="1:8">
      <c r="A64" s="107" t="s">
        <v>152</v>
      </c>
      <c r="B64" s="120"/>
      <c r="C64" s="120"/>
      <c r="D64" s="107" t="s">
        <v>152</v>
      </c>
      <c r="E64" s="107">
        <v>0.29841392304054465</v>
      </c>
      <c r="F64" s="120"/>
      <c r="G64" s="120"/>
      <c r="H64" s="120"/>
    </row>
    <row r="65" spans="1:8">
      <c r="A65" s="107" t="s">
        <v>153</v>
      </c>
      <c r="B65" s="120">
        <v>0.24543557642149189</v>
      </c>
      <c r="C65" s="120"/>
      <c r="D65" s="107" t="s">
        <v>153</v>
      </c>
      <c r="E65" s="107">
        <v>0.39029663732717612</v>
      </c>
      <c r="F65" s="120"/>
      <c r="G65" s="120"/>
      <c r="H65" s="120"/>
    </row>
    <row r="66" spans="1:8">
      <c r="A66" s="115" t="s">
        <v>154</v>
      </c>
      <c r="B66" s="166">
        <v>0.10048939641109299</v>
      </c>
      <c r="C66" s="120"/>
      <c r="D66" s="107" t="s">
        <v>154</v>
      </c>
      <c r="E66" s="107">
        <v>0.70431266460095732</v>
      </c>
      <c r="F66" s="120"/>
      <c r="G66" s="120"/>
      <c r="H66" s="120"/>
    </row>
    <row r="67" spans="1:8">
      <c r="A67" s="107" t="s">
        <v>155</v>
      </c>
      <c r="B67" s="120"/>
      <c r="D67" s="107" t="s">
        <v>155</v>
      </c>
      <c r="E67" s="107">
        <v>0.32539511334163207</v>
      </c>
    </row>
    <row r="68" spans="1:8">
      <c r="A68" s="107" t="s">
        <v>156</v>
      </c>
      <c r="B68" s="120"/>
      <c r="D68" s="107" t="s">
        <v>156</v>
      </c>
      <c r="E68" s="107">
        <v>0.19368070839238588</v>
      </c>
    </row>
    <row r="69" spans="1:8">
      <c r="A69" s="107" t="s">
        <v>157</v>
      </c>
      <c r="B69" s="120">
        <v>0.32051034216122165</v>
      </c>
      <c r="D69" s="107" t="s">
        <v>157</v>
      </c>
      <c r="E69" s="107">
        <v>0.25824965960434243</v>
      </c>
    </row>
    <row r="72" spans="1:8">
      <c r="D72" s="53"/>
      <c r="E72" s="53"/>
    </row>
  </sheetData>
  <sortState xmlns:xlrd2="http://schemas.microsoft.com/office/spreadsheetml/2017/richdata2" ref="A50:B69">
    <sortCondition ref="A50"/>
  </sortState>
  <conditionalFormatting sqref="R45:R46">
    <cfRule type="expression" dxfId="3" priority="1">
      <formula>ISNA(R45)</formula>
    </cfRule>
  </conditionalFormatting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AG52"/>
  <sheetViews>
    <sheetView showGridLines="0" zoomScale="80" zoomScaleNormal="80" workbookViewId="0">
      <selection activeCell="U34" sqref="U34"/>
    </sheetView>
  </sheetViews>
  <sheetFormatPr defaultColWidth="9.1796875" defaultRowHeight="13"/>
  <cols>
    <col min="1" max="2" width="14.453125" style="107" customWidth="1"/>
    <col min="3" max="16384" width="9.1796875" style="107"/>
  </cols>
  <sheetData>
    <row r="1" spans="1:21">
      <c r="A1" s="125" t="s">
        <v>190</v>
      </c>
      <c r="H1" s="106"/>
      <c r="I1" s="106"/>
      <c r="J1" s="123"/>
    </row>
    <row r="2" spans="1:21">
      <c r="H2" s="106"/>
      <c r="I2" s="106"/>
      <c r="J2" s="123"/>
      <c r="L2" s="115"/>
      <c r="M2" s="115" t="s">
        <v>130</v>
      </c>
      <c r="N2" s="115" t="s">
        <v>131</v>
      </c>
      <c r="O2" s="115" t="s">
        <v>132</v>
      </c>
      <c r="P2" s="115" t="s">
        <v>133</v>
      </c>
      <c r="Q2" s="115" t="s">
        <v>134</v>
      </c>
      <c r="R2" s="164" t="s">
        <v>135</v>
      </c>
      <c r="S2" s="164" t="s">
        <v>136</v>
      </c>
      <c r="T2" s="115" t="s">
        <v>185</v>
      </c>
      <c r="U2" s="115" t="s">
        <v>186</v>
      </c>
    </row>
    <row r="3" spans="1:21">
      <c r="H3" s="106"/>
      <c r="I3" s="106"/>
      <c r="J3" s="123"/>
      <c r="L3" s="107" t="s">
        <v>150</v>
      </c>
      <c r="M3" s="120">
        <v>7.8364131658597097E-2</v>
      </c>
      <c r="N3" s="120">
        <v>1.6599431938098375E-2</v>
      </c>
      <c r="O3" s="120">
        <v>8.2717694528519192E-3</v>
      </c>
      <c r="P3" s="120">
        <v>6.3126661613869921E-3</v>
      </c>
      <c r="Q3" s="120">
        <v>3.1183867552337288E-2</v>
      </c>
      <c r="R3" s="120">
        <v>0.10954799921093442</v>
      </c>
      <c r="S3" s="149">
        <v>0.3061585</v>
      </c>
      <c r="T3" s="120">
        <f>+M3/R3</f>
        <v>0.71534060159060642</v>
      </c>
      <c r="U3" s="150">
        <v>0.71038505986065414</v>
      </c>
    </row>
    <row r="4" spans="1:21">
      <c r="H4" s="106"/>
      <c r="I4" s="106"/>
      <c r="J4" s="123"/>
      <c r="L4" s="107" t="s">
        <v>141</v>
      </c>
      <c r="M4" s="120">
        <v>0.13389723568086614</v>
      </c>
      <c r="N4" s="120">
        <v>6.1726625648879287E-3</v>
      </c>
      <c r="O4" s="120">
        <v>1.3389723568086613E-2</v>
      </c>
      <c r="P4" s="120">
        <v>5.5790514867027534E-3</v>
      </c>
      <c r="Q4" s="120">
        <v>2.5141437619677295E-2</v>
      </c>
      <c r="R4" s="120">
        <v>0.15903867330054344</v>
      </c>
      <c r="S4" s="111">
        <v>0.69678680000000004</v>
      </c>
      <c r="T4" s="120">
        <f t="shared" ref="T4:T22" si="0">+M4/R4</f>
        <v>0.84191620127409983</v>
      </c>
      <c r="U4" s="150">
        <v>0.79902851995094115</v>
      </c>
    </row>
    <row r="5" spans="1:21">
      <c r="H5" s="106"/>
      <c r="I5" s="106"/>
      <c r="J5" s="123"/>
      <c r="L5" s="107" t="s">
        <v>144</v>
      </c>
      <c r="M5" s="120">
        <v>0.13100000403347786</v>
      </c>
      <c r="N5" s="120">
        <v>1.7214753267481182E-2</v>
      </c>
      <c r="O5" s="120">
        <v>1.0407222542659628E-2</v>
      </c>
      <c r="P5" s="120">
        <v>1.7466667204463715E-2</v>
      </c>
      <c r="Q5" s="120">
        <v>4.5088643014604524E-2</v>
      </c>
      <c r="R5" s="120">
        <v>0.17608864704808239</v>
      </c>
      <c r="S5" s="111">
        <v>0.34299489999999999</v>
      </c>
      <c r="T5" s="120">
        <f t="shared" si="0"/>
        <v>0.74394349794570958</v>
      </c>
      <c r="U5" s="150">
        <v>0.55507115967985543</v>
      </c>
    </row>
    <row r="6" spans="1:21">
      <c r="H6" s="106"/>
      <c r="I6" s="106"/>
      <c r="J6" s="123"/>
      <c r="L6" s="107" t="s">
        <v>138</v>
      </c>
      <c r="M6" s="120">
        <v>0.20066911840766705</v>
      </c>
      <c r="N6" s="120">
        <v>5.0051256024675285E-2</v>
      </c>
      <c r="O6" s="120">
        <v>2.3411397147561065E-2</v>
      </c>
      <c r="P6" s="120">
        <v>2.4526225583159301E-2</v>
      </c>
      <c r="Q6" s="120">
        <v>9.798887875539565E-2</v>
      </c>
      <c r="R6" s="120">
        <v>0.29865799716306268</v>
      </c>
      <c r="S6" s="111">
        <v>0.51251100000000005</v>
      </c>
      <c r="T6" s="120">
        <f t="shared" si="0"/>
        <v>0.67190271251335276</v>
      </c>
      <c r="U6" s="150">
        <v>0.777413700262365</v>
      </c>
    </row>
    <row r="7" spans="1:21">
      <c r="H7" s="106"/>
      <c r="I7" s="106"/>
      <c r="J7" s="123"/>
      <c r="L7" s="107" t="s">
        <v>156</v>
      </c>
      <c r="M7" s="120">
        <v>0.13484123657633859</v>
      </c>
      <c r="N7" s="120">
        <v>2.8521730728324281E-2</v>
      </c>
      <c r="O7" s="120">
        <v>1.3423437226356333E-2</v>
      </c>
      <c r="P7" s="120">
        <v>1.9102508514981305E-2</v>
      </c>
      <c r="Q7" s="120">
        <v>6.1047676469661923E-2</v>
      </c>
      <c r="R7" s="120">
        <v>0.19588891304600051</v>
      </c>
      <c r="S7" s="111">
        <v>0.75771619999999995</v>
      </c>
      <c r="T7" s="120">
        <f t="shared" si="0"/>
        <v>0.68835563217747742</v>
      </c>
      <c r="U7" s="150">
        <v>0.74278747503045539</v>
      </c>
    </row>
    <row r="8" spans="1:21">
      <c r="H8" s="106"/>
      <c r="I8" s="106"/>
      <c r="J8" s="123"/>
      <c r="L8" s="107" t="s">
        <v>140</v>
      </c>
      <c r="M8" s="120">
        <v>0.15211542943894693</v>
      </c>
      <c r="N8" s="120">
        <v>5.0070932556065338E-2</v>
      </c>
      <c r="O8" s="120">
        <v>8.4170537622883946E-3</v>
      </c>
      <c r="P8" s="120">
        <v>2.9578000168684126E-2</v>
      </c>
      <c r="Q8" s="120">
        <v>8.8065986487037853E-2</v>
      </c>
      <c r="R8" s="120">
        <v>0.2401814159259848</v>
      </c>
      <c r="S8" s="111">
        <v>0.62225169999999996</v>
      </c>
      <c r="T8" s="120">
        <f t="shared" si="0"/>
        <v>0.63333555118112628</v>
      </c>
      <c r="U8" s="150">
        <v>0.70642204689403187</v>
      </c>
    </row>
    <row r="9" spans="1:21">
      <c r="G9" s="131"/>
      <c r="H9" s="106"/>
      <c r="I9" s="106"/>
      <c r="J9" s="123"/>
      <c r="L9" s="107" t="s">
        <v>142</v>
      </c>
      <c r="M9" s="120">
        <v>0.21151491773063891</v>
      </c>
      <c r="N9" s="120">
        <v>6.0537508341254723E-2</v>
      </c>
      <c r="O9" s="120">
        <v>1.3807223796305595E-2</v>
      </c>
      <c r="P9" s="120">
        <v>2.6439364716329856E-2</v>
      </c>
      <c r="Q9" s="120">
        <v>0.10078409685389017</v>
      </c>
      <c r="R9" s="120">
        <v>0.31229901458452908</v>
      </c>
      <c r="S9" s="111">
        <v>0.33228530000000001</v>
      </c>
      <c r="T9" s="120">
        <f t="shared" si="0"/>
        <v>0.67728333376917771</v>
      </c>
      <c r="U9" s="150">
        <v>0.45916516784767591</v>
      </c>
    </row>
    <row r="10" spans="1:21">
      <c r="H10" s="106"/>
      <c r="I10" s="106"/>
      <c r="J10" s="123"/>
      <c r="L10" s="107" t="s">
        <v>152</v>
      </c>
      <c r="M10" s="120">
        <v>0.21750078876419179</v>
      </c>
      <c r="N10" s="120">
        <v>4.4484439447324983E-2</v>
      </c>
      <c r="O10" s="120">
        <v>1.4379218812743795E-2</v>
      </c>
      <c r="P10" s="120">
        <v>3.625013146069863E-2</v>
      </c>
      <c r="Q10" s="120">
        <v>9.5113789720767408E-2</v>
      </c>
      <c r="R10" s="120">
        <v>0.31261457848495922</v>
      </c>
      <c r="S10" s="111">
        <v>0.55873249999999997</v>
      </c>
      <c r="T10" s="120">
        <f t="shared" si="0"/>
        <v>0.69574742744972906</v>
      </c>
      <c r="U10" s="150">
        <v>0.70631908201684401</v>
      </c>
    </row>
    <row r="11" spans="1:21">
      <c r="G11" s="131"/>
      <c r="H11" s="106"/>
      <c r="I11" s="106"/>
      <c r="J11" s="123"/>
      <c r="L11" s="107" t="s">
        <v>155</v>
      </c>
      <c r="M11" s="120">
        <v>0.24361401597427762</v>
      </c>
      <c r="N11" s="120">
        <v>2.6242784631615699E-2</v>
      </c>
      <c r="O11" s="120">
        <v>2.0448980634147077E-2</v>
      </c>
      <c r="P11" s="120">
        <v>2.6391518397213404E-2</v>
      </c>
      <c r="Q11" s="120">
        <v>7.3083283662976173E-2</v>
      </c>
      <c r="R11" s="120">
        <v>0.31669729963725379</v>
      </c>
      <c r="S11" s="111">
        <v>0.29086020000000001</v>
      </c>
      <c r="T11" s="120">
        <f t="shared" si="0"/>
        <v>0.76923300657540805</v>
      </c>
      <c r="U11" s="150">
        <v>0.60057151185394553</v>
      </c>
    </row>
    <row r="12" spans="1:21">
      <c r="G12" s="115"/>
      <c r="H12" s="116"/>
      <c r="I12" s="116"/>
      <c r="J12" s="123"/>
      <c r="L12" s="107" t="s">
        <v>143</v>
      </c>
      <c r="M12" s="120">
        <v>0.22849865442993469</v>
      </c>
      <c r="N12" s="120">
        <v>6.4781272686340069E-2</v>
      </c>
      <c r="O12" s="120">
        <v>1.728973151853172E-2</v>
      </c>
      <c r="P12" s="120">
        <v>2.7927613319214235E-2</v>
      </c>
      <c r="Q12" s="120">
        <v>0.10999861752408602</v>
      </c>
      <c r="R12" s="120">
        <v>0.33849727195402068</v>
      </c>
      <c r="S12" s="111">
        <v>0.71742479999999997</v>
      </c>
      <c r="T12" s="120">
        <f t="shared" si="0"/>
        <v>0.67503839280859113</v>
      </c>
      <c r="U12" s="150">
        <v>0.76846602219250515</v>
      </c>
    </row>
    <row r="13" spans="1:21">
      <c r="G13" s="118"/>
      <c r="H13" s="119"/>
      <c r="I13" s="119"/>
      <c r="J13" s="123"/>
      <c r="L13" s="107" t="s">
        <v>145</v>
      </c>
      <c r="M13" s="120">
        <v>0.27263946453272364</v>
      </c>
      <c r="N13" s="120">
        <v>3.4497976804878157E-2</v>
      </c>
      <c r="O13" s="120">
        <v>2.2719955377726968E-2</v>
      </c>
      <c r="P13" s="120">
        <v>4.8119408267154759E-2</v>
      </c>
      <c r="Q13" s="120">
        <v>0.10533734044975988</v>
      </c>
      <c r="R13" s="120">
        <v>0.37797680498248354</v>
      </c>
      <c r="S13" s="111">
        <v>0.3165615</v>
      </c>
      <c r="T13" s="120">
        <f t="shared" si="0"/>
        <v>0.72131268622517319</v>
      </c>
      <c r="U13" s="150">
        <v>0.59894356904174773</v>
      </c>
    </row>
    <row r="14" spans="1:21">
      <c r="L14" s="107" t="s">
        <v>153</v>
      </c>
      <c r="M14" s="120">
        <v>0.26968621833313833</v>
      </c>
      <c r="N14" s="120">
        <v>3.0299246629728088E-2</v>
      </c>
      <c r="O14" s="120">
        <v>3.3711325162250311E-2</v>
      </c>
      <c r="P14" s="120">
        <v>6.7421554583284568E-2</v>
      </c>
      <c r="Q14" s="120">
        <v>0.13143212637526297</v>
      </c>
      <c r="R14" s="120">
        <v>0.4011183447084013</v>
      </c>
      <c r="S14" s="111">
        <v>0.20534830000000001</v>
      </c>
      <c r="T14" s="120">
        <f t="shared" si="0"/>
        <v>0.67233578790616166</v>
      </c>
      <c r="U14" s="150">
        <v>0.50455238859245144</v>
      </c>
    </row>
    <row r="15" spans="1:21">
      <c r="L15" s="107" t="s">
        <v>191</v>
      </c>
      <c r="M15" s="120">
        <v>0.28758560147515483</v>
      </c>
      <c r="N15" s="120">
        <v>4.4149477791418999E-2</v>
      </c>
      <c r="O15" s="120">
        <v>2.4805991406819484E-2</v>
      </c>
      <c r="P15" s="120">
        <v>4.661444650596807E-2</v>
      </c>
      <c r="Q15" s="120">
        <v>0.11556991570420654</v>
      </c>
      <c r="R15" s="120">
        <v>0.40315551717936138</v>
      </c>
      <c r="S15" s="111"/>
      <c r="T15" s="120"/>
      <c r="U15" s="150"/>
    </row>
    <row r="16" spans="1:21">
      <c r="L16" s="107" t="s">
        <v>148</v>
      </c>
      <c r="M16" s="120">
        <v>0.39692666705398527</v>
      </c>
      <c r="N16" s="120">
        <v>4.4653229307862891E-2</v>
      </c>
      <c r="O16" s="120">
        <v>2.1610451872939199E-2</v>
      </c>
      <c r="P16" s="120">
        <v>1.5436037052099429E-2</v>
      </c>
      <c r="Q16" s="120">
        <v>8.1699718232901508E-2</v>
      </c>
      <c r="R16" s="120">
        <v>0.47862638528688678</v>
      </c>
      <c r="S16" s="149" t="s">
        <v>149</v>
      </c>
      <c r="T16" s="120"/>
      <c r="U16" s="150">
        <v>0.60819001881511336</v>
      </c>
    </row>
    <row r="17" spans="1:33">
      <c r="L17" s="107" t="s">
        <v>146</v>
      </c>
      <c r="M17" s="120">
        <v>0.34315517672834528</v>
      </c>
      <c r="N17" s="120">
        <v>3.4514311510763583E-2</v>
      </c>
      <c r="O17" s="120">
        <v>2.8596264727362115E-2</v>
      </c>
      <c r="P17" s="120">
        <v>0.10233708393462597</v>
      </c>
      <c r="Q17" s="120">
        <v>0.16544766017275167</v>
      </c>
      <c r="R17" s="120">
        <v>0.50860283690109698</v>
      </c>
      <c r="S17" s="111">
        <v>0.19339010000000001</v>
      </c>
      <c r="T17" s="120">
        <f t="shared" si="0"/>
        <v>0.67470165683538119</v>
      </c>
      <c r="U17" s="150">
        <v>0.60239212749779025</v>
      </c>
    </row>
    <row r="18" spans="1:33">
      <c r="L18" s="107" t="s">
        <v>139</v>
      </c>
      <c r="M18" s="120">
        <v>0.3553804420819659</v>
      </c>
      <c r="N18" s="120">
        <v>6.9281417183879257E-2</v>
      </c>
      <c r="O18" s="120">
        <v>4.738405894426212E-2</v>
      </c>
      <c r="P18" s="120">
        <v>7.8973431573770181E-2</v>
      </c>
      <c r="Q18" s="120">
        <v>0.19563890770191156</v>
      </c>
      <c r="R18" s="120">
        <v>0.55101934978387745</v>
      </c>
      <c r="S18" s="111">
        <v>0.18819530000000001</v>
      </c>
      <c r="T18" s="120">
        <f t="shared" si="0"/>
        <v>0.64495092998341041</v>
      </c>
      <c r="U18" s="150">
        <v>0.41825527216165093</v>
      </c>
      <c r="AE18" s="120"/>
      <c r="AF18" s="120"/>
      <c r="AG18" s="120"/>
    </row>
    <row r="19" spans="1:33">
      <c r="L19" s="107" t="s">
        <v>157</v>
      </c>
      <c r="M19" s="120">
        <v>0.18755270820569553</v>
      </c>
      <c r="N19" s="120">
        <v>2.7664024460340098E-2</v>
      </c>
      <c r="O19" s="120">
        <v>1.5629392350474631E-2</v>
      </c>
      <c r="P19" s="120">
        <v>2.5528007505775222E-2</v>
      </c>
      <c r="Q19" s="120">
        <v>6.8821424316589941E-2</v>
      </c>
      <c r="R19" s="120">
        <v>0.25637413252228547</v>
      </c>
      <c r="S19" s="111">
        <v>0.41419879999999998</v>
      </c>
      <c r="T19" s="120">
        <f t="shared" si="0"/>
        <v>0.73155862629546842</v>
      </c>
      <c r="U19" s="150">
        <v>0.6041601406031617</v>
      </c>
      <c r="AE19" s="120"/>
      <c r="AF19" s="120"/>
      <c r="AG19" s="120"/>
    </row>
    <row r="20" spans="1:33">
      <c r="L20" s="107" t="s">
        <v>154</v>
      </c>
      <c r="M20" s="120">
        <v>0.52296581302102851</v>
      </c>
      <c r="N20" s="120">
        <v>7.3651018667128171E-2</v>
      </c>
      <c r="O20" s="120">
        <v>3.4864387534735239E-2</v>
      </c>
      <c r="P20" s="120">
        <v>6.1012678185786651E-2</v>
      </c>
      <c r="Q20" s="120">
        <v>0.16952808438765005</v>
      </c>
      <c r="R20" s="120">
        <v>0.6924938974086785</v>
      </c>
      <c r="S20" s="111">
        <v>0.20302629999999999</v>
      </c>
      <c r="T20" s="120">
        <f t="shared" si="0"/>
        <v>0.75519194461925754</v>
      </c>
      <c r="U20" s="150">
        <v>0.57569183785482436</v>
      </c>
      <c r="AE20" s="120"/>
      <c r="AF20" s="120"/>
      <c r="AG20" s="120"/>
    </row>
    <row r="21" spans="1:33">
      <c r="L21" s="107" t="s">
        <v>151</v>
      </c>
      <c r="M21" s="120">
        <v>0.49955998021104953</v>
      </c>
      <c r="N21" s="120">
        <v>8.9920796437988906E-2</v>
      </c>
      <c r="O21" s="120">
        <v>4.0242331739223439E-2</v>
      </c>
      <c r="P21" s="120">
        <v>8.325999670184156E-2</v>
      </c>
      <c r="Q21" s="120">
        <v>0.2134231248790539</v>
      </c>
      <c r="R21" s="120">
        <v>0.71298310509010343</v>
      </c>
      <c r="S21" s="155">
        <v>0.1856611</v>
      </c>
      <c r="T21" s="151">
        <f t="shared" si="0"/>
        <v>0.70066173608407945</v>
      </c>
      <c r="U21" s="154">
        <v>0.4380734050324116</v>
      </c>
      <c r="AE21" s="120"/>
      <c r="AF21" s="120"/>
      <c r="AG21" s="120"/>
    </row>
    <row r="22" spans="1:33">
      <c r="L22" s="115" t="s">
        <v>147</v>
      </c>
      <c r="M22" s="120">
        <v>0.72716323590587983</v>
      </c>
      <c r="N22" s="120">
        <v>5.4145280986952496E-2</v>
      </c>
      <c r="O22" s="120">
        <v>7.2716323590587967E-2</v>
      </c>
      <c r="P22" s="120">
        <v>0.1615918302013066</v>
      </c>
      <c r="Q22" s="120">
        <v>0.28845343477884711</v>
      </c>
      <c r="R22" s="120">
        <v>1.0156166706847269</v>
      </c>
      <c r="S22" s="158">
        <v>0.1593011</v>
      </c>
      <c r="T22" s="156">
        <f t="shared" si="0"/>
        <v>0.71598198109098354</v>
      </c>
      <c r="U22" s="159">
        <v>0.46089902219994955</v>
      </c>
      <c r="AE22" s="120"/>
      <c r="AF22" s="120"/>
      <c r="AG22" s="120"/>
    </row>
    <row r="23" spans="1:33">
      <c r="R23" s="123">
        <f>+AVERAGE(R3:R22)</f>
        <v>0.39287394274516363</v>
      </c>
      <c r="T23" s="123">
        <f>+AVERAGE(T3:T22)</f>
        <v>0.70715509479584415</v>
      </c>
      <c r="U23" s="123"/>
      <c r="AE23" s="120"/>
      <c r="AF23" s="120"/>
      <c r="AG23" s="120"/>
    </row>
    <row r="25" spans="1:33">
      <c r="A25" s="122" t="s">
        <v>158</v>
      </c>
    </row>
    <row r="27" spans="1:33">
      <c r="M27" s="120"/>
      <c r="N27" s="120"/>
      <c r="O27" s="120"/>
      <c r="P27" s="120"/>
      <c r="Q27" s="120"/>
      <c r="R27" s="120"/>
    </row>
    <row r="28" spans="1:33">
      <c r="M28" s="120"/>
      <c r="N28" s="120"/>
      <c r="O28" s="120"/>
      <c r="P28" s="120"/>
      <c r="Q28" s="120"/>
      <c r="R28" s="120"/>
    </row>
    <row r="29" spans="1:33">
      <c r="M29" s="120"/>
      <c r="N29" s="120"/>
      <c r="O29" s="120"/>
      <c r="P29" s="120"/>
      <c r="Q29" s="120"/>
      <c r="R29" s="120"/>
    </row>
    <row r="30" spans="1:33">
      <c r="M30" s="120"/>
      <c r="N30" s="120"/>
      <c r="O30" s="120"/>
      <c r="P30" s="120"/>
      <c r="Q30" s="120"/>
      <c r="R30" s="120"/>
    </row>
    <row r="31" spans="1:33">
      <c r="B31" s="115" t="s">
        <v>186</v>
      </c>
      <c r="E31" s="107" t="s">
        <v>189</v>
      </c>
      <c r="M31" s="120"/>
      <c r="N31" s="120"/>
      <c r="O31" s="120"/>
      <c r="P31" s="120"/>
      <c r="Q31" s="120"/>
      <c r="R31" s="120"/>
    </row>
    <row r="32" spans="1:33">
      <c r="A32" s="107" t="s">
        <v>138</v>
      </c>
      <c r="B32" s="107">
        <v>0.777413700262365</v>
      </c>
      <c r="D32" s="107" t="s">
        <v>138</v>
      </c>
      <c r="E32" s="107">
        <v>0.30545300781566398</v>
      </c>
      <c r="M32" s="120"/>
      <c r="N32" s="120"/>
      <c r="O32" s="120"/>
      <c r="P32" s="120"/>
      <c r="Q32" s="120"/>
      <c r="R32" s="120"/>
    </row>
    <row r="33" spans="1:18">
      <c r="A33" s="107" t="s">
        <v>139</v>
      </c>
      <c r="B33" s="107">
        <v>0.41825527216165093</v>
      </c>
      <c r="D33" s="107" t="s">
        <v>139</v>
      </c>
      <c r="E33" s="107">
        <v>0.54112200447189474</v>
      </c>
      <c r="M33" s="120"/>
      <c r="N33" s="120"/>
      <c r="O33" s="120"/>
      <c r="P33" s="120"/>
      <c r="Q33" s="120"/>
      <c r="R33" s="120"/>
    </row>
    <row r="34" spans="1:18">
      <c r="A34" s="107" t="s">
        <v>140</v>
      </c>
      <c r="B34" s="107">
        <v>0.70642204689403187</v>
      </c>
      <c r="D34" s="107" t="s">
        <v>140</v>
      </c>
      <c r="E34" s="107">
        <v>0.24198566778036282</v>
      </c>
      <c r="M34" s="120"/>
      <c r="N34" s="120"/>
      <c r="O34" s="120"/>
      <c r="P34" s="120"/>
      <c r="Q34" s="120"/>
      <c r="R34" s="120"/>
    </row>
    <row r="35" spans="1:18">
      <c r="A35" s="107" t="s">
        <v>141</v>
      </c>
      <c r="B35" s="107">
        <v>0.79902851995094115</v>
      </c>
      <c r="D35" s="107" t="s">
        <v>141</v>
      </c>
      <c r="E35" s="107">
        <v>0.15903867330054344</v>
      </c>
      <c r="M35" s="120"/>
      <c r="N35" s="120"/>
      <c r="O35" s="120"/>
      <c r="P35" s="120"/>
      <c r="Q35" s="120"/>
      <c r="R35" s="120"/>
    </row>
    <row r="36" spans="1:18">
      <c r="A36" s="107" t="s">
        <v>142</v>
      </c>
      <c r="B36" s="107">
        <v>0.45916516784767591</v>
      </c>
      <c r="D36" s="107" t="s">
        <v>142</v>
      </c>
      <c r="E36" s="107">
        <v>0.32775224975062606</v>
      </c>
      <c r="M36" s="120"/>
      <c r="N36" s="120"/>
      <c r="O36" s="120"/>
      <c r="P36" s="120"/>
      <c r="Q36" s="120"/>
      <c r="R36" s="120"/>
    </row>
    <row r="37" spans="1:18">
      <c r="A37" s="107" t="s">
        <v>143</v>
      </c>
      <c r="B37" s="107">
        <v>0.76846602219250515</v>
      </c>
      <c r="D37" s="107" t="s">
        <v>143</v>
      </c>
      <c r="E37" s="107">
        <v>0.32258086282098192</v>
      </c>
      <c r="M37" s="120"/>
      <c r="N37" s="120"/>
      <c r="O37" s="120"/>
      <c r="P37" s="120"/>
      <c r="Q37" s="120"/>
      <c r="R37" s="120"/>
    </row>
    <row r="38" spans="1:18">
      <c r="A38" s="107" t="s">
        <v>144</v>
      </c>
      <c r="B38" s="107">
        <v>0.55507115967985543</v>
      </c>
      <c r="D38" s="107" t="s">
        <v>144</v>
      </c>
      <c r="E38" s="107">
        <v>0.17665467730464562</v>
      </c>
      <c r="M38" s="120"/>
      <c r="N38" s="120"/>
      <c r="O38" s="120"/>
      <c r="P38" s="120"/>
      <c r="Q38" s="120"/>
      <c r="R38" s="120"/>
    </row>
    <row r="39" spans="1:18">
      <c r="A39" s="107" t="s">
        <v>145</v>
      </c>
      <c r="B39" s="107">
        <v>0.59894356904174773</v>
      </c>
      <c r="D39" s="107" t="s">
        <v>145</v>
      </c>
      <c r="E39" s="107">
        <v>0.37861205392521091</v>
      </c>
      <c r="M39" s="120"/>
      <c r="N39" s="120"/>
      <c r="O39" s="120"/>
      <c r="P39" s="120"/>
      <c r="Q39" s="120"/>
      <c r="R39" s="120"/>
    </row>
    <row r="40" spans="1:18">
      <c r="A40" s="107" t="s">
        <v>146</v>
      </c>
      <c r="B40" s="107">
        <v>0.60239212749779025</v>
      </c>
      <c r="D40" s="107" t="s">
        <v>146</v>
      </c>
      <c r="E40" s="107">
        <v>0.48013986365182804</v>
      </c>
      <c r="M40" s="120"/>
      <c r="N40" s="120"/>
      <c r="O40" s="120"/>
      <c r="P40" s="120"/>
      <c r="Q40" s="120"/>
      <c r="R40" s="120"/>
    </row>
    <row r="41" spans="1:18">
      <c r="A41" s="107" t="s">
        <v>147</v>
      </c>
      <c r="B41" s="107">
        <v>0.46089902219994955</v>
      </c>
      <c r="D41" s="107" t="s">
        <v>147</v>
      </c>
      <c r="E41" s="107">
        <v>0.99496102140200549</v>
      </c>
      <c r="M41" s="120"/>
      <c r="N41" s="120"/>
      <c r="O41" s="120"/>
      <c r="P41" s="120"/>
      <c r="Q41" s="120"/>
      <c r="R41" s="120"/>
    </row>
    <row r="42" spans="1:18">
      <c r="A42" s="107" t="s">
        <v>150</v>
      </c>
      <c r="B42" s="107">
        <v>0.71038505986065414</v>
      </c>
      <c r="D42" s="107" t="s">
        <v>150</v>
      </c>
      <c r="E42" s="107">
        <v>0.10368466633642601</v>
      </c>
      <c r="M42" s="120"/>
      <c r="N42" s="120"/>
      <c r="O42" s="120"/>
      <c r="P42" s="120"/>
      <c r="Q42" s="120"/>
      <c r="R42" s="120"/>
    </row>
    <row r="43" spans="1:18">
      <c r="A43" s="107" t="s">
        <v>151</v>
      </c>
      <c r="B43" s="107">
        <v>0.4380734050324116</v>
      </c>
      <c r="D43" s="107" t="s">
        <v>151</v>
      </c>
      <c r="E43" s="107">
        <v>0.70831628564362625</v>
      </c>
      <c r="M43" s="120"/>
      <c r="N43" s="120"/>
      <c r="O43" s="120"/>
      <c r="P43" s="120"/>
      <c r="Q43" s="120"/>
      <c r="R43" s="120"/>
    </row>
    <row r="44" spans="1:18">
      <c r="A44" s="107" t="s">
        <v>152</v>
      </c>
      <c r="B44" s="107">
        <v>0.70631908201684401</v>
      </c>
      <c r="D44" s="107" t="s">
        <v>152</v>
      </c>
      <c r="E44" s="107">
        <v>0.29841392304054465</v>
      </c>
      <c r="M44" s="120"/>
      <c r="N44" s="120"/>
      <c r="O44" s="120"/>
      <c r="P44" s="120"/>
      <c r="Q44" s="120"/>
      <c r="R44" s="120"/>
    </row>
    <row r="45" spans="1:18">
      <c r="A45" s="107" t="s">
        <v>153</v>
      </c>
      <c r="B45" s="107">
        <v>0.50455238859245144</v>
      </c>
      <c r="D45" s="107" t="s">
        <v>153</v>
      </c>
      <c r="E45" s="107">
        <v>0.39029663732717612</v>
      </c>
      <c r="K45" s="115"/>
      <c r="M45" s="120"/>
      <c r="N45" s="120"/>
      <c r="O45" s="120"/>
      <c r="P45" s="120"/>
      <c r="Q45" s="120"/>
      <c r="R45" s="120"/>
    </row>
    <row r="46" spans="1:18">
      <c r="A46" s="107" t="s">
        <v>154</v>
      </c>
      <c r="B46" s="107">
        <v>0.57569183785482436</v>
      </c>
      <c r="D46" s="107" t="s">
        <v>154</v>
      </c>
      <c r="E46" s="107">
        <v>0.70431266460095732</v>
      </c>
    </row>
    <row r="47" spans="1:18">
      <c r="A47" s="107" t="s">
        <v>155</v>
      </c>
      <c r="B47" s="107">
        <v>0.60057151185394553</v>
      </c>
      <c r="D47" s="107" t="s">
        <v>155</v>
      </c>
      <c r="E47" s="107">
        <v>0.32539511334163207</v>
      </c>
    </row>
    <row r="48" spans="1:18">
      <c r="A48" s="107" t="s">
        <v>156</v>
      </c>
      <c r="B48" s="107">
        <v>0.74278747503045539</v>
      </c>
      <c r="D48" s="107" t="s">
        <v>156</v>
      </c>
      <c r="E48" s="107">
        <v>0.19368070839238588</v>
      </c>
    </row>
    <row r="49" spans="1:5">
      <c r="A49" s="107" t="s">
        <v>157</v>
      </c>
      <c r="B49" s="107">
        <v>0.6041601406031617</v>
      </c>
      <c r="D49" s="107" t="s">
        <v>157</v>
      </c>
      <c r="E49" s="107">
        <v>0.25824965960434243</v>
      </c>
    </row>
    <row r="52" spans="1:5">
      <c r="D52" s="53"/>
      <c r="E52" s="53"/>
    </row>
  </sheetData>
  <sortState xmlns:xlrd2="http://schemas.microsoft.com/office/spreadsheetml/2017/richdata2" ref="A31:B50">
    <sortCondition ref="A31"/>
  </sortState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AX69"/>
  <sheetViews>
    <sheetView showGridLines="0" topLeftCell="A4" zoomScale="80" zoomScaleNormal="80" workbookViewId="0">
      <selection activeCell="W37" sqref="W37"/>
    </sheetView>
  </sheetViews>
  <sheetFormatPr defaultColWidth="9.1796875" defaultRowHeight="14.5"/>
  <sheetData>
    <row r="1" spans="1:44" ht="15">
      <c r="A1" s="182" t="s">
        <v>192</v>
      </c>
      <c r="AQ1" s="110"/>
      <c r="AR1" s="110"/>
    </row>
    <row r="2" spans="1:44">
      <c r="AQ2" s="110"/>
      <c r="AR2" s="110"/>
    </row>
    <row r="3" spans="1:44">
      <c r="AQ3" s="110"/>
      <c r="AR3" s="110"/>
    </row>
    <row r="4" spans="1:44">
      <c r="AQ4" s="110"/>
      <c r="AR4" s="110"/>
    </row>
    <row r="5" spans="1:44">
      <c r="P5" s="99"/>
      <c r="Q5" s="183" t="s">
        <v>193</v>
      </c>
      <c r="R5" s="183" t="s">
        <v>194</v>
      </c>
      <c r="AQ5" s="110"/>
      <c r="AR5" s="110"/>
    </row>
    <row r="6" spans="1:44">
      <c r="P6" s="171" t="s">
        <v>150</v>
      </c>
      <c r="Q6" s="184">
        <v>7.4121610762668086E-2</v>
      </c>
      <c r="R6" s="184">
        <v>1.5768200237372462E-2</v>
      </c>
      <c r="S6" s="185">
        <f>+SUM(Q6:R6)</f>
        <v>8.9889811000040551E-2</v>
      </c>
      <c r="AQ6" s="110"/>
      <c r="AR6" s="110"/>
    </row>
    <row r="7" spans="1:44">
      <c r="P7" t="s">
        <v>195</v>
      </c>
      <c r="Q7" s="97">
        <v>0.11796302701558736</v>
      </c>
      <c r="R7" s="97">
        <v>1.4521248625618804E-2</v>
      </c>
      <c r="S7" s="185">
        <f t="shared" ref="S7:S47" si="0">SUM(Q7:R7)</f>
        <v>0.13248427564120616</v>
      </c>
      <c r="AQ7" s="110"/>
      <c r="AR7" s="110"/>
    </row>
    <row r="8" spans="1:44">
      <c r="P8" t="s">
        <v>141</v>
      </c>
      <c r="Q8" s="184">
        <v>0.13389723568086614</v>
      </c>
      <c r="R8" s="184">
        <v>6.1726625648879296E-3</v>
      </c>
      <c r="S8" s="185">
        <f t="shared" si="0"/>
        <v>0.14006989824575408</v>
      </c>
      <c r="AQ8" s="110"/>
      <c r="AR8" s="110"/>
    </row>
    <row r="9" spans="1:44">
      <c r="P9" t="s">
        <v>196</v>
      </c>
      <c r="Q9" s="97">
        <v>0.12943867891615304</v>
      </c>
      <c r="R9" s="97">
        <v>1.2749709873241076E-2</v>
      </c>
      <c r="S9" s="185">
        <f t="shared" si="0"/>
        <v>0.14218838878939413</v>
      </c>
      <c r="AQ9" s="110"/>
      <c r="AR9" s="110"/>
    </row>
    <row r="10" spans="1:44">
      <c r="P10" t="s">
        <v>144</v>
      </c>
      <c r="Q10" s="184">
        <v>0.13100000403347786</v>
      </c>
      <c r="R10" s="184">
        <v>1.7780783524044424E-2</v>
      </c>
      <c r="S10" s="185">
        <f t="shared" si="0"/>
        <v>0.14878078755752228</v>
      </c>
      <c r="AQ10" s="110"/>
      <c r="AR10" s="110"/>
    </row>
    <row r="11" spans="1:44">
      <c r="P11" t="s">
        <v>197</v>
      </c>
      <c r="Q11" s="97">
        <v>0.11900447564871966</v>
      </c>
      <c r="R11" s="97">
        <v>4.0461521720564685E-2</v>
      </c>
      <c r="S11" s="185">
        <f t="shared" si="0"/>
        <v>0.15946599736928435</v>
      </c>
      <c r="AQ11" s="110"/>
      <c r="AR11" s="110"/>
    </row>
    <row r="12" spans="1:44">
      <c r="P12" t="s">
        <v>156</v>
      </c>
      <c r="Q12" s="184">
        <v>0.13484123657633859</v>
      </c>
      <c r="R12" s="184">
        <v>2.6327751441530111E-2</v>
      </c>
      <c r="S12" s="185">
        <f t="shared" si="0"/>
        <v>0.16116898801786869</v>
      </c>
      <c r="AQ12" s="110"/>
      <c r="AR12" s="110"/>
    </row>
    <row r="13" spans="1:44">
      <c r="P13" t="s">
        <v>198</v>
      </c>
      <c r="Q13" s="97">
        <v>0.12649634399403917</v>
      </c>
      <c r="R13" s="97">
        <v>3.7822406854217706E-2</v>
      </c>
      <c r="S13" s="185">
        <f t="shared" si="0"/>
        <v>0.16431875084825687</v>
      </c>
      <c r="AQ13" s="110"/>
      <c r="AR13" s="110"/>
    </row>
    <row r="14" spans="1:44">
      <c r="P14" t="s">
        <v>199</v>
      </c>
      <c r="Q14" s="97">
        <v>0.12826007349775356</v>
      </c>
      <c r="R14" s="97">
        <v>4.0017142931299113E-2</v>
      </c>
      <c r="S14" s="185">
        <f t="shared" si="0"/>
        <v>0.16827721642905269</v>
      </c>
      <c r="AQ14" s="110"/>
      <c r="AR14" s="110"/>
    </row>
    <row r="15" spans="1:44">
      <c r="P15" t="s">
        <v>200</v>
      </c>
      <c r="Q15" s="97">
        <v>0.12789624256972945</v>
      </c>
      <c r="R15" s="97">
        <v>4.3484722473708028E-2</v>
      </c>
      <c r="S15" s="185">
        <f t="shared" si="0"/>
        <v>0.17138096504343747</v>
      </c>
      <c r="AQ15" s="110"/>
      <c r="AR15" s="110"/>
    </row>
    <row r="16" spans="1:44">
      <c r="P16" t="s">
        <v>201</v>
      </c>
      <c r="Q16" s="97">
        <v>0.13519764299713607</v>
      </c>
      <c r="R16" s="97">
        <v>3.7125272767013572E-2</v>
      </c>
      <c r="S16" s="185">
        <f t="shared" si="0"/>
        <v>0.17232291576414965</v>
      </c>
      <c r="AQ16" s="110"/>
      <c r="AR16" s="110"/>
    </row>
    <row r="17" spans="1:44">
      <c r="P17" t="s">
        <v>202</v>
      </c>
      <c r="Q17" s="97">
        <v>0.16965749904950206</v>
      </c>
      <c r="R17" s="97">
        <v>8.465909202570154E-3</v>
      </c>
      <c r="S17" s="185">
        <f t="shared" si="0"/>
        <v>0.17812340825207221</v>
      </c>
      <c r="AQ17" s="110"/>
      <c r="AR17" s="110"/>
    </row>
    <row r="18" spans="1:44">
      <c r="P18" t="s">
        <v>203</v>
      </c>
      <c r="Q18" s="97">
        <v>0.15218340573470884</v>
      </c>
      <c r="R18" s="97">
        <v>3.6143558861993344E-2</v>
      </c>
      <c r="S18" s="185">
        <f t="shared" si="0"/>
        <v>0.18832696459670217</v>
      </c>
    </row>
    <row r="19" spans="1:44">
      <c r="P19" t="s">
        <v>204</v>
      </c>
      <c r="Q19" s="97">
        <v>0.15518199322569379</v>
      </c>
      <c r="R19" s="97">
        <v>4.4226868069322724E-2</v>
      </c>
      <c r="S19" s="185">
        <f t="shared" si="0"/>
        <v>0.1994088612950165</v>
      </c>
    </row>
    <row r="20" spans="1:44">
      <c r="P20" t="s">
        <v>140</v>
      </c>
      <c r="Q20" s="184">
        <v>0.15211542943894693</v>
      </c>
      <c r="R20" s="184">
        <v>5.1875184410443358E-2</v>
      </c>
      <c r="S20" s="185">
        <f t="shared" si="0"/>
        <v>0.2039906138493903</v>
      </c>
    </row>
    <row r="21" spans="1:44">
      <c r="P21" t="s">
        <v>205</v>
      </c>
      <c r="Q21" s="97">
        <v>0.17702549610531129</v>
      </c>
      <c r="R21" s="97">
        <v>3.2803705882251247E-2</v>
      </c>
      <c r="S21" s="185">
        <f t="shared" si="0"/>
        <v>0.20982920198756255</v>
      </c>
    </row>
    <row r="22" spans="1:44">
      <c r="P22" t="s">
        <v>206</v>
      </c>
      <c r="Q22" s="97">
        <v>0.17984361451427147</v>
      </c>
      <c r="R22" s="97">
        <v>3.0177758515494757E-2</v>
      </c>
      <c r="S22" s="185">
        <f t="shared" si="0"/>
        <v>0.21002137302976623</v>
      </c>
    </row>
    <row r="23" spans="1:44">
      <c r="P23" t="s">
        <v>207</v>
      </c>
      <c r="Q23" s="97">
        <v>0.19247696237756523</v>
      </c>
      <c r="R23" s="97">
        <v>2.0691273455588265E-2</v>
      </c>
      <c r="S23" s="185">
        <f t="shared" si="0"/>
        <v>0.2131682358331535</v>
      </c>
    </row>
    <row r="24" spans="1:44">
      <c r="P24" s="99" t="s">
        <v>157</v>
      </c>
      <c r="Q24" s="184">
        <v>0.18755270820569553</v>
      </c>
      <c r="R24" s="184">
        <v>2.9539551542397041E-2</v>
      </c>
      <c r="S24" s="185">
        <f t="shared" si="0"/>
        <v>0.21709225974809257</v>
      </c>
    </row>
    <row r="25" spans="1:44">
      <c r="P25" s="77" t="s">
        <v>208</v>
      </c>
      <c r="Q25" s="95">
        <v>0.19747430270127</v>
      </c>
      <c r="R25" s="95">
        <v>2.3815400905773165E-2</v>
      </c>
      <c r="S25" s="185">
        <f t="shared" si="0"/>
        <v>0.22128970360704317</v>
      </c>
    </row>
    <row r="26" spans="1:44">
      <c r="P26" s="77" t="s">
        <v>209</v>
      </c>
      <c r="Q26" s="95">
        <v>0.20586985764840676</v>
      </c>
      <c r="R26" s="95">
        <v>3.0242282088550957E-2</v>
      </c>
      <c r="S26" s="185">
        <f t="shared" si="0"/>
        <v>0.23611213973695772</v>
      </c>
    </row>
    <row r="27" spans="1:44">
      <c r="P27" s="171" t="s">
        <v>148</v>
      </c>
      <c r="Q27" s="184">
        <v>0.21217290770159161</v>
      </c>
      <c r="R27" s="184">
        <v>2.5460203300826136E-2</v>
      </c>
      <c r="S27" s="185">
        <f t="shared" si="0"/>
        <v>0.23763311100241774</v>
      </c>
    </row>
    <row r="28" spans="1:44">
      <c r="A28" s="122" t="s">
        <v>210</v>
      </c>
      <c r="P28" t="s">
        <v>152</v>
      </c>
      <c r="Q28" s="184">
        <v>0.21750078876419179</v>
      </c>
      <c r="R28" s="184">
        <v>3.0283784002910402E-2</v>
      </c>
      <c r="S28" s="185">
        <f t="shared" si="0"/>
        <v>0.2477845727671022</v>
      </c>
    </row>
    <row r="29" spans="1:44">
      <c r="A29" s="122" t="s">
        <v>211</v>
      </c>
      <c r="P29" t="s">
        <v>212</v>
      </c>
      <c r="Q29" s="97">
        <v>0.22446393894956923</v>
      </c>
      <c r="R29" s="97">
        <v>2.4174766224868603E-2</v>
      </c>
      <c r="S29" s="185">
        <f t="shared" si="0"/>
        <v>0.24863870517443784</v>
      </c>
    </row>
    <row r="30" spans="1:44">
      <c r="P30" t="s">
        <v>213</v>
      </c>
      <c r="Q30" s="97">
        <v>0.23615981623594626</v>
      </c>
      <c r="R30" s="97">
        <v>1.4027893084415205E-2</v>
      </c>
      <c r="S30" s="185">
        <f t="shared" si="0"/>
        <v>0.25018770932036144</v>
      </c>
    </row>
    <row r="31" spans="1:44">
      <c r="P31" t="s">
        <v>214</v>
      </c>
      <c r="Q31" s="97">
        <v>0.22943834379939437</v>
      </c>
      <c r="R31" s="97">
        <v>2.1016552292024523E-2</v>
      </c>
      <c r="S31" s="185">
        <f t="shared" si="0"/>
        <v>0.25045489609141891</v>
      </c>
    </row>
    <row r="32" spans="1:44">
      <c r="P32" t="s">
        <v>215</v>
      </c>
      <c r="Q32" s="97">
        <v>0.23131487486068367</v>
      </c>
      <c r="R32" s="97">
        <v>2.3686643185734008E-2</v>
      </c>
      <c r="S32" s="185">
        <f t="shared" si="0"/>
        <v>0.25500151804641769</v>
      </c>
    </row>
    <row r="33" spans="16:33">
      <c r="P33" t="s">
        <v>138</v>
      </c>
      <c r="Q33" s="184">
        <v>0.20066911840766705</v>
      </c>
      <c r="R33" s="184">
        <v>5.6846266677276429E-2</v>
      </c>
      <c r="S33" s="185">
        <f t="shared" si="0"/>
        <v>0.25751538508494348</v>
      </c>
    </row>
    <row r="34" spans="16:33">
      <c r="P34" t="s">
        <v>155</v>
      </c>
      <c r="Q34" s="97">
        <v>0.24361401597427762</v>
      </c>
      <c r="R34" s="97">
        <v>2.6242784631615699E-2</v>
      </c>
      <c r="S34" s="185">
        <f t="shared" si="0"/>
        <v>0.26985680060589334</v>
      </c>
    </row>
    <row r="35" spans="16:33">
      <c r="P35" t="s">
        <v>216</v>
      </c>
      <c r="Q35" s="97">
        <v>0.23569510887491038</v>
      </c>
      <c r="R35" s="97">
        <v>3.7946912528860573E-2</v>
      </c>
      <c r="S35" s="185">
        <f t="shared" si="0"/>
        <v>0.27364202140377097</v>
      </c>
    </row>
    <row r="36" spans="16:33">
      <c r="P36" t="s">
        <v>217</v>
      </c>
      <c r="Q36" s="97">
        <v>0.21447696996825477</v>
      </c>
      <c r="R36" s="97">
        <v>6.4128614020508165E-2</v>
      </c>
      <c r="S36" s="185">
        <f t="shared" si="0"/>
        <v>0.27860558398876295</v>
      </c>
      <c r="AA36" s="108"/>
      <c r="AB36" s="108"/>
    </row>
    <row r="37" spans="16:33">
      <c r="P37" t="s">
        <v>143</v>
      </c>
      <c r="Q37" s="184">
        <v>0.24361522125498991</v>
      </c>
      <c r="R37" s="184">
        <v>3.5086974679435758E-2</v>
      </c>
      <c r="S37" s="185">
        <f t="shared" si="0"/>
        <v>0.27870219593442569</v>
      </c>
      <c r="V37" s="110"/>
      <c r="W37" s="110"/>
      <c r="X37" s="110"/>
      <c r="Y37" s="110"/>
      <c r="Z37" s="110"/>
      <c r="AA37" s="114"/>
      <c r="AB37" s="186"/>
      <c r="AC37" s="110"/>
      <c r="AD37" s="187"/>
      <c r="AE37" s="110"/>
      <c r="AF37" s="110"/>
      <c r="AG37" s="188"/>
    </row>
    <row r="38" spans="16:33">
      <c r="P38" t="s">
        <v>142</v>
      </c>
      <c r="Q38" s="184">
        <v>0.21151491773063891</v>
      </c>
      <c r="R38" s="184">
        <v>7.5990743507351702E-2</v>
      </c>
      <c r="S38" s="185">
        <f t="shared" si="0"/>
        <v>0.2875056612379906</v>
      </c>
      <c r="V38" s="110"/>
      <c r="W38" s="110"/>
      <c r="X38" s="110"/>
      <c r="Y38" s="110"/>
      <c r="Z38" s="110"/>
      <c r="AA38" s="114"/>
      <c r="AB38" s="189"/>
      <c r="AC38" s="110"/>
      <c r="AD38" s="187"/>
      <c r="AE38" s="110"/>
      <c r="AF38" s="110"/>
      <c r="AG38" s="188"/>
    </row>
    <row r="39" spans="16:33" ht="15" thickBot="1">
      <c r="P39" t="s">
        <v>153</v>
      </c>
      <c r="Q39" s="184">
        <v>0.26968621833313833</v>
      </c>
      <c r="R39" s="184">
        <v>1.9478087119110914E-2</v>
      </c>
      <c r="S39" s="185">
        <f t="shared" si="0"/>
        <v>0.28916430545224925</v>
      </c>
      <c r="V39" s="110"/>
      <c r="W39" s="110"/>
      <c r="X39" s="110"/>
      <c r="Y39" s="110"/>
      <c r="Z39" s="110"/>
      <c r="AA39" s="114"/>
      <c r="AB39" s="189"/>
      <c r="AC39" s="110"/>
      <c r="AD39" s="187"/>
      <c r="AE39" s="110"/>
      <c r="AF39" s="110"/>
      <c r="AG39" s="188"/>
    </row>
    <row r="40" spans="16:33" ht="15" thickTop="1">
      <c r="P40" t="s">
        <v>218</v>
      </c>
      <c r="Q40" s="97">
        <v>0.20904224563224272</v>
      </c>
      <c r="R40" s="97">
        <v>8.3951365845908663E-2</v>
      </c>
      <c r="S40" s="185">
        <f t="shared" si="0"/>
        <v>0.29299361147815139</v>
      </c>
      <c r="V40" s="110"/>
      <c r="W40" s="110"/>
      <c r="X40" s="110"/>
      <c r="Y40" s="110"/>
      <c r="Z40" s="110"/>
      <c r="AA40" s="114"/>
      <c r="AB40" s="189"/>
      <c r="AC40" s="110"/>
      <c r="AD40" s="187"/>
      <c r="AE40" s="110"/>
      <c r="AF40" s="110"/>
      <c r="AG40" s="190"/>
    </row>
    <row r="41" spans="16:33">
      <c r="P41" t="s">
        <v>145</v>
      </c>
      <c r="Q41" s="184">
        <v>0.27263947261122223</v>
      </c>
      <c r="R41" s="184">
        <v>3.5709625350187492E-2</v>
      </c>
      <c r="S41" s="185">
        <f t="shared" si="0"/>
        <v>0.30834909796140975</v>
      </c>
      <c r="V41" s="110"/>
      <c r="W41" s="110"/>
      <c r="X41" s="110"/>
      <c r="Y41" s="110"/>
      <c r="Z41" s="110"/>
      <c r="AA41" s="114"/>
      <c r="AB41" s="189"/>
      <c r="AC41" s="110"/>
      <c r="AD41" s="187"/>
      <c r="AE41" s="110"/>
      <c r="AF41" s="110"/>
      <c r="AG41" s="188"/>
    </row>
    <row r="42" spans="16:33">
      <c r="P42" t="s">
        <v>137</v>
      </c>
      <c r="Q42" s="184">
        <v>0.27007948085737948</v>
      </c>
      <c r="R42" s="184">
        <v>4.0166710775231824E-2</v>
      </c>
      <c r="S42" s="185">
        <f t="shared" si="0"/>
        <v>0.3102461916326113</v>
      </c>
      <c r="V42" s="110"/>
      <c r="W42" s="110"/>
      <c r="X42" s="110"/>
      <c r="Y42" s="110"/>
      <c r="Z42" s="110"/>
      <c r="AA42" s="114"/>
      <c r="AB42" s="189"/>
      <c r="AC42" s="110"/>
      <c r="AD42" s="187"/>
      <c r="AE42" s="110"/>
      <c r="AF42" s="110"/>
      <c r="AG42" s="188"/>
    </row>
    <row r="43" spans="16:33">
      <c r="P43" t="s">
        <v>146</v>
      </c>
      <c r="Q43" s="184">
        <v>0.34315517672834528</v>
      </c>
      <c r="R43" s="184">
        <v>3.6897760377715333E-2</v>
      </c>
      <c r="S43" s="185">
        <f t="shared" si="0"/>
        <v>0.38005293710606058</v>
      </c>
      <c r="V43" s="110"/>
      <c r="W43" s="110"/>
      <c r="X43" s="110"/>
      <c r="Y43" s="110"/>
      <c r="Z43" s="110"/>
      <c r="AA43" s="114"/>
      <c r="AB43" s="189"/>
      <c r="AC43" s="110"/>
      <c r="AD43" s="187"/>
      <c r="AE43" s="110"/>
      <c r="AF43" s="110"/>
      <c r="AG43" s="188"/>
    </row>
    <row r="44" spans="16:33">
      <c r="P44" t="s">
        <v>139</v>
      </c>
      <c r="Q44" s="184">
        <v>0.3553804420819659</v>
      </c>
      <c r="R44" s="184">
        <v>5.9384071871896503E-2</v>
      </c>
      <c r="S44" s="185">
        <f t="shared" si="0"/>
        <v>0.41476451395386238</v>
      </c>
      <c r="V44" s="110"/>
      <c r="W44" s="110"/>
      <c r="X44" s="110"/>
      <c r="Y44" s="110"/>
      <c r="Z44" s="110"/>
      <c r="AA44" s="114"/>
      <c r="AB44" s="189"/>
      <c r="AC44" s="110"/>
      <c r="AD44" s="187"/>
      <c r="AE44" s="110"/>
      <c r="AF44" s="110"/>
      <c r="AG44" s="188"/>
    </row>
    <row r="45" spans="16:33">
      <c r="P45" s="171" t="s">
        <v>151</v>
      </c>
      <c r="Q45" s="184">
        <v>0.51301990300054845</v>
      </c>
      <c r="R45" s="184">
        <v>7.2741628037391204E-2</v>
      </c>
      <c r="S45" s="185">
        <f t="shared" si="0"/>
        <v>0.5857615310379396</v>
      </c>
      <c r="V45" s="110"/>
      <c r="W45" s="110"/>
      <c r="X45" s="110"/>
      <c r="Y45" s="110"/>
      <c r="Z45" s="110"/>
      <c r="AA45" s="114"/>
      <c r="AB45" s="189"/>
      <c r="AC45" s="110"/>
      <c r="AD45" s="187"/>
      <c r="AE45" s="110"/>
      <c r="AF45" s="110"/>
      <c r="AG45" s="188"/>
    </row>
    <row r="46" spans="16:33">
      <c r="P46" s="99" t="s">
        <v>154</v>
      </c>
      <c r="Q46" s="184">
        <v>0.52296581302102851</v>
      </c>
      <c r="R46" s="184">
        <v>8.5469785859406913E-2</v>
      </c>
      <c r="S46" s="185">
        <f t="shared" si="0"/>
        <v>0.60843559888043541</v>
      </c>
      <c r="V46" s="110"/>
      <c r="W46" s="110"/>
      <c r="X46" s="110"/>
      <c r="Y46" s="110"/>
      <c r="Z46" s="110"/>
      <c r="AA46" s="114"/>
      <c r="AB46" s="189"/>
      <c r="AC46" s="110"/>
      <c r="AD46" s="187"/>
      <c r="AE46" s="110"/>
      <c r="AF46" s="110"/>
      <c r="AG46" s="188"/>
    </row>
    <row r="47" spans="16:33">
      <c r="P47" s="77" t="s">
        <v>147</v>
      </c>
      <c r="Q47" s="184">
        <v>0.72716327752695609</v>
      </c>
      <c r="R47" s="184">
        <v>3.3489576671919118E-2</v>
      </c>
      <c r="S47" s="185">
        <f t="shared" si="0"/>
        <v>0.76065285419887518</v>
      </c>
      <c r="V47" s="110"/>
      <c r="W47" s="110"/>
      <c r="X47" s="110"/>
      <c r="Y47" s="110"/>
      <c r="Z47" s="110"/>
      <c r="AA47" s="114"/>
      <c r="AB47" s="189"/>
      <c r="AC47" s="110"/>
      <c r="AD47" s="187"/>
      <c r="AE47" s="110"/>
      <c r="AF47" s="110"/>
    </row>
    <row r="48" spans="16:33">
      <c r="V48" s="110"/>
      <c r="W48" s="110"/>
      <c r="X48" s="110"/>
      <c r="Y48" s="110"/>
      <c r="Z48" s="110"/>
      <c r="AA48" s="114"/>
      <c r="AB48" s="189"/>
      <c r="AC48" s="110"/>
      <c r="AD48" s="187"/>
      <c r="AE48" s="110"/>
      <c r="AF48" s="110"/>
      <c r="AG48" s="188"/>
    </row>
    <row r="49" spans="16:50">
      <c r="V49" s="110"/>
      <c r="W49" s="110"/>
      <c r="X49" s="110"/>
      <c r="Y49" s="110"/>
      <c r="Z49" s="110"/>
      <c r="AA49" s="114"/>
      <c r="AB49" s="189"/>
      <c r="AC49" s="110"/>
      <c r="AD49" s="187"/>
      <c r="AE49" s="110"/>
      <c r="AF49" s="110"/>
    </row>
    <row r="50" spans="16:50">
      <c r="P50" s="184"/>
      <c r="V50" s="110"/>
      <c r="W50" s="110"/>
      <c r="X50" s="110"/>
      <c r="Y50" s="110"/>
      <c r="Z50" s="110"/>
      <c r="AA50" s="114"/>
      <c r="AB50" s="186"/>
      <c r="AC50" s="110"/>
      <c r="AD50" s="187"/>
      <c r="AE50" s="110"/>
      <c r="AF50" s="110"/>
    </row>
    <row r="51" spans="16:50">
      <c r="P51" s="184"/>
      <c r="V51" s="110"/>
      <c r="W51" s="110"/>
      <c r="X51" s="110"/>
      <c r="Y51" s="110"/>
      <c r="Z51" s="110"/>
      <c r="AA51" s="114"/>
      <c r="AB51" s="189"/>
      <c r="AC51" s="110"/>
      <c r="AD51" s="187"/>
      <c r="AE51" s="110"/>
      <c r="AF51" s="110"/>
      <c r="AG51" s="188"/>
    </row>
    <row r="52" spans="16:50">
      <c r="P52" s="184"/>
      <c r="V52" s="110"/>
      <c r="W52" s="110"/>
      <c r="X52" s="110"/>
      <c r="Y52" s="110"/>
      <c r="Z52" s="110"/>
      <c r="AA52" s="114"/>
      <c r="AB52" s="189"/>
      <c r="AC52" s="110"/>
      <c r="AD52" s="187"/>
      <c r="AE52" s="110"/>
      <c r="AF52" s="110"/>
      <c r="AG52" s="188"/>
      <c r="AV52" s="110"/>
      <c r="AW52" s="110"/>
      <c r="AX52" s="110"/>
    </row>
    <row r="53" spans="16:50">
      <c r="P53" s="184"/>
      <c r="V53" s="110"/>
      <c r="W53" s="110"/>
      <c r="X53" s="110"/>
      <c r="Y53" s="110"/>
      <c r="Z53" s="110"/>
      <c r="AA53" s="114"/>
      <c r="AB53" s="189"/>
      <c r="AC53" s="110"/>
      <c r="AD53" s="187"/>
      <c r="AE53" s="110"/>
      <c r="AF53" s="110"/>
      <c r="AG53" s="191"/>
      <c r="AV53" s="110"/>
      <c r="AW53" s="110"/>
      <c r="AX53" s="110"/>
    </row>
    <row r="54" spans="16:50">
      <c r="P54" s="184"/>
    </row>
    <row r="55" spans="16:50">
      <c r="P55" s="184"/>
    </row>
    <row r="56" spans="16:50">
      <c r="P56" s="184"/>
    </row>
    <row r="57" spans="16:50">
      <c r="P57" s="184"/>
    </row>
    <row r="58" spans="16:50">
      <c r="P58" s="184"/>
    </row>
    <row r="59" spans="16:50">
      <c r="P59" s="184"/>
    </row>
    <row r="60" spans="16:50">
      <c r="P60" s="184"/>
    </row>
    <row r="61" spans="16:50">
      <c r="P61" s="184"/>
    </row>
    <row r="62" spans="16:50">
      <c r="P62" s="184"/>
    </row>
    <row r="63" spans="16:50">
      <c r="P63" s="184"/>
    </row>
    <row r="64" spans="16:50">
      <c r="P64" s="184"/>
    </row>
    <row r="65" spans="16:18">
      <c r="P65" s="184"/>
    </row>
    <row r="66" spans="16:18">
      <c r="P66" s="184"/>
    </row>
    <row r="67" spans="16:18">
      <c r="P67" s="184"/>
    </row>
    <row r="68" spans="16:18">
      <c r="P68" s="184"/>
    </row>
    <row r="69" spans="16:18">
      <c r="P69" s="184"/>
      <c r="Q69" s="184"/>
      <c r="R69" s="184"/>
    </row>
  </sheetData>
  <sortState xmlns:xlrd2="http://schemas.microsoft.com/office/spreadsheetml/2017/richdata2" ref="P7:S47">
    <sortCondition ref="S7:S47"/>
  </sortState>
  <conditionalFormatting sqref="AG37:AG46">
    <cfRule type="expression" dxfId="2" priority="3">
      <formula>ISNA(AG37)</formula>
    </cfRule>
  </conditionalFormatting>
  <conditionalFormatting sqref="AG48">
    <cfRule type="expression" dxfId="1" priority="5">
      <formula>ISNA(AG48)</formula>
    </cfRule>
  </conditionalFormatting>
  <conditionalFormatting sqref="AG51:AG53">
    <cfRule type="expression" dxfId="0" priority="1">
      <formula>ISNA(AG51)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view="pageLayout" zoomScale="56" zoomScaleNormal="80" zoomScalePageLayoutView="56" workbookViewId="0">
      <selection activeCell="G25" sqref="G25:H32"/>
    </sheetView>
  </sheetViews>
  <sheetFormatPr defaultColWidth="9.1796875" defaultRowHeight="14.5"/>
  <cols>
    <col min="1" max="1" width="14.269531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24.26953125" style="2" customWidth="1"/>
    <col min="6" max="6" width="23.453125" style="2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19</v>
      </c>
      <c r="B1" s="458"/>
      <c r="C1" s="458"/>
    </row>
    <row r="2" spans="1:7" ht="18.5">
      <c r="A2" s="34">
        <v>2025</v>
      </c>
    </row>
    <row r="4" spans="1:7">
      <c r="B4" s="39"/>
      <c r="G4" s="69"/>
    </row>
    <row r="5" spans="1:7" ht="30" customHeight="1">
      <c r="A5" s="459" t="str">
        <f>+ARG!A5</f>
        <v>DATA INPUT FOR CALCULATIONS</v>
      </c>
      <c r="B5" s="459"/>
      <c r="C5" s="459"/>
      <c r="D5" s="459"/>
      <c r="E5" s="459"/>
      <c r="F5" s="459"/>
      <c r="G5" s="69"/>
    </row>
    <row r="6" spans="1:7" ht="15" thickBot="1">
      <c r="G6" s="69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69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88">
        <v>11744.710041800001</v>
      </c>
      <c r="D8" s="325" t="str">
        <f>+ARG!$D$8</f>
        <v>Billions</v>
      </c>
      <c r="E8" s="203" t="str">
        <f>+ARG!$E$8</f>
        <v>IDM, World Bank</v>
      </c>
      <c r="F8" s="1"/>
    </row>
    <row r="9" spans="1:7">
      <c r="A9" s="443"/>
      <c r="B9" s="287" t="str">
        <f>+ARG!$B$9</f>
        <v>Purchasing Power Parity (PPP) conversion factor</v>
      </c>
      <c r="C9" s="388">
        <v>2.4805860119391698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88">
        <v>106790403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80">
        <f>+((C8*1000000000)/C10)/C9</f>
        <v>44335.925982453293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C12" s="4"/>
      <c r="D12" s="1"/>
      <c r="E12" s="1"/>
      <c r="F12" s="1"/>
    </row>
    <row r="13" spans="1:7" ht="15" thickBot="1">
      <c r="C13" s="4"/>
      <c r="D13" s="1"/>
      <c r="E13" s="1"/>
      <c r="F13" s="1"/>
      <c r="G13" s="290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40.5" customHeight="1">
      <c r="A15" s="443" t="str">
        <f>+ARG!$A$15</f>
        <v>Wages</v>
      </c>
      <c r="B15" s="287" t="str">
        <f>+ARG!$B$15</f>
        <v>Monthly minimum wage</v>
      </c>
      <c r="C15" s="388">
        <v>1518</v>
      </c>
      <c r="D15" s="203" t="s">
        <v>20</v>
      </c>
      <c r="E15" s="203" t="s">
        <v>21</v>
      </c>
      <c r="F15" s="275"/>
    </row>
    <row r="16" spans="1:7">
      <c r="A16" s="443"/>
      <c r="B16" s="287" t="str">
        <f>+ARG!$B$16</f>
        <v>Monthly minimum wage (US $ PPP)</v>
      </c>
      <c r="C16" s="221">
        <f>+C15/C9</f>
        <v>611.95217287116793</v>
      </c>
      <c r="D16" s="203" t="s">
        <v>387</v>
      </c>
      <c r="E16" s="203" t="s">
        <v>229</v>
      </c>
      <c r="F16" s="1"/>
    </row>
    <row r="17" spans="1:8">
      <c r="A17" s="443"/>
      <c r="B17" s="287" t="str">
        <f>+ARG!$B$17</f>
        <v>Annual minimum wage (US $ PPP)</v>
      </c>
      <c r="C17" s="221">
        <f>+C16*12</f>
        <v>7343.4260744540152</v>
      </c>
      <c r="D17" s="203" t="s">
        <v>387</v>
      </c>
      <c r="E17" s="203" t="s">
        <v>229</v>
      </c>
      <c r="F17" s="1"/>
    </row>
    <row r="18" spans="1:8" ht="26">
      <c r="A18" s="443"/>
      <c r="B18" s="287" t="str">
        <f>+ARG!$B$18</f>
        <v xml:space="preserve">Monthly wage of formal wage workers (US $ PPP) </v>
      </c>
      <c r="C18" s="221">
        <f>3431/C9</f>
        <v>1383.1409124644119</v>
      </c>
      <c r="D18" s="203" t="s">
        <v>387</v>
      </c>
      <c r="E18" s="203" t="s">
        <v>376</v>
      </c>
      <c r="F18" s="1"/>
    </row>
    <row r="19" spans="1:8" ht="26">
      <c r="A19" s="443"/>
      <c r="B19" s="287" t="str">
        <f>+ARG!$B$19</f>
        <v>Annual wage of formal wage workers (US $ PPP)</v>
      </c>
      <c r="C19" s="221">
        <f>+C18*12</f>
        <v>16597.690949572941</v>
      </c>
      <c r="D19" s="203" t="s">
        <v>387</v>
      </c>
      <c r="E19" s="203" t="s">
        <v>376</v>
      </c>
      <c r="F19" s="1"/>
    </row>
    <row r="20" spans="1:8" ht="29">
      <c r="A20" s="443"/>
      <c r="B20" s="287" t="s">
        <v>392</v>
      </c>
      <c r="C20" s="221">
        <f>1486/C9*12</f>
        <v>7188.6239437672375</v>
      </c>
      <c r="D20" s="203" t="s">
        <v>387</v>
      </c>
      <c r="E20" s="203" t="s">
        <v>376</v>
      </c>
      <c r="F20" s="1"/>
    </row>
    <row r="21" spans="1:8">
      <c r="A21" s="178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72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73"/>
      <c r="G24" s="295" t="str">
        <f>+ARG!$G$25</f>
        <v>ACSL</v>
      </c>
      <c r="H24" s="295" t="str">
        <f>+ARG!$H$25</f>
        <v>MCSL</v>
      </c>
    </row>
    <row r="25" spans="1:8" ht="25.5" customHeight="1">
      <c r="A25" s="443" t="str">
        <f>+ARG!$A$26</f>
        <v>Mandatory contributions</v>
      </c>
      <c r="B25" s="293" t="str">
        <f>+ARG!$B$26</f>
        <v>Pensions</v>
      </c>
      <c r="C25" s="296" t="s">
        <v>248</v>
      </c>
      <c r="D25" s="303" t="s">
        <v>22</v>
      </c>
      <c r="E25" s="306">
        <v>0.2</v>
      </c>
      <c r="F25" s="470" t="s">
        <v>247</v>
      </c>
      <c r="G25" s="469">
        <f>9%+SUM(E25:E32)</f>
        <v>0.43000000000000005</v>
      </c>
      <c r="H25" s="469">
        <f>7.5%+SUM(E25:E32)</f>
        <v>0.41500000000000004</v>
      </c>
    </row>
    <row r="26" spans="1:8">
      <c r="A26" s="443"/>
      <c r="B26" s="294" t="str">
        <f>+ARG!$B$27</f>
        <v>Health</v>
      </c>
      <c r="C26" s="298" t="s">
        <v>257</v>
      </c>
      <c r="D26" s="389"/>
      <c r="E26" s="304"/>
      <c r="F26" s="470"/>
      <c r="G26" s="469"/>
      <c r="H26" s="469"/>
    </row>
    <row r="27" spans="1:8" ht="27" customHeight="1">
      <c r="A27" s="443"/>
      <c r="B27" s="471" t="str">
        <f>+ARG!$B$29</f>
        <v>Others</v>
      </c>
      <c r="C27" s="296" t="s">
        <v>250</v>
      </c>
      <c r="D27" s="236">
        <v>0</v>
      </c>
      <c r="E27" s="303">
        <v>0.01</v>
      </c>
      <c r="F27" s="470"/>
      <c r="G27" s="469"/>
      <c r="H27" s="469"/>
    </row>
    <row r="28" spans="1:8">
      <c r="A28" s="443"/>
      <c r="B28" s="471"/>
      <c r="C28" s="296" t="s">
        <v>270</v>
      </c>
      <c r="D28" s="236"/>
      <c r="E28" s="303">
        <v>2.5000000000000001E-2</v>
      </c>
      <c r="F28" s="470"/>
      <c r="G28" s="469"/>
      <c r="H28" s="469"/>
    </row>
    <row r="29" spans="1:8" ht="25.5" customHeight="1">
      <c r="A29" s="443"/>
      <c r="B29" s="471"/>
      <c r="C29" s="296" t="s">
        <v>271</v>
      </c>
      <c r="D29" s="236"/>
      <c r="E29" s="303">
        <v>0.01</v>
      </c>
      <c r="F29" s="470"/>
      <c r="G29" s="469"/>
      <c r="H29" s="469"/>
    </row>
    <row r="30" spans="1:8">
      <c r="A30" s="443"/>
      <c r="B30" s="471"/>
      <c r="C30" s="296" t="s">
        <v>272</v>
      </c>
      <c r="D30" s="236"/>
      <c r="E30" s="303">
        <v>1.4999999999999999E-2</v>
      </c>
      <c r="F30" s="470"/>
      <c r="G30" s="469"/>
      <c r="H30" s="469"/>
    </row>
    <row r="31" spans="1:8" hidden="1">
      <c r="A31" s="443"/>
      <c r="B31" s="471"/>
      <c r="C31" s="296"/>
      <c r="D31" s="236"/>
      <c r="E31" s="303"/>
      <c r="F31" s="470"/>
      <c r="G31" s="469"/>
      <c r="H31" s="469"/>
    </row>
    <row r="32" spans="1:8">
      <c r="A32" s="443"/>
      <c r="B32" s="471"/>
      <c r="C32" s="296" t="s">
        <v>23</v>
      </c>
      <c r="D32" s="303"/>
      <c r="E32" s="306">
        <v>0.08</v>
      </c>
      <c r="F32" s="470"/>
      <c r="G32" s="469"/>
      <c r="H32" s="469"/>
    </row>
    <row r="33" spans="1:8" ht="15" customHeight="1">
      <c r="A33" s="39"/>
      <c r="B33" s="54"/>
      <c r="C33"/>
      <c r="D33"/>
    </row>
    <row r="34" spans="1:8" ht="15" customHeight="1">
      <c r="A34" s="39"/>
      <c r="B34"/>
      <c r="C34"/>
      <c r="D34"/>
    </row>
    <row r="35" spans="1:8" ht="15" customHeight="1">
      <c r="A35" s="39"/>
      <c r="B35"/>
      <c r="C35"/>
      <c r="D35"/>
    </row>
    <row r="36" spans="1:8" ht="15.75" customHeight="1">
      <c r="A36" s="39"/>
      <c r="B36"/>
      <c r="C36"/>
      <c r="D36"/>
      <c r="E36" s="8"/>
      <c r="F36" s="8"/>
    </row>
    <row r="37" spans="1:8" ht="15.75" customHeight="1" thickBot="1">
      <c r="A37" s="8"/>
      <c r="B37" s="8"/>
      <c r="C37" s="8"/>
      <c r="D37" s="8"/>
      <c r="E37" s="8"/>
      <c r="F37" s="8"/>
      <c r="G37" s="169"/>
      <c r="H37" s="68"/>
    </row>
    <row r="38" spans="1:8">
      <c r="A38" s="382"/>
      <c r="B38" s="383" t="s">
        <v>44</v>
      </c>
      <c r="C38" s="383" t="s">
        <v>13</v>
      </c>
      <c r="D38" s="378" t="s">
        <v>14</v>
      </c>
      <c r="E38" s="384" t="s">
        <v>255</v>
      </c>
      <c r="G38" s="169"/>
      <c r="H38" s="66"/>
    </row>
    <row r="39" spans="1:8" ht="75" customHeight="1">
      <c r="A39" s="443" t="s">
        <v>235</v>
      </c>
      <c r="B39" s="339" t="str">
        <f>+ARG!$B$36</f>
        <v>Bonus</v>
      </c>
      <c r="C39" s="340">
        <v>30</v>
      </c>
      <c r="D39" s="376">
        <f>(($C$16/30.43)*C39)/$C$17</f>
        <v>8.2155767334866903E-2</v>
      </c>
      <c r="E39" s="287" t="s">
        <v>266</v>
      </c>
      <c r="G39" s="67"/>
      <c r="H39" s="66"/>
    </row>
    <row r="40" spans="1:8" ht="52">
      <c r="A40" s="443"/>
      <c r="B40" s="342" t="str">
        <f>+ARG!$B$37</f>
        <v>Paid leave</v>
      </c>
      <c r="C40" s="327">
        <v>40</v>
      </c>
      <c r="D40" s="390">
        <f>(($C$16/30.43)*C40)/$C$17</f>
        <v>0.10954102311315589</v>
      </c>
      <c r="E40" s="375" t="s">
        <v>267</v>
      </c>
      <c r="G40" s="67"/>
      <c r="H40" s="66"/>
    </row>
    <row r="41" spans="1:8" ht="39" customHeight="1">
      <c r="A41" s="443"/>
      <c r="B41" s="339" t="str">
        <f>+ARG!$B$38</f>
        <v>Firing notice *</v>
      </c>
      <c r="C41" s="340">
        <v>45</v>
      </c>
      <c r="D41" s="376">
        <f>(($C$16/30.43)*C41)/$C$17/5</f>
        <v>2.4646730200460074E-2</v>
      </c>
      <c r="E41" s="376" t="s">
        <v>268</v>
      </c>
    </row>
    <row r="42" spans="1:8">
      <c r="A42" s="443"/>
      <c r="B42" s="342" t="str">
        <f>+ARG!$B$39</f>
        <v>Severance pay *</v>
      </c>
      <c r="C42" s="327">
        <v>57.6</v>
      </c>
      <c r="D42" s="377">
        <f>(($C$16/30.43)*C42)/$C$17/5</f>
        <v>3.1547814656588895E-2</v>
      </c>
      <c r="E42" s="377" t="s">
        <v>269</v>
      </c>
    </row>
    <row r="43" spans="1:8" ht="15" customHeight="1">
      <c r="A43" s="444" t="s">
        <v>237</v>
      </c>
      <c r="B43" s="444"/>
      <c r="C43" s="444"/>
      <c r="D43" s="444"/>
      <c r="E43" s="444"/>
      <c r="F43" s="444"/>
    </row>
    <row r="44" spans="1:8">
      <c r="E44" s="6"/>
    </row>
    <row r="45" spans="1:8">
      <c r="D45" s="40"/>
      <c r="E45" s="40"/>
    </row>
    <row r="46" spans="1:8">
      <c r="B46" s="1"/>
      <c r="C46" s="1"/>
    </row>
    <row r="47" spans="1:8">
      <c r="B47" s="302"/>
      <c r="C47" s="7"/>
    </row>
    <row r="48" spans="1:8">
      <c r="B48"/>
      <c r="C48" s="3"/>
    </row>
    <row r="49" spans="2:3">
      <c r="B49" s="302"/>
      <c r="C49" s="3"/>
    </row>
    <row r="50" spans="2:3">
      <c r="B50"/>
      <c r="C50" s="3"/>
    </row>
    <row r="51" spans="2:3">
      <c r="B51" s="302"/>
      <c r="C51" s="3"/>
    </row>
    <row r="52" spans="2:3">
      <c r="B52"/>
      <c r="C52" s="3"/>
    </row>
    <row r="53" spans="2:3">
      <c r="B53" s="302"/>
      <c r="C53" s="3"/>
    </row>
    <row r="54" spans="2:3">
      <c r="B54"/>
      <c r="C54" s="3"/>
    </row>
    <row r="55" spans="2:3">
      <c r="B55" s="302"/>
      <c r="C55" s="3"/>
    </row>
    <row r="56" spans="2:3">
      <c r="B56"/>
    </row>
    <row r="57" spans="2:3">
      <c r="B57" s="302"/>
    </row>
  </sheetData>
  <mergeCells count="19">
    <mergeCell ref="A43:F43"/>
    <mergeCell ref="F23:F24"/>
    <mergeCell ref="A23:A24"/>
    <mergeCell ref="B23:B24"/>
    <mergeCell ref="C23:C24"/>
    <mergeCell ref="D23:D24"/>
    <mergeCell ref="E23:E24"/>
    <mergeCell ref="A25:A32"/>
    <mergeCell ref="H25:H32"/>
    <mergeCell ref="A39:A42"/>
    <mergeCell ref="F25:F32"/>
    <mergeCell ref="B27:B32"/>
    <mergeCell ref="A1:C1"/>
    <mergeCell ref="A5:F5"/>
    <mergeCell ref="A8:A11"/>
    <mergeCell ref="G23:H23"/>
    <mergeCell ref="G25:G32"/>
    <mergeCell ref="A15:A20"/>
    <mergeCell ref="A22:H22"/>
  </mergeCells>
  <pageMargins left="0.30078125" right="0.7" top="0.75" bottom="0.75" header="0.3" footer="0.3"/>
  <pageSetup scale="4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view="pageLayout" topLeftCell="A12" zoomScale="40" zoomScaleNormal="80" zoomScalePageLayoutView="40" workbookViewId="0">
      <selection activeCell="D25" sqref="D25:E30"/>
    </sheetView>
  </sheetViews>
  <sheetFormatPr defaultColWidth="9.1796875" defaultRowHeight="14.5"/>
  <cols>
    <col min="1" max="1" width="16.1796875" style="2" customWidth="1"/>
    <col min="2" max="2" width="45.453125" style="2" customWidth="1"/>
    <col min="3" max="3" width="36.54296875" style="2" customWidth="1"/>
    <col min="4" max="4" width="22.1796875" style="2" customWidth="1"/>
    <col min="5" max="5" width="24.26953125" style="2" customWidth="1"/>
    <col min="6" max="6" width="29.816406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6" ht="28.5">
      <c r="A1" s="458" t="s">
        <v>24</v>
      </c>
      <c r="B1" s="458"/>
      <c r="C1" s="458"/>
    </row>
    <row r="2" spans="1:6" ht="18.5">
      <c r="A2" s="34">
        <v>2025</v>
      </c>
    </row>
    <row r="4" spans="1:6">
      <c r="B4" s="39"/>
    </row>
    <row r="5" spans="1:6" ht="30" customHeight="1">
      <c r="A5" s="459" t="str">
        <f>+ARG!A5</f>
        <v>DATA INPUT FOR CALCULATIONS</v>
      </c>
      <c r="B5" s="459"/>
      <c r="C5" s="459"/>
      <c r="D5" s="459"/>
      <c r="E5" s="459"/>
      <c r="F5" s="459"/>
    </row>
    <row r="6" spans="1:6" ht="15" thickBot="1"/>
    <row r="7" spans="1:6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</row>
    <row r="8" spans="1:6" ht="15" customHeight="1">
      <c r="A8" s="443" t="str">
        <f>+ARG!$A$8</f>
        <v>Country data</v>
      </c>
      <c r="B8" s="287" t="str">
        <f>+ARG!$B$8</f>
        <v>GDP (current prices in local currency)</v>
      </c>
      <c r="C8" s="324">
        <v>311630.87849859998</v>
      </c>
      <c r="D8" s="325" t="str">
        <f>+ARG!$D$8</f>
        <v>Billions</v>
      </c>
      <c r="E8" s="203" t="str">
        <f>+ARG!$E$8</f>
        <v>IDM, World Bank</v>
      </c>
      <c r="F8" s="1"/>
    </row>
    <row r="9" spans="1:6">
      <c r="A9" s="443"/>
      <c r="B9" s="287" t="str">
        <f>+ARG!$B$9</f>
        <v>Purchasing Power Parity (PPP) conversion factor</v>
      </c>
      <c r="C9" s="324">
        <v>455.20493599999998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6">
      <c r="A10" s="443"/>
      <c r="B10" s="287" t="str">
        <f>+ARG!$B$10</f>
        <v>Employment</v>
      </c>
      <c r="C10" s="324">
        <v>10088445</v>
      </c>
      <c r="D10" s="203" t="str">
        <f>+ARG!$D$10</f>
        <v>Workers</v>
      </c>
      <c r="E10" s="203" t="str">
        <f>+ARG!$E$10</f>
        <v>IDM, World Bank</v>
      </c>
      <c r="F10" s="1"/>
    </row>
    <row r="11" spans="1:6">
      <c r="A11" s="443"/>
      <c r="B11" s="287" t="str">
        <f>+ARG!$B$11</f>
        <v>GDP per worker</v>
      </c>
      <c r="C11" s="380">
        <f>+((C8*1000000000)/C10)/C9</f>
        <v>67859.286758660368</v>
      </c>
      <c r="D11" s="203" t="str">
        <f>+ARG!$D$11</f>
        <v>US $ PPP</v>
      </c>
      <c r="E11" s="203" t="str">
        <f>+ARG!$E$11</f>
        <v>Own calculations</v>
      </c>
      <c r="F11" s="1"/>
    </row>
    <row r="12" spans="1:6">
      <c r="C12" s="4"/>
      <c r="D12" s="1"/>
      <c r="E12" s="1"/>
      <c r="F12" s="1"/>
    </row>
    <row r="13" spans="1:6" ht="15" thickBot="1">
      <c r="C13" s="4"/>
      <c r="D13" s="1"/>
      <c r="E13" s="1"/>
      <c r="F13" s="1"/>
    </row>
    <row r="14" spans="1:6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6" ht="42.75" customHeight="1">
      <c r="A15" s="443" t="str">
        <f>+ARG!$A$15</f>
        <v>Wages</v>
      </c>
      <c r="B15" s="287" t="str">
        <f>+ARG!$B$15</f>
        <v>Monthly minimum wage</v>
      </c>
      <c r="C15" s="324">
        <v>529000</v>
      </c>
      <c r="D15" s="203" t="s">
        <v>4</v>
      </c>
      <c r="E15" s="203" t="s">
        <v>277</v>
      </c>
      <c r="F15" s="1"/>
    </row>
    <row r="16" spans="1:6">
      <c r="A16" s="443"/>
      <c r="B16" s="287" t="str">
        <f>+ARG!$B$16</f>
        <v>Monthly minimum wage (US $ PPP)</v>
      </c>
      <c r="C16" s="221">
        <f>+C15/C9</f>
        <v>1162.1139363040652</v>
      </c>
      <c r="D16" s="203" t="s">
        <v>387</v>
      </c>
      <c r="E16" s="203" t="s">
        <v>229</v>
      </c>
      <c r="F16" s="1"/>
    </row>
    <row r="17" spans="1:8">
      <c r="A17" s="443"/>
      <c r="B17" s="287" t="str">
        <f>+ARG!$B$17</f>
        <v>Annual minimum wage (US $ PPP)</v>
      </c>
      <c r="C17" s="221">
        <f>+C16*12</f>
        <v>13945.367235648782</v>
      </c>
      <c r="D17" s="203" t="s">
        <v>387</v>
      </c>
      <c r="E17" s="203" t="s">
        <v>229</v>
      </c>
      <c r="F17" s="1"/>
    </row>
    <row r="18" spans="1:8" ht="39">
      <c r="A18" s="443"/>
      <c r="B18" s="287" t="str">
        <f>+ARG!$B$18</f>
        <v xml:space="preserve">Monthly wage of formal wage workers (US $ PPP) </v>
      </c>
      <c r="C18" s="221">
        <v>2346.0639715031562</v>
      </c>
      <c r="D18" s="203" t="s">
        <v>387</v>
      </c>
      <c r="E18" s="203" t="s">
        <v>229</v>
      </c>
      <c r="F18" s="272" t="s">
        <v>25</v>
      </c>
    </row>
    <row r="19" spans="1:8">
      <c r="A19" s="443"/>
      <c r="B19" s="287" t="str">
        <f>+ARG!$B$19</f>
        <v>Annual wage of formal wage workers (US $ PPP)</v>
      </c>
      <c r="C19" s="221">
        <f>+C18*12</f>
        <v>28152.767658037876</v>
      </c>
      <c r="D19" s="203" t="s">
        <v>387</v>
      </c>
      <c r="E19" s="203" t="s">
        <v>229</v>
      </c>
      <c r="F19" s="1"/>
    </row>
    <row r="20" spans="1:8" ht="39">
      <c r="A20" s="443"/>
      <c r="B20" s="287" t="str">
        <f>+ARG!$B$20</f>
        <v>Annual average wage of informal wage workers (US $ PPP)</v>
      </c>
      <c r="C20" s="221">
        <v>15400.707078448726</v>
      </c>
      <c r="D20" s="203" t="s">
        <v>387</v>
      </c>
      <c r="E20" s="203" t="s">
        <v>276</v>
      </c>
      <c r="F20" s="1"/>
    </row>
    <row r="21" spans="1:8">
      <c r="A21" s="178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52"/>
      <c r="G24" s="295" t="str">
        <f>+ARG!$G$25</f>
        <v>ACSL</v>
      </c>
      <c r="H24" s="295" t="str">
        <f>+ARG!$H$25</f>
        <v>MCSL</v>
      </c>
    </row>
    <row r="25" spans="1:8" ht="14.9" customHeight="1">
      <c r="A25" s="443" t="str">
        <f>+ARG!$A$26</f>
        <v>Mandatory contributions</v>
      </c>
      <c r="B25" s="305" t="s">
        <v>316</v>
      </c>
      <c r="C25" s="296" t="s">
        <v>248</v>
      </c>
      <c r="D25" s="303">
        <v>0.1</v>
      </c>
      <c r="E25" s="411">
        <v>0.01</v>
      </c>
      <c r="F25" s="474" t="s">
        <v>247</v>
      </c>
      <c r="G25" s="475">
        <f>SUM(D25:E30)</f>
        <v>0.25130000000000002</v>
      </c>
      <c r="H25" s="461">
        <f>SUM(D25:E30)</f>
        <v>0.25130000000000002</v>
      </c>
    </row>
    <row r="26" spans="1:8" ht="14.9" customHeight="1">
      <c r="A26" s="443"/>
      <c r="B26" s="372" t="s">
        <v>233</v>
      </c>
      <c r="C26" s="298" t="s">
        <v>257</v>
      </c>
      <c r="D26" s="397">
        <v>7.0000000000000007E-2</v>
      </c>
      <c r="E26" s="397"/>
      <c r="F26" s="474"/>
      <c r="G26" s="475"/>
      <c r="H26" s="461"/>
    </row>
    <row r="27" spans="1:8" ht="27" customHeight="1">
      <c r="A27" s="443"/>
      <c r="B27" s="471" t="s">
        <v>234</v>
      </c>
      <c r="C27" s="299" t="s">
        <v>279</v>
      </c>
      <c r="D27" s="303">
        <v>6.0000000000000001E-3</v>
      </c>
      <c r="E27" s="303">
        <v>2.4E-2</v>
      </c>
      <c r="F27" s="474"/>
      <c r="G27" s="475"/>
      <c r="H27" s="461"/>
    </row>
    <row r="28" spans="1:8" ht="14.9" customHeight="1">
      <c r="A28" s="443"/>
      <c r="B28" s="471"/>
      <c r="C28" s="299" t="s">
        <v>250</v>
      </c>
      <c r="D28" s="411"/>
      <c r="E28" s="303">
        <v>8.9999999999999993E-3</v>
      </c>
      <c r="F28" s="474"/>
      <c r="G28" s="475"/>
      <c r="H28" s="461"/>
    </row>
    <row r="29" spans="1:8" ht="14.9" customHeight="1">
      <c r="A29" s="443"/>
      <c r="B29" s="471"/>
      <c r="C29" s="299" t="s">
        <v>280</v>
      </c>
      <c r="D29" s="411"/>
      <c r="E29" s="303">
        <v>1.78E-2</v>
      </c>
      <c r="F29" s="474"/>
      <c r="G29" s="475"/>
      <c r="H29" s="461"/>
    </row>
    <row r="30" spans="1:8" ht="15" customHeight="1">
      <c r="A30" s="443"/>
      <c r="B30" s="471"/>
      <c r="C30" s="299" t="s">
        <v>281</v>
      </c>
      <c r="D30" s="303">
        <v>1.4500000000000001E-2</v>
      </c>
      <c r="E30" s="303"/>
      <c r="F30" s="474"/>
      <c r="G30" s="475"/>
      <c r="H30" s="461"/>
    </row>
    <row r="31" spans="1:8" ht="15.75" customHeight="1">
      <c r="A31"/>
      <c r="B31" s="63"/>
      <c r="C31"/>
      <c r="D31"/>
    </row>
    <row r="32" spans="1:8" ht="15.75" customHeight="1">
      <c r="A32" s="53"/>
      <c r="B32" s="54"/>
      <c r="C32"/>
      <c r="D32"/>
      <c r="E32" s="8"/>
      <c r="F32" s="8"/>
    </row>
    <row r="33" spans="1:7" ht="15.75" customHeight="1" thickBot="1">
      <c r="A33" s="8"/>
      <c r="B33" s="8"/>
      <c r="C33" s="8"/>
      <c r="D33" s="8"/>
      <c r="E33" s="8"/>
      <c r="F33" s="8"/>
    </row>
    <row r="34" spans="1:7">
      <c r="A34" s="382"/>
      <c r="B34" s="383" t="s">
        <v>44</v>
      </c>
      <c r="C34" s="383" t="s">
        <v>13</v>
      </c>
      <c r="D34" s="378" t="s">
        <v>14</v>
      </c>
      <c r="E34" s="384" t="s">
        <v>255</v>
      </c>
    </row>
    <row r="35" spans="1:7" ht="30" customHeight="1">
      <c r="A35" s="443" t="s">
        <v>235</v>
      </c>
      <c r="B35" s="339" t="str">
        <f>+ARG!$B$36</f>
        <v>Bonus</v>
      </c>
      <c r="C35" s="340">
        <v>0</v>
      </c>
      <c r="D35" s="385">
        <f>(($C$16/30.43)*C35)/$C$17</f>
        <v>0</v>
      </c>
      <c r="E35" s="376" t="s">
        <v>26</v>
      </c>
    </row>
    <row r="36" spans="1:7">
      <c r="A36" s="443"/>
      <c r="B36" s="342" t="str">
        <f>+ARG!$B$37</f>
        <v>Paid leave</v>
      </c>
      <c r="C36" s="327">
        <v>15</v>
      </c>
      <c r="D36" s="297">
        <f>(($C$16/30.43)*C36)/$C$17</f>
        <v>4.1077883667433458E-2</v>
      </c>
      <c r="E36" s="375" t="s">
        <v>273</v>
      </c>
    </row>
    <row r="37" spans="1:7" ht="30.75" customHeight="1">
      <c r="A37" s="443"/>
      <c r="B37" s="339" t="str">
        <f>+ARG!$B$38</f>
        <v>Firing notice *</v>
      </c>
      <c r="C37" s="340">
        <v>30</v>
      </c>
      <c r="D37" s="385">
        <f>(($C$16/30.43)*C37)/$C$17/5</f>
        <v>1.6431153466973384E-2</v>
      </c>
      <c r="E37" s="376" t="s">
        <v>274</v>
      </c>
    </row>
    <row r="38" spans="1:7" ht="26">
      <c r="A38" s="443"/>
      <c r="B38" s="342" t="str">
        <f>+ARG!$B$39</f>
        <v>Severance pay *</v>
      </c>
      <c r="C38" s="327">
        <v>150</v>
      </c>
      <c r="D38" s="297">
        <f>(($C$16/30.43)*C38)/$C$17/5</f>
        <v>8.2155767334866917E-2</v>
      </c>
      <c r="E38" s="377" t="s">
        <v>275</v>
      </c>
    </row>
    <row r="39" spans="1:7" ht="15" customHeight="1">
      <c r="A39" s="444" t="s">
        <v>237</v>
      </c>
      <c r="B39" s="444"/>
      <c r="C39" s="444"/>
      <c r="D39" s="444"/>
      <c r="E39" s="444"/>
      <c r="F39" s="444"/>
    </row>
    <row r="40" spans="1:7">
      <c r="A40" s="39"/>
      <c r="E40" s="331"/>
    </row>
    <row r="41" spans="1:7">
      <c r="A41" s="39"/>
      <c r="E41" s="1"/>
      <c r="F41" s="7"/>
      <c r="G41" s="3"/>
    </row>
    <row r="42" spans="1:7">
      <c r="A42" s="39"/>
      <c r="B42" s="1"/>
      <c r="C42" s="1"/>
    </row>
    <row r="43" spans="1:7">
      <c r="B43" s="1"/>
      <c r="C43" s="7"/>
    </row>
    <row r="44" spans="1:7">
      <c r="C44" s="3"/>
    </row>
    <row r="45" spans="1:7">
      <c r="C45" s="302"/>
    </row>
    <row r="46" spans="1:7">
      <c r="C46"/>
    </row>
    <row r="47" spans="1:7">
      <c r="C47" s="302"/>
    </row>
    <row r="48" spans="1:7">
      <c r="C48"/>
    </row>
    <row r="49" spans="3:3">
      <c r="C49" s="302"/>
    </row>
    <row r="50" spans="3:3">
      <c r="C50"/>
    </row>
    <row r="51" spans="3:3">
      <c r="C51" s="302"/>
    </row>
    <row r="52" spans="3:3">
      <c r="C52"/>
    </row>
    <row r="53" spans="3:3">
      <c r="C53" s="302"/>
    </row>
    <row r="54" spans="3:3">
      <c r="C54"/>
    </row>
    <row r="55" spans="3:3">
      <c r="C55" s="302"/>
    </row>
  </sheetData>
  <mergeCells count="19">
    <mergeCell ref="A35:A38"/>
    <mergeCell ref="A39:F39"/>
    <mergeCell ref="F23:F24"/>
    <mergeCell ref="G23:H23"/>
    <mergeCell ref="A25:A30"/>
    <mergeCell ref="G25:G30"/>
    <mergeCell ref="H25:H30"/>
    <mergeCell ref="A23:A24"/>
    <mergeCell ref="B23:B24"/>
    <mergeCell ref="C23:C24"/>
    <mergeCell ref="D23:D24"/>
    <mergeCell ref="E23:E24"/>
    <mergeCell ref="A1:C1"/>
    <mergeCell ref="A5:F5"/>
    <mergeCell ref="A8:A11"/>
    <mergeCell ref="B27:B30"/>
    <mergeCell ref="F25:F30"/>
    <mergeCell ref="A15:A20"/>
    <mergeCell ref="A22:H22"/>
  </mergeCells>
  <pageMargins left="0.37851562500000002" right="0.7" top="0.75" bottom="0.7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3"/>
  <sheetViews>
    <sheetView showGridLines="0" view="pageLayout" zoomScale="55" zoomScaleNormal="80" zoomScalePageLayoutView="55" workbookViewId="0">
      <selection activeCell="E39" sqref="E39:E42"/>
    </sheetView>
  </sheetViews>
  <sheetFormatPr defaultColWidth="9.1796875" defaultRowHeight="14.5"/>
  <cols>
    <col min="1" max="1" width="15.7265625" style="2" customWidth="1"/>
    <col min="2" max="2" width="42.453125" style="2" customWidth="1"/>
    <col min="3" max="3" width="36.54296875" style="2" customWidth="1"/>
    <col min="4" max="4" width="22.1796875" style="2" customWidth="1"/>
    <col min="5" max="5" width="24.26953125" style="2" customWidth="1"/>
    <col min="6" max="6" width="31" style="2" customWidth="1"/>
    <col min="7" max="7" width="15" style="2" customWidth="1"/>
    <col min="8" max="8" width="11.7265625" style="2" customWidth="1"/>
    <col min="9" max="16384" width="9.1796875" style="2"/>
  </cols>
  <sheetData>
    <row r="1" spans="1:6" ht="21" customHeight="1">
      <c r="A1" s="458" t="s">
        <v>27</v>
      </c>
      <c r="B1" s="458"/>
      <c r="C1" s="458"/>
    </row>
    <row r="2" spans="1:6" ht="18.5">
      <c r="A2" s="34">
        <v>2025</v>
      </c>
    </row>
    <row r="5" spans="1:6" ht="30" customHeight="1">
      <c r="A5" s="459" t="str">
        <f>+ARG!A5</f>
        <v>DATA INPUT FOR CALCULATIONS</v>
      </c>
      <c r="B5" s="459"/>
      <c r="C5" s="459"/>
      <c r="D5" s="459"/>
      <c r="E5" s="459"/>
      <c r="F5" s="459"/>
    </row>
    <row r="6" spans="1:6" ht="15" thickBot="1"/>
    <row r="7" spans="1:6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</row>
    <row r="8" spans="1:6" ht="15" customHeight="1">
      <c r="A8" s="443" t="str">
        <f>+ARG!$A$8</f>
        <v>Country data</v>
      </c>
      <c r="B8" s="287" t="str">
        <f>+ARG!$B$8</f>
        <v>GDP (current prices in local currency)</v>
      </c>
      <c r="C8" s="221">
        <v>1705322</v>
      </c>
      <c r="D8" s="325" t="str">
        <f>+ARG!$D$8</f>
        <v>Billions</v>
      </c>
      <c r="E8" s="203" t="str">
        <f>+ARG!$E$8</f>
        <v>IDM, World Bank</v>
      </c>
      <c r="F8" s="1"/>
    </row>
    <row r="9" spans="1:6">
      <c r="A9" s="443"/>
      <c r="B9" s="287" t="str">
        <f>+ARG!$B$9</f>
        <v>Purchasing Power Parity (PPP) conversion factor</v>
      </c>
      <c r="C9" s="221">
        <v>1500.1452810000001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6">
      <c r="A10" s="443"/>
      <c r="B10" s="287" t="str">
        <f>+ARG!$B$10</f>
        <v>Employment</v>
      </c>
      <c r="C10" s="221">
        <v>26821693</v>
      </c>
      <c r="D10" s="203" t="str">
        <f>+ARG!$D$10</f>
        <v>Workers</v>
      </c>
      <c r="E10" s="203" t="str">
        <f>+ARG!$E$10</f>
        <v>IDM, World Bank</v>
      </c>
      <c r="F10" s="1"/>
    </row>
    <row r="11" spans="1:6">
      <c r="A11" s="443"/>
      <c r="B11" s="287" t="str">
        <f>+ARG!$B$11</f>
        <v>GDP per worker</v>
      </c>
      <c r="C11" s="221">
        <f>+((C8*1000000000)/C10)/C9</f>
        <v>42382.53090483071</v>
      </c>
      <c r="D11" s="203" t="str">
        <f>+ARG!$D$11</f>
        <v>US $ PPP</v>
      </c>
      <c r="E11" s="203" t="str">
        <f>+ARG!$E$11</f>
        <v>Own calculations</v>
      </c>
      <c r="F11" s="1"/>
    </row>
    <row r="12" spans="1:6">
      <c r="C12" s="4"/>
      <c r="D12" s="1"/>
      <c r="E12" s="1"/>
      <c r="F12" s="1"/>
    </row>
    <row r="13" spans="1:6" ht="15" thickBot="1">
      <c r="C13" s="281"/>
      <c r="D13" s="1"/>
      <c r="E13" s="1"/>
      <c r="F13" s="1"/>
    </row>
    <row r="14" spans="1:6" ht="15" thickBot="1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6" ht="30" customHeight="1">
      <c r="A15" s="443" t="str">
        <f>+ARG!$A$15</f>
        <v>Wages</v>
      </c>
      <c r="B15" s="287" t="str">
        <f>+ARG!$B$15</f>
        <v>Monthly minimum wage</v>
      </c>
      <c r="C15" s="9">
        <v>1423500</v>
      </c>
      <c r="D15" s="203" t="s">
        <v>4</v>
      </c>
      <c r="E15" s="203" t="s">
        <v>28</v>
      </c>
      <c r="F15" s="275"/>
    </row>
    <row r="16" spans="1:6">
      <c r="A16" s="443"/>
      <c r="B16" s="287" t="str">
        <f>+ARG!$B$16</f>
        <v>Monthly minimum wage (US $ PPP)</v>
      </c>
      <c r="C16" s="221">
        <f>+C15/C9</f>
        <v>948.90809445541959</v>
      </c>
      <c r="D16" s="203" t="s">
        <v>387</v>
      </c>
      <c r="E16" s="203" t="s">
        <v>229</v>
      </c>
      <c r="F16" s="275"/>
    </row>
    <row r="17" spans="1:8">
      <c r="A17" s="443"/>
      <c r="B17" s="287" t="str">
        <f>+ARG!$B$17</f>
        <v>Annual minimum wage (US $ PPP)</v>
      </c>
      <c r="C17" s="221">
        <f>+C16*12</f>
        <v>11386.897133465034</v>
      </c>
      <c r="D17" s="203" t="s">
        <v>387</v>
      </c>
      <c r="E17" s="203" t="s">
        <v>229</v>
      </c>
      <c r="F17" s="1"/>
    </row>
    <row r="18" spans="1:8">
      <c r="A18" s="443"/>
      <c r="B18" s="287" t="str">
        <f>+ARG!$B$18</f>
        <v xml:space="preserve">Monthly wage of formal wage workers (US $ PPP) </v>
      </c>
      <c r="C18" s="221">
        <v>1949.8691473736003</v>
      </c>
      <c r="D18" s="203" t="s">
        <v>387</v>
      </c>
      <c r="E18" s="203" t="s">
        <v>229</v>
      </c>
      <c r="F18" s="1"/>
    </row>
    <row r="19" spans="1:8">
      <c r="A19" s="443"/>
      <c r="B19" s="287" t="str">
        <f>+ARG!$B$19</f>
        <v>Annual wage of formal wage workers (US $ PPP)</v>
      </c>
      <c r="C19" s="221">
        <f>+C18*12</f>
        <v>23398.429768483205</v>
      </c>
      <c r="D19" s="203" t="s">
        <v>387</v>
      </c>
      <c r="E19" s="203" t="s">
        <v>229</v>
      </c>
      <c r="F19" s="1"/>
    </row>
    <row r="20" spans="1:8" ht="29">
      <c r="A20" s="443"/>
      <c r="B20" s="289" t="s">
        <v>392</v>
      </c>
      <c r="C20" s="221">
        <v>8871.1327953042437</v>
      </c>
      <c r="D20" s="203" t="s">
        <v>387</v>
      </c>
      <c r="E20" s="203" t="s">
        <v>229</v>
      </c>
      <c r="F20" s="1"/>
    </row>
    <row r="21" spans="1:8">
      <c r="A21" s="178"/>
      <c r="B21" s="407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52"/>
      <c r="G24" s="295" t="str">
        <f>+ARG!$G$25</f>
        <v>ACSL</v>
      </c>
      <c r="H24" s="295" t="str">
        <f>+ARG!$H$25</f>
        <v>MCSL</v>
      </c>
    </row>
    <row r="25" spans="1:8">
      <c r="A25" s="443" t="str">
        <f>+ARG!$A$26</f>
        <v>Mandatory contributions</v>
      </c>
      <c r="B25" s="476" t="s">
        <v>316</v>
      </c>
      <c r="C25" s="296" t="s">
        <v>248</v>
      </c>
      <c r="D25" s="306">
        <v>0.04</v>
      </c>
      <c r="E25" s="297">
        <v>0.12</v>
      </c>
      <c r="F25" s="470" t="s">
        <v>285</v>
      </c>
      <c r="G25" s="477">
        <f>SUM(E29,E25,D25,D27,E32,E28)</f>
        <v>0.33026</v>
      </c>
      <c r="H25" s="477">
        <f>G25-E28</f>
        <v>0.32329999999999998</v>
      </c>
    </row>
    <row r="26" spans="1:8">
      <c r="A26" s="443"/>
      <c r="B26" s="476"/>
      <c r="C26" s="299" t="s">
        <v>407</v>
      </c>
      <c r="D26" s="306" t="s">
        <v>406</v>
      </c>
      <c r="E26" s="297"/>
      <c r="F26" s="470"/>
      <c r="G26" s="477"/>
      <c r="H26" s="477"/>
    </row>
    <row r="27" spans="1:8">
      <c r="A27" s="443"/>
      <c r="B27" s="294" t="s">
        <v>233</v>
      </c>
      <c r="C27" s="298" t="s">
        <v>257</v>
      </c>
      <c r="D27" s="381">
        <v>0.04</v>
      </c>
      <c r="E27" s="304" t="s">
        <v>403</v>
      </c>
      <c r="F27" s="470"/>
      <c r="G27" s="477"/>
      <c r="H27" s="477"/>
    </row>
    <row r="28" spans="1:8" ht="27" customHeight="1">
      <c r="A28" s="443"/>
      <c r="B28" s="476" t="s">
        <v>234</v>
      </c>
      <c r="C28" s="299" t="s">
        <v>250</v>
      </c>
      <c r="D28" s="236">
        <v>0</v>
      </c>
      <c r="E28" s="297">
        <v>6.96E-3</v>
      </c>
      <c r="F28" s="470"/>
      <c r="G28" s="477"/>
      <c r="H28" s="477"/>
    </row>
    <row r="29" spans="1:8" ht="25.5" customHeight="1">
      <c r="A29" s="443"/>
      <c r="B29" s="476"/>
      <c r="C29" s="299" t="s">
        <v>288</v>
      </c>
      <c r="D29" s="236">
        <v>0</v>
      </c>
      <c r="E29" s="303">
        <v>8.3299999999999999E-2</v>
      </c>
      <c r="F29" s="470"/>
      <c r="G29" s="477"/>
      <c r="H29" s="477"/>
    </row>
    <row r="30" spans="1:8" ht="24" customHeight="1">
      <c r="A30" s="443"/>
      <c r="B30" s="476"/>
      <c r="C30" s="299" t="s">
        <v>286</v>
      </c>
      <c r="D30" s="236">
        <v>0</v>
      </c>
      <c r="E30" s="303" t="s">
        <v>404</v>
      </c>
      <c r="F30" s="470"/>
      <c r="G30" s="477"/>
      <c r="H30" s="477"/>
    </row>
    <row r="31" spans="1:8">
      <c r="A31" s="443"/>
      <c r="B31" s="476"/>
      <c r="C31" s="299" t="s">
        <v>271</v>
      </c>
      <c r="D31" s="236">
        <v>0</v>
      </c>
      <c r="E31" s="303" t="s">
        <v>405</v>
      </c>
      <c r="F31" s="470"/>
      <c r="G31" s="477"/>
      <c r="H31" s="477"/>
    </row>
    <row r="32" spans="1:8">
      <c r="A32" s="443"/>
      <c r="B32" s="476"/>
      <c r="C32" s="299" t="s">
        <v>287</v>
      </c>
      <c r="D32" s="236">
        <v>0</v>
      </c>
      <c r="E32" s="303">
        <v>0.04</v>
      </c>
      <c r="F32" s="470"/>
      <c r="G32" s="477"/>
      <c r="H32" s="477"/>
    </row>
    <row r="33" spans="1:8">
      <c r="A33" s="193"/>
      <c r="B33" s="192"/>
      <c r="C33" s="282" t="s">
        <v>289</v>
      </c>
      <c r="D33" s="192"/>
      <c r="E33" s="192"/>
      <c r="F33" s="192"/>
      <c r="G33" s="192"/>
      <c r="H33" s="192"/>
    </row>
    <row r="34" spans="1:8" ht="15" customHeight="1">
      <c r="A34"/>
      <c r="B34" s="173"/>
      <c r="C34" s="284" t="s">
        <v>290</v>
      </c>
    </row>
    <row r="35" spans="1:8" ht="15.75" customHeight="1">
      <c r="A35"/>
      <c r="B35" s="173"/>
      <c r="C35" s="39" t="s">
        <v>408</v>
      </c>
      <c r="G35" s="2" t="s">
        <v>29</v>
      </c>
    </row>
    <row r="36" spans="1:8" ht="15.75" customHeight="1">
      <c r="A36"/>
      <c r="B36" s="54"/>
      <c r="C36" s="8"/>
      <c r="D36" s="8"/>
      <c r="E36" s="8"/>
      <c r="F36" s="8"/>
      <c r="G36" s="6"/>
    </row>
    <row r="37" spans="1:8" ht="15.75" customHeight="1" thickBot="1">
      <c r="A37" s="8"/>
      <c r="B37" s="8"/>
      <c r="C37" s="8"/>
      <c r="D37" s="8"/>
      <c r="E37" s="8"/>
      <c r="F37" s="8"/>
      <c r="G37" s="6"/>
    </row>
    <row r="38" spans="1:8">
      <c r="A38" s="382"/>
      <c r="B38" s="383" t="s">
        <v>44</v>
      </c>
      <c r="C38" s="383" t="s">
        <v>13</v>
      </c>
      <c r="D38" s="378" t="s">
        <v>14</v>
      </c>
      <c r="E38" s="384" t="s">
        <v>255</v>
      </c>
    </row>
    <row r="39" spans="1:8" ht="75" customHeight="1">
      <c r="A39" s="443" t="s">
        <v>235</v>
      </c>
      <c r="B39" s="339" t="str">
        <f>+ARG!$B$36</f>
        <v>Bonus</v>
      </c>
      <c r="C39" s="340">
        <v>30</v>
      </c>
      <c r="D39" s="385">
        <f>(($C$16/30.43)*C39)/$C$17</f>
        <v>8.2155767334866917E-2</v>
      </c>
      <c r="E39" s="287" t="s">
        <v>282</v>
      </c>
      <c r="F39" s="40"/>
    </row>
    <row r="40" spans="1:8" ht="43.5">
      <c r="A40" s="443"/>
      <c r="B40" s="342" t="str">
        <f>+ARG!$B$37</f>
        <v>Paid leave</v>
      </c>
      <c r="C40" s="327">
        <v>15</v>
      </c>
      <c r="D40" s="297">
        <f>(($C$16/30.43)*C40)/$C$17</f>
        <v>4.1077883667433458E-2</v>
      </c>
      <c r="E40" s="386" t="s">
        <v>283</v>
      </c>
      <c r="F40" s="40"/>
    </row>
    <row r="41" spans="1:8" ht="30.75" customHeight="1">
      <c r="A41" s="443"/>
      <c r="B41" s="339" t="str">
        <f>+ARG!$B$38</f>
        <v>Firing notice *</v>
      </c>
      <c r="C41" s="340">
        <v>7.5</v>
      </c>
      <c r="D41" s="385">
        <f>(($C$16/30.43)*C41)/$C$17/5</f>
        <v>4.107788366743346E-3</v>
      </c>
      <c r="E41" s="287" t="s">
        <v>284</v>
      </c>
      <c r="F41" s="40"/>
    </row>
    <row r="42" spans="1:8" ht="105" customHeight="1">
      <c r="A42" s="443"/>
      <c r="B42" s="342" t="str">
        <f>+ARG!$B$39</f>
        <v>Severance pay *</v>
      </c>
      <c r="C42" s="327">
        <v>110</v>
      </c>
      <c r="D42" s="297">
        <f>(($C$16/30.43)*C42)/$C$17/5</f>
        <v>6.0247562712235733E-2</v>
      </c>
      <c r="E42" s="386" t="s">
        <v>30</v>
      </c>
      <c r="F42" s="40"/>
    </row>
    <row r="43" spans="1:8" ht="15" customHeight="1">
      <c r="A43" s="444" t="s">
        <v>237</v>
      </c>
      <c r="B43" s="444"/>
      <c r="C43" s="444"/>
      <c r="D43" s="444"/>
      <c r="E43" s="444"/>
      <c r="F43" s="444"/>
    </row>
    <row r="44" spans="1:8">
      <c r="A44" s="39"/>
      <c r="E44" s="331"/>
    </row>
    <row r="45" spans="1:8">
      <c r="A45" s="39"/>
      <c r="E45" s="331"/>
    </row>
    <row r="46" spans="1:8">
      <c r="B46" s="1"/>
      <c r="C46" s="1"/>
    </row>
    <row r="47" spans="1:8">
      <c r="B47" s="1"/>
      <c r="C47" s="7"/>
      <c r="D47" s="7"/>
      <c r="E47" s="3"/>
      <c r="F47" s="3"/>
      <c r="G47" s="3"/>
    </row>
    <row r="48" spans="1:8">
      <c r="C48" s="3"/>
    </row>
    <row r="49" spans="3:3">
      <c r="C49" s="302"/>
    </row>
    <row r="50" spans="3:3">
      <c r="C50"/>
    </row>
    <row r="51" spans="3:3">
      <c r="C51" s="302"/>
    </row>
    <row r="52" spans="3:3">
      <c r="C52"/>
    </row>
    <row r="53" spans="3:3">
      <c r="C53" s="302"/>
    </row>
    <row r="54" spans="3:3">
      <c r="C54"/>
    </row>
    <row r="55" spans="3:3">
      <c r="C55" s="302"/>
    </row>
    <row r="56" spans="3:3">
      <c r="C56"/>
    </row>
    <row r="57" spans="3:3">
      <c r="C57" s="302"/>
    </row>
    <row r="58" spans="3:3">
      <c r="C58"/>
    </row>
    <row r="59" spans="3:3">
      <c r="C59" s="302"/>
    </row>
    <row r="60" spans="3:3">
      <c r="C60"/>
    </row>
    <row r="61" spans="3:3">
      <c r="C61" s="302"/>
    </row>
    <row r="62" spans="3:3">
      <c r="C62"/>
    </row>
    <row r="63" spans="3:3">
      <c r="C63" s="302"/>
    </row>
  </sheetData>
  <mergeCells count="20">
    <mergeCell ref="A43:F43"/>
    <mergeCell ref="G23:H23"/>
    <mergeCell ref="G25:G32"/>
    <mergeCell ref="H25:H32"/>
    <mergeCell ref="C23:C24"/>
    <mergeCell ref="D23:D24"/>
    <mergeCell ref="E23:E24"/>
    <mergeCell ref="F23:F24"/>
    <mergeCell ref="A25:A32"/>
    <mergeCell ref="A39:A42"/>
    <mergeCell ref="B23:B24"/>
    <mergeCell ref="A23:A24"/>
    <mergeCell ref="B25:B26"/>
    <mergeCell ref="F25:F32"/>
    <mergeCell ref="A1:C1"/>
    <mergeCell ref="A5:F5"/>
    <mergeCell ref="A8:A11"/>
    <mergeCell ref="B28:B32"/>
    <mergeCell ref="A15:A20"/>
    <mergeCell ref="A22:H22"/>
  </mergeCells>
  <pageMargins left="0.25" right="0.25" top="0.33359375000000002" bottom="0.75" header="0.3" footer="0.3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showGridLines="0" view="pageLayout" zoomScale="53" zoomScaleNormal="80" zoomScalePageLayoutView="53" workbookViewId="0">
      <selection activeCell="H34" sqref="H34"/>
    </sheetView>
  </sheetViews>
  <sheetFormatPr defaultColWidth="9.1796875" defaultRowHeight="14.5"/>
  <cols>
    <col min="1" max="1" width="16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29.816406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31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8">
        <v>49115.934742634898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8">
        <v>318.48026800000002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28">
        <v>2357187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+((C8*1000000000/C10)/C9)</f>
        <v>65425.318626301669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4"/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25.5" customHeight="1">
      <c r="A15" s="443" t="str">
        <f>+ARG!$A$15</f>
        <v>Wages</v>
      </c>
      <c r="B15" s="287" t="str">
        <f>+ARG!$B$15</f>
        <v>Monthly minimum wage</v>
      </c>
      <c r="C15" s="328">
        <v>414183.11499999999</v>
      </c>
      <c r="D15" s="203" t="s">
        <v>32</v>
      </c>
      <c r="E15" s="288" t="s">
        <v>33</v>
      </c>
      <c r="F15" s="215"/>
    </row>
    <row r="16" spans="1:7" ht="12.75" customHeight="1">
      <c r="A16" s="443"/>
      <c r="B16" s="287" t="str">
        <f>+ARG!$B$16</f>
        <v>Monthly minimum wage (US $ PPP)</v>
      </c>
      <c r="C16" s="221">
        <f>+C15/C9</f>
        <v>1300.4985131449334</v>
      </c>
      <c r="D16" s="203" t="s">
        <v>387</v>
      </c>
      <c r="E16" s="203" t="s">
        <v>229</v>
      </c>
      <c r="F16" s="214"/>
    </row>
    <row r="17" spans="1:8" ht="12.75" customHeight="1">
      <c r="A17" s="443"/>
      <c r="B17" s="287" t="str">
        <f>+ARG!$B$17</f>
        <v>Annual minimum wage (US $ PPP)</v>
      </c>
      <c r="C17" s="221">
        <f>C16*12</f>
        <v>15605.982157739201</v>
      </c>
      <c r="D17" s="203" t="s">
        <v>387</v>
      </c>
      <c r="E17" s="203" t="s">
        <v>229</v>
      </c>
      <c r="F17" s="214"/>
    </row>
    <row r="18" spans="1:8" ht="26.25" customHeight="1">
      <c r="A18" s="443"/>
      <c r="B18" s="287" t="str">
        <f>+ARG!$B$18</f>
        <v xml:space="preserve">Monthly wage of formal wage workers (US $ PPP) </v>
      </c>
      <c r="C18" s="221">
        <v>1950.2226743918714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21">
        <f>C18*12</f>
        <v>23402.672092702458</v>
      </c>
      <c r="D19" s="203" t="s">
        <v>387</v>
      </c>
      <c r="E19" s="203" t="s">
        <v>229</v>
      </c>
      <c r="F19" s="214"/>
    </row>
    <row r="20" spans="1:8" ht="29">
      <c r="A20" s="443"/>
      <c r="B20" s="287" t="s">
        <v>392</v>
      </c>
      <c r="C20" s="221">
        <v>10155.591680172787</v>
      </c>
      <c r="D20" s="203" t="s">
        <v>387</v>
      </c>
      <c r="E20" s="203" t="s">
        <v>229</v>
      </c>
      <c r="F20" s="1"/>
    </row>
    <row r="21" spans="1:8">
      <c r="A21" s="178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3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</row>
    <row r="24" spans="1:8">
      <c r="A24" s="448"/>
      <c r="B24" s="450"/>
      <c r="C24" s="452"/>
      <c r="D24" s="450"/>
      <c r="E24" s="450"/>
      <c r="F24" s="452"/>
      <c r="G24" s="295" t="str">
        <f>+ARG!$G$25</f>
        <v>ACSL</v>
      </c>
      <c r="H24" s="295" t="str">
        <f>+ARG!$H$25</f>
        <v>MCSL</v>
      </c>
    </row>
    <row r="25" spans="1:8" ht="14.9" customHeight="1">
      <c r="A25" s="443" t="str">
        <f>+ARG!$A$26</f>
        <v>Mandatory contributions</v>
      </c>
      <c r="B25" s="471" t="s">
        <v>316</v>
      </c>
      <c r="C25" s="296" t="s">
        <v>297</v>
      </c>
      <c r="D25" s="303">
        <v>4.1700000000000001E-2</v>
      </c>
      <c r="E25" s="303">
        <v>5.4199999999999998E-2</v>
      </c>
      <c r="F25" s="470" t="s">
        <v>247</v>
      </c>
      <c r="G25" s="461">
        <f>SUM(D25:E33)</f>
        <v>0.38340000000000002</v>
      </c>
      <c r="H25" s="461">
        <f>SUM(D25:E33)</f>
        <v>0.38340000000000002</v>
      </c>
    </row>
    <row r="26" spans="1:8" ht="14.9" customHeight="1">
      <c r="A26" s="443"/>
      <c r="B26" s="471"/>
      <c r="C26" s="299" t="s">
        <v>296</v>
      </c>
      <c r="D26" s="303">
        <v>0.01</v>
      </c>
      <c r="E26" s="303">
        <v>3.2500000000000001E-2</v>
      </c>
      <c r="F26" s="470"/>
      <c r="G26" s="461"/>
      <c r="H26" s="461"/>
    </row>
    <row r="27" spans="1:8" ht="14.9" customHeight="1">
      <c r="A27" s="443"/>
      <c r="B27" s="372" t="s">
        <v>233</v>
      </c>
      <c r="C27" s="298" t="s">
        <v>295</v>
      </c>
      <c r="D27" s="238">
        <v>5.5E-2</v>
      </c>
      <c r="E27" s="304">
        <v>9.2499999999999999E-2</v>
      </c>
      <c r="F27" s="470"/>
      <c r="G27" s="461"/>
      <c r="H27" s="461"/>
    </row>
    <row r="28" spans="1:8" ht="14.9" customHeight="1">
      <c r="A28" s="443"/>
      <c r="B28" s="471" t="s">
        <v>234</v>
      </c>
      <c r="C28" s="299" t="s">
        <v>294</v>
      </c>
      <c r="D28" s="303"/>
      <c r="E28" s="303">
        <v>1.4999999999999999E-2</v>
      </c>
      <c r="F28" s="470"/>
      <c r="G28" s="461"/>
      <c r="H28" s="461"/>
    </row>
    <row r="29" spans="1:8" ht="14.9" customHeight="1">
      <c r="A29" s="443"/>
      <c r="B29" s="471"/>
      <c r="C29" s="299" t="s">
        <v>293</v>
      </c>
      <c r="D29" s="303"/>
      <c r="E29" s="303"/>
      <c r="F29" s="470"/>
      <c r="G29" s="461"/>
      <c r="H29" s="461"/>
    </row>
    <row r="30" spans="1:8" ht="14.9" customHeight="1">
      <c r="A30" s="443"/>
      <c r="B30" s="471"/>
      <c r="C30" s="299" t="s">
        <v>292</v>
      </c>
      <c r="D30" s="303"/>
      <c r="E30" s="303">
        <v>0.05</v>
      </c>
      <c r="F30" s="470"/>
      <c r="G30" s="461"/>
      <c r="H30" s="461"/>
    </row>
    <row r="31" spans="1:8" ht="14.9" customHeight="1">
      <c r="A31" s="443"/>
      <c r="B31" s="471"/>
      <c r="C31" s="299" t="s">
        <v>291</v>
      </c>
      <c r="D31" s="303">
        <v>0.01</v>
      </c>
      <c r="E31" s="303">
        <v>2.5000000000000001E-3</v>
      </c>
      <c r="F31" s="470"/>
      <c r="G31" s="461"/>
      <c r="H31" s="461"/>
    </row>
    <row r="32" spans="1:8" ht="14.9" customHeight="1">
      <c r="A32" s="443"/>
      <c r="B32" s="471"/>
      <c r="C32" s="299" t="s">
        <v>34</v>
      </c>
      <c r="D32" s="303"/>
      <c r="E32" s="303">
        <v>1.4999999999999999E-2</v>
      </c>
      <c r="F32" s="470"/>
      <c r="G32" s="461"/>
      <c r="H32" s="461"/>
    </row>
    <row r="33" spans="1:8" ht="15" customHeight="1">
      <c r="A33" s="443"/>
      <c r="B33" s="471"/>
      <c r="C33" s="299" t="s">
        <v>35</v>
      </c>
      <c r="D33" s="303"/>
      <c r="E33" s="303">
        <v>5.0000000000000001E-3</v>
      </c>
      <c r="F33" s="470"/>
      <c r="G33" s="461"/>
      <c r="H33" s="461"/>
    </row>
    <row r="34" spans="1:8">
      <c r="A34"/>
      <c r="B34" s="63"/>
      <c r="D34" s="8"/>
      <c r="E34" s="8"/>
      <c r="F34" s="8"/>
      <c r="G34" s="59"/>
      <c r="H34" s="59"/>
    </row>
    <row r="35" spans="1:8">
      <c r="A35" s="8"/>
      <c r="B35" s="8"/>
      <c r="C35" s="8"/>
      <c r="D35" s="8"/>
      <c r="E35" s="8"/>
      <c r="F35" s="8"/>
    </row>
    <row r="36" spans="1:8">
      <c r="A36" s="337"/>
      <c r="B36" s="337" t="s">
        <v>44</v>
      </c>
      <c r="C36" s="337" t="s">
        <v>13</v>
      </c>
      <c r="D36" s="338" t="s">
        <v>14</v>
      </c>
      <c r="E36" s="338" t="s">
        <v>255</v>
      </c>
    </row>
    <row r="37" spans="1:8" ht="15" customHeight="1">
      <c r="A37" s="443" t="s">
        <v>235</v>
      </c>
      <c r="B37" s="339" t="str">
        <f>+ARG!$B$36</f>
        <v>Bonus</v>
      </c>
      <c r="C37" s="340">
        <v>30</v>
      </c>
      <c r="D37" s="341">
        <f>(($C$16/30.43)*C37)/$C$17</f>
        <v>8.2155767334866903E-2</v>
      </c>
      <c r="E37" s="341" t="s">
        <v>317</v>
      </c>
    </row>
    <row r="38" spans="1:8">
      <c r="A38" s="443"/>
      <c r="B38" s="342" t="str">
        <f>+ARG!$B$37</f>
        <v>Paid leave</v>
      </c>
      <c r="C38" s="327">
        <v>14</v>
      </c>
      <c r="D38" s="303">
        <f>(($C$16/30.43)*C38)/$C$17</f>
        <v>3.8339358089604557E-2</v>
      </c>
      <c r="E38" s="303" t="s">
        <v>318</v>
      </c>
    </row>
    <row r="39" spans="1:8">
      <c r="A39" s="443"/>
      <c r="B39" s="339" t="str">
        <f>+ARG!$B$38</f>
        <v>Firing notice *</v>
      </c>
      <c r="C39" s="340">
        <v>30</v>
      </c>
      <c r="D39" s="341">
        <f>(($C$16/30.43)*C39)/$C$17/5</f>
        <v>1.6431153466973381E-2</v>
      </c>
      <c r="E39" s="341" t="s">
        <v>319</v>
      </c>
    </row>
    <row r="40" spans="1:8">
      <c r="A40" s="443"/>
      <c r="B40" s="342" t="str">
        <f>+ARG!$B$39</f>
        <v>Severance pay *</v>
      </c>
      <c r="C40" s="327">
        <v>106.2</v>
      </c>
      <c r="D40" s="303">
        <f>(($C$16/30.43)*C40)/$C$17/5</f>
        <v>5.8166283273085775E-2</v>
      </c>
      <c r="E40" s="303" t="s">
        <v>320</v>
      </c>
    </row>
    <row r="41" spans="1:8" ht="15" customHeight="1">
      <c r="A41" s="444" t="s">
        <v>237</v>
      </c>
      <c r="B41" s="444"/>
      <c r="C41" s="444"/>
      <c r="D41" s="444"/>
      <c r="E41" s="444"/>
      <c r="F41" s="444"/>
    </row>
    <row r="42" spans="1:8">
      <c r="E42" s="6"/>
    </row>
    <row r="43" spans="1:8">
      <c r="E43" s="40"/>
    </row>
    <row r="44" spans="1:8">
      <c r="B44" s="1"/>
      <c r="C44" s="1"/>
    </row>
    <row r="45" spans="1:8">
      <c r="B45" s="1"/>
      <c r="C45" s="7"/>
    </row>
    <row r="46" spans="1:8">
      <c r="C46" s="3"/>
    </row>
    <row r="47" spans="1:8">
      <c r="C47" s="3"/>
    </row>
    <row r="48" spans="1:8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</sheetData>
  <mergeCells count="21">
    <mergeCell ref="A22:H22"/>
    <mergeCell ref="A1:C1"/>
    <mergeCell ref="A5:F5"/>
    <mergeCell ref="A8:A11"/>
    <mergeCell ref="A12:F12"/>
    <mergeCell ref="A15:A20"/>
    <mergeCell ref="A37:A40"/>
    <mergeCell ref="A41:F41"/>
    <mergeCell ref="G23:H23"/>
    <mergeCell ref="A25:A33"/>
    <mergeCell ref="G25:G33"/>
    <mergeCell ref="H25:H33"/>
    <mergeCell ref="A23:A24"/>
    <mergeCell ref="B23:B24"/>
    <mergeCell ref="C23:C24"/>
    <mergeCell ref="D23:D24"/>
    <mergeCell ref="E23:E24"/>
    <mergeCell ref="F23:F24"/>
    <mergeCell ref="B25:B26"/>
    <mergeCell ref="F25:F33"/>
    <mergeCell ref="B28:B33"/>
  </mergeCells>
  <pageMargins left="0.34505208333333331" right="0.7" top="0.75" bottom="0.75" header="0.3" footer="0.3"/>
  <pageSetup scale="5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0"/>
  <sheetViews>
    <sheetView showGridLines="0" view="pageLayout" zoomScale="42" zoomScaleNormal="80" zoomScalePageLayoutView="42" workbookViewId="0">
      <selection activeCell="A2" sqref="A2"/>
    </sheetView>
  </sheetViews>
  <sheetFormatPr defaultColWidth="9.1796875" defaultRowHeight="14.5"/>
  <cols>
    <col min="1" max="1" width="15.269531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29.816406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424</v>
      </c>
      <c r="B1" s="458"/>
      <c r="C1" s="458"/>
    </row>
    <row r="2" spans="1:7" ht="18.5">
      <c r="A2" s="34">
        <v>2025</v>
      </c>
    </row>
    <row r="4" spans="1:7" ht="18.5">
      <c r="B4" s="480"/>
      <c r="C4" s="480"/>
      <c r="D4" s="480"/>
      <c r="E4" s="480"/>
    </row>
    <row r="5" spans="1:7">
      <c r="B5" s="5"/>
    </row>
    <row r="6" spans="1:7" ht="18.75" customHeight="1">
      <c r="A6" s="459" t="str">
        <f>+ARG!A5</f>
        <v>DATA INPUT FOR CALCULATIONS</v>
      </c>
      <c r="B6" s="459"/>
      <c r="C6" s="459"/>
      <c r="D6" s="459"/>
      <c r="E6" s="459"/>
      <c r="F6" s="459"/>
      <c r="G6" s="40"/>
    </row>
    <row r="7" spans="1:7">
      <c r="A7" s="313"/>
      <c r="B7" s="313"/>
      <c r="C7" s="314">
        <v>2024</v>
      </c>
      <c r="D7" s="314" t="str">
        <f>+ARG!$D$7</f>
        <v>Units</v>
      </c>
      <c r="E7" s="314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8">
        <v>7402.8884909999997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8">
        <v>23.521510706274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28">
        <v>5413316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+((C8*1000000000/C10)/C9)</f>
        <v>58139.67725151901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>
      <c r="C13" s="265"/>
      <c r="D13" s="1"/>
      <c r="E13" s="1"/>
      <c r="F13" s="1"/>
    </row>
    <row r="14" spans="1:7">
      <c r="A14" s="313"/>
      <c r="B14" s="313"/>
      <c r="C14" s="314">
        <v>2024</v>
      </c>
      <c r="D14" s="314" t="s">
        <v>386</v>
      </c>
      <c r="E14" s="314" t="s">
        <v>255</v>
      </c>
      <c r="F14" s="210"/>
    </row>
    <row r="15" spans="1:7" ht="15" customHeight="1">
      <c r="A15" s="443" t="str">
        <f>+ARG!$A$15</f>
        <v>Wages</v>
      </c>
      <c r="B15" s="287" t="str">
        <f>+ARG!$B$15</f>
        <v>Monthly minimum wage</v>
      </c>
      <c r="C15" s="328">
        <v>21674.799999999999</v>
      </c>
      <c r="D15" s="203" t="s">
        <v>4</v>
      </c>
      <c r="E15" s="288" t="s">
        <v>400</v>
      </c>
      <c r="F15" s="216"/>
    </row>
    <row r="16" spans="1:7">
      <c r="A16" s="443"/>
      <c r="B16" s="287" t="str">
        <f>+ARG!$B$16</f>
        <v>Monthly minimum wage (US $ PPP)</v>
      </c>
      <c r="C16" s="221">
        <f>+C15/C9</f>
        <v>921.48843119241405</v>
      </c>
      <c r="D16" s="203" t="s">
        <v>387</v>
      </c>
      <c r="E16" s="203" t="s">
        <v>229</v>
      </c>
      <c r="F16"/>
    </row>
    <row r="17" spans="1:8">
      <c r="A17" s="443"/>
      <c r="B17" s="287" t="str">
        <f>+ARG!$B$17</f>
        <v>Annual minimum wage (US $ PPP)</v>
      </c>
      <c r="C17" s="221">
        <f>C16*12</f>
        <v>11057.861174308968</v>
      </c>
      <c r="D17" s="203" t="s">
        <v>387</v>
      </c>
      <c r="E17" s="203" t="s">
        <v>229</v>
      </c>
      <c r="F17"/>
    </row>
    <row r="18" spans="1:8">
      <c r="A18" s="443"/>
      <c r="B18" s="287" t="str">
        <f>+ARG!$B$18</f>
        <v xml:space="preserve">Monthly wage of formal wage workers (US $ PPP) </v>
      </c>
      <c r="C18" s="221">
        <v>1419.2221926925722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62">
        <f>C18*12</f>
        <v>17030.666312310866</v>
      </c>
      <c r="D19" s="203" t="s">
        <v>387</v>
      </c>
      <c r="E19" s="203" t="s">
        <v>229</v>
      </c>
      <c r="F19" s="214"/>
    </row>
    <row r="20" spans="1:8" ht="29">
      <c r="A20" s="443"/>
      <c r="B20" s="287" t="str">
        <f>+ARG!$B$20</f>
        <v>Annual average wage of informal wage workers (US $ PPP)</v>
      </c>
      <c r="C20" s="291">
        <v>7816.3703979676811</v>
      </c>
      <c r="D20" s="203" t="s">
        <v>387</v>
      </c>
      <c r="E20" s="203" t="s">
        <v>229</v>
      </c>
      <c r="F20" s="1"/>
    </row>
    <row r="21" spans="1:8">
      <c r="A21" s="178"/>
      <c r="C21" s="200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1.5" customHeight="1">
      <c r="A23" s="478"/>
      <c r="B23" s="445" t="str">
        <f>+ARG!$B$24</f>
        <v>Category</v>
      </c>
      <c r="C23" s="445" t="str">
        <f>+ARG!$C$24</f>
        <v>Description</v>
      </c>
      <c r="D23" s="445" t="str">
        <f>+ARG!$D$24</f>
        <v>Worker's contribution</v>
      </c>
      <c r="E23" s="445" t="str">
        <f>+ARG!$E$24</f>
        <v>Employer Contribution</v>
      </c>
      <c r="F23" s="479" t="str">
        <f>+ARG!$F$24</f>
        <v>Contribution Base</v>
      </c>
      <c r="G23" s="445" t="str">
        <f>+ARG!$G$24</f>
        <v>Total contribution applied to each indicator</v>
      </c>
      <c r="H23" s="445"/>
    </row>
    <row r="24" spans="1:8" ht="15.75" customHeight="1">
      <c r="A24" s="478"/>
      <c r="B24" s="445"/>
      <c r="C24" s="445"/>
      <c r="D24" s="445"/>
      <c r="E24" s="445"/>
      <c r="F24" s="479"/>
      <c r="G24" s="338" t="str">
        <f>+ARG!$G$25</f>
        <v>ACSL</v>
      </c>
      <c r="H24" s="338" t="str">
        <f>+ARG!$H$25</f>
        <v>MCSL</v>
      </c>
    </row>
    <row r="25" spans="1:8" ht="14.9" customHeight="1">
      <c r="A25" s="443" t="str">
        <f>+ARG!$A$26</f>
        <v>Mandatory contributions</v>
      </c>
      <c r="B25" s="305" t="s">
        <v>316</v>
      </c>
      <c r="C25" s="299" t="s">
        <v>297</v>
      </c>
      <c r="D25" s="303">
        <v>2.87E-2</v>
      </c>
      <c r="E25" s="303">
        <v>7.0999999999999994E-2</v>
      </c>
      <c r="F25" s="474" t="s">
        <v>247</v>
      </c>
      <c r="G25" s="461">
        <v>0.22600000000000001</v>
      </c>
      <c r="H25" s="461">
        <v>0.22600000000000001</v>
      </c>
    </row>
    <row r="26" spans="1:8" ht="14.9" customHeight="1">
      <c r="A26" s="443"/>
      <c r="B26" s="372" t="s">
        <v>233</v>
      </c>
      <c r="C26" s="373" t="s">
        <v>295</v>
      </c>
      <c r="D26" s="238">
        <v>3.04E-2</v>
      </c>
      <c r="E26" s="238">
        <v>7.0900000000000005E-2</v>
      </c>
      <c r="F26" s="474"/>
      <c r="G26" s="461"/>
      <c r="H26" s="461"/>
    </row>
    <row r="27" spans="1:8" ht="14.9" customHeight="1">
      <c r="A27" s="443"/>
      <c r="B27" s="471" t="s">
        <v>234</v>
      </c>
      <c r="C27" s="299" t="s">
        <v>293</v>
      </c>
      <c r="D27" s="236"/>
      <c r="E27" s="303">
        <v>0.01</v>
      </c>
      <c r="F27" s="474"/>
      <c r="G27" s="461"/>
      <c r="H27" s="461"/>
    </row>
    <row r="28" spans="1:8" ht="39" customHeight="1">
      <c r="A28" s="443"/>
      <c r="B28" s="471"/>
      <c r="C28" s="299" t="s">
        <v>72</v>
      </c>
      <c r="D28" s="297">
        <v>5.0000000000000001E-3</v>
      </c>
      <c r="E28" s="303">
        <v>0.01</v>
      </c>
      <c r="F28" s="474"/>
      <c r="G28" s="461"/>
      <c r="H28" s="461"/>
    </row>
    <row r="29" spans="1:8">
      <c r="A29" s="65"/>
      <c r="B29" s="54"/>
      <c r="C29" s="62"/>
      <c r="D29" s="62"/>
      <c r="E29" s="62"/>
      <c r="F29" s="62"/>
    </row>
    <row r="30" spans="1:8">
      <c r="A30" s="65"/>
      <c r="B30" s="54"/>
      <c r="C30" s="8"/>
      <c r="D30" s="8"/>
      <c r="E30" s="8"/>
      <c r="F30" s="8"/>
      <c r="G30" s="59"/>
      <c r="H30" s="59"/>
    </row>
    <row r="31" spans="1:8">
      <c r="A31" s="65"/>
      <c r="B31" s="54"/>
      <c r="C31" s="8"/>
      <c r="D31" s="8"/>
      <c r="E31" s="8"/>
      <c r="F31" s="8"/>
    </row>
    <row r="32" spans="1:8">
      <c r="A32" s="8"/>
      <c r="B32" s="8"/>
      <c r="C32" s="8"/>
      <c r="D32" s="8"/>
      <c r="E32" s="8"/>
      <c r="F32" s="8"/>
    </row>
    <row r="33" spans="1:6">
      <c r="A33" s="337"/>
      <c r="B33" s="337" t="s">
        <v>236</v>
      </c>
      <c r="C33" s="337" t="s">
        <v>13</v>
      </c>
      <c r="D33" s="338" t="s">
        <v>14</v>
      </c>
      <c r="E33" s="338" t="s">
        <v>255</v>
      </c>
    </row>
    <row r="34" spans="1:6" ht="25.5" customHeight="1">
      <c r="A34" s="443" t="s">
        <v>235</v>
      </c>
      <c r="B34" s="339" t="str">
        <f>+ARG!$B$36</f>
        <v>Bonus</v>
      </c>
      <c r="C34" s="340">
        <v>30</v>
      </c>
      <c r="D34" s="374">
        <f>((($C$16/30.43)*C34))/$C$17</f>
        <v>8.2155767334866917E-2</v>
      </c>
      <c r="E34" s="203" t="s">
        <v>341</v>
      </c>
    </row>
    <row r="35" spans="1:6">
      <c r="A35" s="443"/>
      <c r="B35" s="342" t="str">
        <f>+ARG!$B$37</f>
        <v>Paid leave</v>
      </c>
      <c r="C35" s="327">
        <v>18</v>
      </c>
      <c r="D35" s="303">
        <f>((($C$16/30.43)*C35))/$C$17</f>
        <v>4.9293460400920142E-2</v>
      </c>
      <c r="E35" s="375" t="s">
        <v>342</v>
      </c>
    </row>
    <row r="36" spans="1:6">
      <c r="A36" s="443"/>
      <c r="B36" s="339" t="str">
        <f>+ARG!$B$38</f>
        <v>Firing notice *</v>
      </c>
      <c r="C36" s="340">
        <v>28</v>
      </c>
      <c r="D36" s="341">
        <f>((($C$16/30.43)*C36))/$C$17/5</f>
        <v>1.5335743235841826E-2</v>
      </c>
      <c r="E36" s="376" t="s">
        <v>343</v>
      </c>
    </row>
    <row r="37" spans="1:6">
      <c r="A37" s="443"/>
      <c r="B37" s="342" t="str">
        <f>+ARG!$B$39</f>
        <v>Severance pay *</v>
      </c>
      <c r="C37" s="327">
        <v>115</v>
      </c>
      <c r="D37" s="303">
        <f>((($C$16/30.43)*C37))/$C$17/5</f>
        <v>6.2986088290064635E-2</v>
      </c>
      <c r="E37" s="377" t="s">
        <v>346</v>
      </c>
    </row>
    <row r="38" spans="1:6" ht="15" customHeight="1">
      <c r="A38" s="444" t="s">
        <v>237</v>
      </c>
      <c r="B38" s="444"/>
      <c r="C38" s="444"/>
      <c r="D38" s="444"/>
      <c r="E38" s="444"/>
      <c r="F38" s="444"/>
    </row>
    <row r="39" spans="1:6">
      <c r="E39" s="6"/>
    </row>
    <row r="40" spans="1:6">
      <c r="E40" s="40"/>
    </row>
    <row r="41" spans="1:6">
      <c r="B41" s="1"/>
      <c r="C41" s="301"/>
    </row>
    <row r="42" spans="1:6">
      <c r="B42" s="1"/>
      <c r="C42" s="71"/>
    </row>
    <row r="43" spans="1:6">
      <c r="C43" s="72"/>
    </row>
    <row r="44" spans="1:6">
      <c r="C44" s="72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  <row r="50" spans="3:3">
      <c r="C50" s="3"/>
    </row>
  </sheetData>
  <mergeCells count="21">
    <mergeCell ref="A22:H22"/>
    <mergeCell ref="A15:A20"/>
    <mergeCell ref="A1:C1"/>
    <mergeCell ref="B4:E4"/>
    <mergeCell ref="A6:F6"/>
    <mergeCell ref="A8:A11"/>
    <mergeCell ref="A12:F12"/>
    <mergeCell ref="A38:F38"/>
    <mergeCell ref="G23:H23"/>
    <mergeCell ref="A25:A28"/>
    <mergeCell ref="G25:G28"/>
    <mergeCell ref="H25:H28"/>
    <mergeCell ref="A34:A37"/>
    <mergeCell ref="A23:A24"/>
    <mergeCell ref="B23:B24"/>
    <mergeCell ref="C23:C24"/>
    <mergeCell ref="D23:D24"/>
    <mergeCell ref="E23:E24"/>
    <mergeCell ref="F23:F24"/>
    <mergeCell ref="F25:F28"/>
    <mergeCell ref="B27:B28"/>
  </mergeCells>
  <pageMargins left="0.25" right="0.25" top="0.75" bottom="0.75" header="0.3" footer="0.3"/>
  <pageSetup scale="5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1"/>
  <sheetViews>
    <sheetView showGridLines="0" view="pageLayout" topLeftCell="A2" zoomScale="50" zoomScaleNormal="80" zoomScalePageLayoutView="50" workbookViewId="0">
      <selection activeCell="A22" sqref="A22:H22"/>
    </sheetView>
  </sheetViews>
  <sheetFormatPr defaultColWidth="9.1796875" defaultRowHeight="14.5"/>
  <cols>
    <col min="1" max="1" width="15.4531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29.816406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36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8">
        <v>124676.0747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400">
        <v>0.43400188910582099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28">
        <v>8820523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+((C8*1000000/C10)/C9)</f>
        <v>32568.455532008578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 ht="15" thickBot="1">
      <c r="C13" s="265">
        <f>C17/C11</f>
        <v>0.3990160088028501</v>
      </c>
      <c r="D13" s="1"/>
      <c r="E13" s="1"/>
      <c r="F13" s="1"/>
    </row>
    <row r="14" spans="1:7">
      <c r="A14" s="226"/>
      <c r="B14" s="227"/>
      <c r="C14" s="202">
        <v>2024</v>
      </c>
      <c r="D14" s="202" t="s">
        <v>386</v>
      </c>
      <c r="E14" s="228" t="s">
        <v>255</v>
      </c>
      <c r="F14" s="210"/>
    </row>
    <row r="15" spans="1:7" ht="25.5" customHeight="1">
      <c r="A15" s="443" t="str">
        <f>+ARG!$A$15</f>
        <v>Wages</v>
      </c>
      <c r="B15" s="287" t="str">
        <f>+ARG!$B$15</f>
        <v>Monthly minimum wage</v>
      </c>
      <c r="C15" s="328">
        <v>470</v>
      </c>
      <c r="D15" s="203" t="s">
        <v>37</v>
      </c>
      <c r="E15" s="288" t="s">
        <v>38</v>
      </c>
      <c r="F15" s="216"/>
    </row>
    <row r="16" spans="1:7">
      <c r="A16" s="443"/>
      <c r="B16" s="287" t="str">
        <f>+ARG!$B$16</f>
        <v>Monthly minimum wage (US $ PPP)</v>
      </c>
      <c r="C16" s="221">
        <f>+C15/C9</f>
        <v>1082.9445949379306</v>
      </c>
      <c r="D16" s="203" t="s">
        <v>387</v>
      </c>
      <c r="E16" s="203" t="s">
        <v>229</v>
      </c>
      <c r="F16" s="255"/>
    </row>
    <row r="17" spans="1:8">
      <c r="A17" s="443"/>
      <c r="B17" s="287" t="str">
        <f>+ARG!$B$17</f>
        <v>Annual minimum wage (US $ PPP)</v>
      </c>
      <c r="C17" s="221">
        <f>C16*12</f>
        <v>12995.335139255167</v>
      </c>
      <c r="D17" s="203" t="s">
        <v>387</v>
      </c>
      <c r="E17" s="203" t="s">
        <v>229</v>
      </c>
      <c r="F17" s="214"/>
    </row>
    <row r="18" spans="1:8">
      <c r="A18" s="443"/>
      <c r="B18" s="287" t="str">
        <f>+ARG!$B$18</f>
        <v xml:space="preserve">Monthly wage of formal wage workers (US $ PPP) </v>
      </c>
      <c r="C18" s="221">
        <v>1652.2634301832634</v>
      </c>
      <c r="D18" s="203" t="s">
        <v>387</v>
      </c>
      <c r="E18" s="203" t="s">
        <v>229</v>
      </c>
      <c r="F18" s="214"/>
    </row>
    <row r="19" spans="1:8">
      <c r="A19" s="443"/>
      <c r="B19" s="287" t="str">
        <f>+ARG!$B$19</f>
        <v>Annual wage of formal wage workers (US $ PPP)</v>
      </c>
      <c r="C19" s="221">
        <f>C18*12</f>
        <v>19827.161162199161</v>
      </c>
      <c r="D19" s="203" t="s">
        <v>387</v>
      </c>
      <c r="E19" s="203" t="s">
        <v>229</v>
      </c>
      <c r="F19" s="214"/>
    </row>
    <row r="20" spans="1:8" ht="29">
      <c r="A20" s="443"/>
      <c r="B20" s="287" t="s">
        <v>392</v>
      </c>
      <c r="C20" s="221">
        <v>8246.9837340438298</v>
      </c>
      <c r="D20" s="203" t="s">
        <v>387</v>
      </c>
      <c r="E20" s="203" t="s">
        <v>229</v>
      </c>
      <c r="F20" s="1"/>
    </row>
    <row r="21" spans="1:8">
      <c r="A21" s="178"/>
      <c r="C21" s="285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30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52"/>
      <c r="G24" s="295" t="str">
        <f>+ARG!$G$25</f>
        <v>ACSL</v>
      </c>
      <c r="H24" s="295" t="str">
        <f>+ARG!$H$25</f>
        <v>MCSL</v>
      </c>
    </row>
    <row r="25" spans="1:8" ht="14.9" customHeight="1">
      <c r="A25" s="443" t="str">
        <f>+ARG!$A$26</f>
        <v>Mandatory contributions</v>
      </c>
      <c r="B25" s="293" t="s">
        <v>316</v>
      </c>
      <c r="C25" s="296" t="s">
        <v>297</v>
      </c>
      <c r="D25" s="297">
        <v>6.6400000000000001E-2</v>
      </c>
      <c r="E25" s="297">
        <v>3.8199999999999998E-2</v>
      </c>
      <c r="F25" s="474" t="s">
        <v>247</v>
      </c>
      <c r="G25" s="461">
        <f>SUM(D25:E32)</f>
        <v>0.2893</v>
      </c>
      <c r="H25" s="461">
        <f>SUM(D25:E32)</f>
        <v>0.2893</v>
      </c>
    </row>
    <row r="26" spans="1:8" ht="14.9" customHeight="1">
      <c r="A26" s="443"/>
      <c r="B26" s="294" t="s">
        <v>233</v>
      </c>
      <c r="C26" s="298" t="s">
        <v>295</v>
      </c>
      <c r="D26" s="238"/>
      <c r="E26" s="238">
        <v>5.16E-2</v>
      </c>
      <c r="F26" s="474"/>
      <c r="G26" s="461"/>
      <c r="H26" s="461"/>
    </row>
    <row r="27" spans="1:8" ht="14.9" customHeight="1">
      <c r="A27" s="443"/>
      <c r="B27" s="481" t="s">
        <v>234</v>
      </c>
      <c r="C27" s="299" t="s">
        <v>293</v>
      </c>
      <c r="D27" s="300"/>
      <c r="E27" s="297">
        <v>3.8E-3</v>
      </c>
      <c r="F27" s="474"/>
      <c r="G27" s="461"/>
      <c r="H27" s="461"/>
    </row>
    <row r="28" spans="1:8" ht="14.9" customHeight="1">
      <c r="A28" s="443"/>
      <c r="B28" s="481"/>
      <c r="C28" s="299" t="s">
        <v>312</v>
      </c>
      <c r="D28" s="300">
        <v>0.02</v>
      </c>
      <c r="E28" s="297">
        <v>0.01</v>
      </c>
      <c r="F28" s="474"/>
      <c r="G28" s="461"/>
      <c r="H28" s="461"/>
    </row>
    <row r="29" spans="1:8" ht="14.9" customHeight="1">
      <c r="A29" s="443"/>
      <c r="B29" s="481"/>
      <c r="C29" s="299" t="s">
        <v>39</v>
      </c>
      <c r="D29" s="297">
        <v>3.5000000000000001E-3</v>
      </c>
      <c r="E29" s="297">
        <v>3.5000000000000001E-3</v>
      </c>
      <c r="F29" s="474"/>
      <c r="G29" s="461"/>
      <c r="H29" s="461"/>
    </row>
    <row r="30" spans="1:8" ht="14.9" customHeight="1">
      <c r="A30" s="443"/>
      <c r="B30" s="481"/>
      <c r="C30" s="299" t="s">
        <v>313</v>
      </c>
      <c r="D30" s="297">
        <v>3.5999999999999999E-3</v>
      </c>
      <c r="E30" s="297">
        <v>4.4000000000000003E-3</v>
      </c>
      <c r="F30" s="474"/>
      <c r="G30" s="461"/>
      <c r="H30" s="461"/>
    </row>
    <row r="31" spans="1:8" ht="15" customHeight="1">
      <c r="A31" s="443"/>
      <c r="B31" s="481"/>
      <c r="C31" s="299" t="s">
        <v>315</v>
      </c>
      <c r="D31" s="297">
        <v>1E-3</v>
      </c>
      <c r="E31" s="297"/>
      <c r="F31" s="474"/>
      <c r="G31" s="461"/>
      <c r="H31" s="461"/>
    </row>
    <row r="32" spans="1:8">
      <c r="A32" s="443"/>
      <c r="B32" s="481"/>
      <c r="C32" s="299" t="s">
        <v>314</v>
      </c>
      <c r="D32" s="297"/>
      <c r="E32" s="297">
        <v>8.3299999999999999E-2</v>
      </c>
      <c r="F32" s="474"/>
      <c r="G32" s="461"/>
      <c r="H32" s="461"/>
    </row>
    <row r="33" spans="1:6" ht="15" thickBot="1">
      <c r="A33" s="8"/>
      <c r="B33" s="8"/>
      <c r="C33" s="8"/>
      <c r="D33" s="8"/>
      <c r="E33" s="8"/>
      <c r="F33" s="8"/>
    </row>
    <row r="34" spans="1:6" ht="15" thickBot="1">
      <c r="A34" s="64"/>
      <c r="B34" s="27" t="s">
        <v>44</v>
      </c>
      <c r="C34" s="27" t="s">
        <v>13</v>
      </c>
      <c r="D34" s="30" t="s">
        <v>14</v>
      </c>
      <c r="E34" s="28" t="s">
        <v>255</v>
      </c>
    </row>
    <row r="35" spans="1:6" ht="15" customHeight="1">
      <c r="A35" s="482" t="s">
        <v>235</v>
      </c>
      <c r="B35" s="38" t="str">
        <f>+ARG!$B$36</f>
        <v>Bonus</v>
      </c>
      <c r="C35" s="41">
        <v>60</v>
      </c>
      <c r="D35" s="269">
        <v>0.16666665999999999</v>
      </c>
      <c r="E35" s="15" t="s">
        <v>321</v>
      </c>
    </row>
    <row r="36" spans="1:6">
      <c r="A36" s="483"/>
      <c r="B36" s="25" t="str">
        <f>+ARG!$B$37</f>
        <v>Paid leave</v>
      </c>
      <c r="C36" s="47">
        <v>15</v>
      </c>
      <c r="D36" s="270">
        <v>4.1666666666666664E-2</v>
      </c>
      <c r="E36" s="33" t="s">
        <v>322</v>
      </c>
    </row>
    <row r="37" spans="1:6">
      <c r="A37" s="483"/>
      <c r="B37" s="24" t="str">
        <f>+ARG!$B$38</f>
        <v>Firing notice *</v>
      </c>
      <c r="C37" s="48">
        <v>0</v>
      </c>
      <c r="D37" s="29"/>
      <c r="E37" s="49" t="s">
        <v>323</v>
      </c>
    </row>
    <row r="38" spans="1:6" ht="15" thickBot="1">
      <c r="A38" s="484"/>
      <c r="B38" s="26" t="str">
        <f>+ARG!$B$39</f>
        <v>Severance pay *</v>
      </c>
      <c r="C38" s="50">
        <v>150</v>
      </c>
      <c r="D38" s="32">
        <f>150/360/5</f>
        <v>8.3333333333333343E-2</v>
      </c>
      <c r="E38" s="51" t="s">
        <v>324</v>
      </c>
    </row>
    <row r="39" spans="1:6" ht="15" customHeight="1">
      <c r="A39" s="444" t="s">
        <v>237</v>
      </c>
      <c r="B39" s="444"/>
      <c r="C39" s="444"/>
      <c r="D39" s="444"/>
      <c r="E39" s="444"/>
      <c r="F39" s="444"/>
    </row>
    <row r="40" spans="1:6">
      <c r="B40" s="2" t="s">
        <v>40</v>
      </c>
      <c r="E40" s="6"/>
    </row>
    <row r="41" spans="1:6">
      <c r="E41" s="40"/>
    </row>
    <row r="42" spans="1:6">
      <c r="B42" s="1"/>
      <c r="C42" s="1"/>
    </row>
    <row r="43" spans="1:6">
      <c r="B43" s="1"/>
      <c r="C43" s="7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  <row r="50" spans="3:3">
      <c r="C50" s="3"/>
    </row>
    <row r="51" spans="3:3">
      <c r="C51" s="3"/>
    </row>
  </sheetData>
  <mergeCells count="20">
    <mergeCell ref="A22:H22"/>
    <mergeCell ref="F25:F32"/>
    <mergeCell ref="G25:G32"/>
    <mergeCell ref="H25:H32"/>
    <mergeCell ref="A35:A38"/>
    <mergeCell ref="A39:F39"/>
    <mergeCell ref="A25:A32"/>
    <mergeCell ref="B27:B32"/>
    <mergeCell ref="G23:H23"/>
    <mergeCell ref="A23:A24"/>
    <mergeCell ref="B23:B24"/>
    <mergeCell ref="C23:C24"/>
    <mergeCell ref="D23:D24"/>
    <mergeCell ref="E23:E24"/>
    <mergeCell ref="F23:F24"/>
    <mergeCell ref="A1:C1"/>
    <mergeCell ref="A5:F5"/>
    <mergeCell ref="A8:A11"/>
    <mergeCell ref="A12:F12"/>
    <mergeCell ref="A15:A20"/>
  </mergeCells>
  <pageMargins left="0.7" right="0.7" top="0.75" bottom="0.75" header="0.3" footer="0.3"/>
  <pageSetup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showGridLines="0" view="pageLayout" zoomScale="58" zoomScaleNormal="80" zoomScalePageLayoutView="58" workbookViewId="0">
      <selection activeCell="A22" sqref="A22:H22"/>
    </sheetView>
  </sheetViews>
  <sheetFormatPr defaultColWidth="9.1796875" defaultRowHeight="14.5"/>
  <cols>
    <col min="1" max="1" width="15.7265625" style="2" customWidth="1"/>
    <col min="2" max="2" width="45.453125" style="2" customWidth="1"/>
    <col min="3" max="3" width="36.54296875" style="2" customWidth="1"/>
    <col min="4" max="4" width="22.1796875" style="2" customWidth="1"/>
    <col min="5" max="5" width="40.1796875" style="2" customWidth="1"/>
    <col min="6" max="6" width="16.26953125" style="2" bestFit="1" customWidth="1"/>
    <col min="7" max="7" width="15" style="2" customWidth="1"/>
    <col min="8" max="8" width="11.7265625" style="2" customWidth="1"/>
    <col min="9" max="16384" width="9.1796875" style="2"/>
  </cols>
  <sheetData>
    <row r="1" spans="1:7" ht="28.5">
      <c r="A1" s="458" t="s">
        <v>41</v>
      </c>
      <c r="B1" s="458"/>
      <c r="C1" s="458"/>
    </row>
    <row r="2" spans="1:7" ht="18.5">
      <c r="A2" s="34">
        <v>2025</v>
      </c>
    </row>
    <row r="4" spans="1:7">
      <c r="B4" s="39"/>
      <c r="G4" s="40"/>
    </row>
    <row r="5" spans="1:7" ht="18.75" customHeight="1">
      <c r="A5" s="459" t="str">
        <f>+ARG!A5</f>
        <v>DATA INPUT FOR CALCULATIONS</v>
      </c>
      <c r="B5" s="459"/>
      <c r="C5" s="459"/>
      <c r="D5" s="459"/>
      <c r="E5" s="459"/>
      <c r="F5" s="459"/>
      <c r="G5" s="40"/>
    </row>
    <row r="6" spans="1:7" ht="15" thickBot="1">
      <c r="G6" s="40"/>
    </row>
    <row r="7" spans="1:7">
      <c r="A7" s="226"/>
      <c r="B7" s="227"/>
      <c r="C7" s="202">
        <v>2024</v>
      </c>
      <c r="D7" s="202" t="str">
        <f>+ARG!$D$7</f>
        <v>Units</v>
      </c>
      <c r="E7" s="228" t="str">
        <f>+ARG!$E$7</f>
        <v>Source</v>
      </c>
      <c r="F7" s="210"/>
      <c r="G7" s="40"/>
    </row>
    <row r="8" spans="1:7" ht="15" customHeight="1">
      <c r="A8" s="443" t="str">
        <f>+ARG!$A$8</f>
        <v>Country data</v>
      </c>
      <c r="B8" s="287" t="str">
        <f>+ARG!$B$8</f>
        <v>GDP (current prices in local currency)</v>
      </c>
      <c r="C8" s="328">
        <v>878263.28960000002</v>
      </c>
      <c r="D8" s="325" t="str">
        <f>+ARG!$D$8</f>
        <v>Billions</v>
      </c>
      <c r="E8" s="203" t="str">
        <f>+ARG!$E$8</f>
        <v>IDM, World Bank</v>
      </c>
      <c r="F8" s="1"/>
      <c r="G8" s="40"/>
    </row>
    <row r="9" spans="1:7">
      <c r="A9" s="443"/>
      <c r="B9" s="287" t="str">
        <f>+ARG!$B$9</f>
        <v>Purchasing Power Parity (PPP) conversion factor</v>
      </c>
      <c r="C9" s="328">
        <v>3.3207835550707299</v>
      </c>
      <c r="D9" s="203" t="str">
        <f>+ARG!$D$9</f>
        <v>Local currency per dollar</v>
      </c>
      <c r="E9" s="203" t="str">
        <f>+ARG!$E$9</f>
        <v>IDM, World Bank</v>
      </c>
      <c r="F9" s="1"/>
    </row>
    <row r="10" spans="1:7">
      <c r="A10" s="443"/>
      <c r="B10" s="287" t="str">
        <f>+ARG!$B$10</f>
        <v>Employment</v>
      </c>
      <c r="C10" s="328">
        <v>7575261</v>
      </c>
      <c r="D10" s="203" t="str">
        <f>+ARG!$D$10</f>
        <v>Workers</v>
      </c>
      <c r="E10" s="203" t="str">
        <f>+ARG!$E$10</f>
        <v>IDM, World Bank</v>
      </c>
      <c r="F10" s="1"/>
    </row>
    <row r="11" spans="1:7">
      <c r="A11" s="443"/>
      <c r="B11" s="287" t="str">
        <f>+ARG!$B$11</f>
        <v>GDP per worker</v>
      </c>
      <c r="C11" s="343">
        <f>+((C8*1000000/C10)/C9)</f>
        <v>34912.951064629837</v>
      </c>
      <c r="D11" s="203" t="str">
        <f>+ARG!$D$11</f>
        <v>US $ PPP</v>
      </c>
      <c r="E11" s="203" t="str">
        <f>+ARG!$E$11</f>
        <v>Own calculations</v>
      </c>
      <c r="F11" s="1"/>
    </row>
    <row r="12" spans="1:7">
      <c r="A12" s="460"/>
      <c r="B12" s="460"/>
      <c r="C12" s="460"/>
      <c r="D12" s="460"/>
      <c r="E12" s="460"/>
      <c r="F12" s="460"/>
    </row>
    <row r="13" spans="1:7">
      <c r="C13" s="4"/>
      <c r="D13" s="1"/>
      <c r="E13" s="1"/>
      <c r="F13" s="1"/>
    </row>
    <row r="14" spans="1:7">
      <c r="A14" s="313"/>
      <c r="B14" s="313"/>
      <c r="C14" s="314">
        <v>2024</v>
      </c>
      <c r="D14" s="314" t="s">
        <v>386</v>
      </c>
      <c r="E14" s="314" t="s">
        <v>255</v>
      </c>
      <c r="F14" s="210"/>
    </row>
    <row r="15" spans="1:7" ht="25.5" customHeight="1">
      <c r="A15" s="443" t="str">
        <f>+ARG!$A$15</f>
        <v>Wages</v>
      </c>
      <c r="B15" s="287" t="str">
        <f>+ARG!$B$15</f>
        <v>Monthly minimum wage</v>
      </c>
      <c r="C15" s="328">
        <v>3278.59</v>
      </c>
      <c r="D15" s="203" t="s">
        <v>42</v>
      </c>
      <c r="E15" s="288" t="s">
        <v>43</v>
      </c>
      <c r="F15" s="215"/>
    </row>
    <row r="16" spans="1:7" ht="12.75" customHeight="1">
      <c r="A16" s="443"/>
      <c r="B16" s="287" t="str">
        <f>+ARG!$B$16</f>
        <v>Monthly minimum wage (US $ PPP)</v>
      </c>
      <c r="C16" s="221">
        <f>+C15/C9</f>
        <v>987.29409659768351</v>
      </c>
      <c r="D16" s="203" t="s">
        <v>387</v>
      </c>
      <c r="E16" s="203" t="s">
        <v>229</v>
      </c>
      <c r="F16" s="214"/>
    </row>
    <row r="17" spans="1:8" ht="15.75" customHeight="1">
      <c r="A17" s="443"/>
      <c r="B17" s="287" t="str">
        <f>+ARG!$B$17</f>
        <v>Annual minimum wage (US $ PPP)</v>
      </c>
      <c r="C17" s="221">
        <f>+C16*12</f>
        <v>11847.529159172202</v>
      </c>
      <c r="D17" s="203" t="s">
        <v>387</v>
      </c>
      <c r="E17" s="203" t="s">
        <v>229</v>
      </c>
      <c r="F17" s="214"/>
    </row>
    <row r="18" spans="1:8" ht="12.75" customHeight="1">
      <c r="A18" s="443"/>
      <c r="B18" s="287" t="str">
        <f>+ARG!$B$18</f>
        <v xml:space="preserve">Monthly wage of formal wage workers (US $ PPP) </v>
      </c>
      <c r="C18" s="262">
        <f>4989.14*(1+0.0621)*(1+0.029)/C9</f>
        <v>1641.9725964674813</v>
      </c>
      <c r="D18" s="203" t="s">
        <v>387</v>
      </c>
      <c r="E18" s="203" t="s">
        <v>377</v>
      </c>
      <c r="F18" s="214"/>
    </row>
    <row r="19" spans="1:8" ht="26">
      <c r="A19" s="443"/>
      <c r="B19" s="287" t="str">
        <f>+ARG!$B$19</f>
        <v>Annual wage of formal wage workers (US $ PPP)</v>
      </c>
      <c r="C19" s="221">
        <f>C18*12</f>
        <v>19703.671157609773</v>
      </c>
      <c r="D19" s="203" t="s">
        <v>387</v>
      </c>
      <c r="E19" s="203" t="s">
        <v>377</v>
      </c>
      <c r="F19" s="214"/>
    </row>
    <row r="20" spans="1:8" ht="29">
      <c r="A20" s="443"/>
      <c r="B20" s="287" t="s">
        <v>392</v>
      </c>
      <c r="C20" s="262">
        <f>C19*0.4029</f>
        <v>7938.6091094009771</v>
      </c>
      <c r="D20" s="203" t="s">
        <v>387</v>
      </c>
      <c r="E20" s="203" t="s">
        <v>377</v>
      </c>
      <c r="F20" s="1"/>
    </row>
    <row r="21" spans="1:8">
      <c r="A21" s="178"/>
      <c r="C21" s="408"/>
      <c r="D21" s="1"/>
      <c r="E21" s="1"/>
      <c r="F21" s="1"/>
    </row>
    <row r="22" spans="1:8" ht="15" thickBot="1">
      <c r="A22" s="456" t="s">
        <v>402</v>
      </c>
      <c r="B22" s="456"/>
      <c r="C22" s="456"/>
      <c r="D22" s="456"/>
      <c r="E22" s="456"/>
      <c r="F22" s="456"/>
      <c r="G22" s="456"/>
      <c r="H22" s="456"/>
    </row>
    <row r="23" spans="1:8" ht="29.25" customHeight="1" thickBot="1">
      <c r="A23" s="447"/>
      <c r="B23" s="449" t="str">
        <f>+ARG!$B$24</f>
        <v>Category</v>
      </c>
      <c r="C23" s="451" t="str">
        <f>+ARG!$C$24</f>
        <v>Description</v>
      </c>
      <c r="D23" s="449" t="str">
        <f>+ARG!$D$24</f>
        <v>Worker's contribution</v>
      </c>
      <c r="E23" s="449" t="str">
        <f>+ARG!$E$24</f>
        <v>Employer Contribution</v>
      </c>
      <c r="F23" s="451" t="str">
        <f>+ARG!$F$24</f>
        <v>Contribution Base</v>
      </c>
      <c r="G23" s="467" t="str">
        <f>+ARG!$G$24</f>
        <v>Total contribution applied to each indicator</v>
      </c>
      <c r="H23" s="468"/>
    </row>
    <row r="24" spans="1:8" ht="15.75" customHeight="1">
      <c r="A24" s="448"/>
      <c r="B24" s="450"/>
      <c r="C24" s="452"/>
      <c r="D24" s="450"/>
      <c r="E24" s="450"/>
      <c r="F24" s="452"/>
      <c r="G24" s="295" t="str">
        <f>+ARG!$G$25</f>
        <v>ACSL</v>
      </c>
      <c r="H24" s="295" t="str">
        <f>+ARG!$H$25</f>
        <v>MCSL</v>
      </c>
    </row>
    <row r="25" spans="1:8" ht="28.5" customHeight="1">
      <c r="A25" s="443" t="str">
        <f>+ARG!$A$26</f>
        <v>Mandatory contributions</v>
      </c>
      <c r="B25" s="293" t="s">
        <v>316</v>
      </c>
      <c r="C25" s="296" t="s">
        <v>297</v>
      </c>
      <c r="D25" s="303">
        <v>1.83E-2</v>
      </c>
      <c r="E25" s="303">
        <v>3.6700000000000003E-2</v>
      </c>
      <c r="F25" s="470" t="s">
        <v>299</v>
      </c>
      <c r="G25" s="461">
        <v>0.17499999999999999</v>
      </c>
      <c r="H25" s="461">
        <v>0.17499999999999999</v>
      </c>
    </row>
    <row r="26" spans="1:8">
      <c r="A26" s="443"/>
      <c r="B26" s="294" t="s">
        <v>233</v>
      </c>
      <c r="C26" s="298" t="s">
        <v>295</v>
      </c>
      <c r="D26" s="304">
        <v>0.02</v>
      </c>
      <c r="E26" s="304">
        <v>0.04</v>
      </c>
      <c r="F26" s="470"/>
      <c r="G26" s="461"/>
      <c r="H26" s="461"/>
    </row>
    <row r="27" spans="1:8">
      <c r="A27" s="443"/>
      <c r="B27" s="476" t="s">
        <v>234</v>
      </c>
      <c r="C27" s="299" t="s">
        <v>293</v>
      </c>
      <c r="D27" s="306">
        <v>0.01</v>
      </c>
      <c r="E27" s="303">
        <v>0.03</v>
      </c>
      <c r="F27" s="470"/>
      <c r="G27" s="461"/>
      <c r="H27" s="461"/>
    </row>
    <row r="28" spans="1:8" ht="26">
      <c r="A28" s="443"/>
      <c r="B28" s="476"/>
      <c r="C28" s="299" t="s">
        <v>301</v>
      </c>
      <c r="D28" s="297"/>
      <c r="E28" s="303">
        <v>0.01</v>
      </c>
      <c r="F28" s="470"/>
      <c r="G28" s="461"/>
      <c r="H28" s="461"/>
    </row>
    <row r="29" spans="1:8" ht="26">
      <c r="A29" s="443"/>
      <c r="B29" s="476"/>
      <c r="C29" s="299" t="s">
        <v>228</v>
      </c>
      <c r="D29" s="297"/>
      <c r="E29" s="303">
        <v>0.01</v>
      </c>
      <c r="F29" s="470"/>
      <c r="G29" s="461"/>
      <c r="H29" s="461"/>
    </row>
    <row r="30" spans="1:8">
      <c r="A30"/>
      <c r="B30" s="173"/>
      <c r="C30" s="8"/>
      <c r="D30" s="8"/>
      <c r="E30" s="8"/>
      <c r="F30" s="8"/>
      <c r="G30" s="59"/>
    </row>
    <row r="31" spans="1:8">
      <c r="A31" s="8"/>
      <c r="B31" s="8"/>
      <c r="C31" s="8"/>
      <c r="D31" s="8"/>
      <c r="E31" s="8"/>
      <c r="F31" s="8"/>
    </row>
    <row r="32" spans="1:8">
      <c r="A32" s="337"/>
      <c r="B32" s="337" t="s">
        <v>44</v>
      </c>
      <c r="C32" s="337" t="s">
        <v>13</v>
      </c>
      <c r="D32" s="338" t="s">
        <v>45</v>
      </c>
      <c r="E32" s="338" t="s">
        <v>255</v>
      </c>
    </row>
    <row r="33" spans="1:6" ht="25.5" customHeight="1">
      <c r="A33" s="443" t="s">
        <v>235</v>
      </c>
      <c r="B33" s="339" t="str">
        <f>+ARG!$B$36</f>
        <v>Bonus</v>
      </c>
      <c r="C33" s="392">
        <v>60</v>
      </c>
      <c r="D33" s="374">
        <f>((($C$16/30.43)*C33))/$C$17</f>
        <v>0.16431153466973381</v>
      </c>
      <c r="E33" s="203" t="s">
        <v>325</v>
      </c>
    </row>
    <row r="34" spans="1:6" ht="26">
      <c r="A34" s="443"/>
      <c r="B34" s="342" t="str">
        <f>+ARG!$B$37</f>
        <v>Paid leave</v>
      </c>
      <c r="C34" s="327">
        <v>15</v>
      </c>
      <c r="D34" s="303">
        <f>(($C$16/30.43)*C34)/$C$17</f>
        <v>4.1077883667433451E-2</v>
      </c>
      <c r="E34" s="375" t="s">
        <v>336</v>
      </c>
    </row>
    <row r="35" spans="1:6">
      <c r="A35" s="443"/>
      <c r="B35" s="339" t="str">
        <f>+ARG!$B$38</f>
        <v>Firing notice *</v>
      </c>
      <c r="C35" s="340"/>
      <c r="D35" s="341">
        <f>(($C$16/30.43)*C35)/$C$17/5</f>
        <v>0</v>
      </c>
      <c r="E35" s="376"/>
    </row>
    <row r="36" spans="1:6">
      <c r="A36" s="443"/>
      <c r="B36" s="342" t="str">
        <f>+ARG!$B$39</f>
        <v>Severance pay *</v>
      </c>
      <c r="C36" s="327">
        <v>150</v>
      </c>
      <c r="D36" s="297">
        <f>(($C$16/30.43)*C36)/$C$17/5</f>
        <v>8.2155767334866903E-2</v>
      </c>
      <c r="E36" s="377" t="s">
        <v>330</v>
      </c>
    </row>
    <row r="37" spans="1:6" ht="15" customHeight="1">
      <c r="A37" s="444" t="s">
        <v>237</v>
      </c>
      <c r="B37" s="444"/>
      <c r="C37" s="444"/>
      <c r="D37" s="444"/>
      <c r="E37" s="444"/>
      <c r="F37" s="444"/>
    </row>
    <row r="38" spans="1:6">
      <c r="E38" s="6"/>
    </row>
    <row r="39" spans="1:6">
      <c r="E39" s="40"/>
    </row>
    <row r="40" spans="1:6">
      <c r="B40" s="1"/>
      <c r="C40" s="1"/>
    </row>
    <row r="41" spans="1:6">
      <c r="B41" s="1"/>
      <c r="C41" s="7"/>
    </row>
    <row r="42" spans="1:6">
      <c r="C42" s="3"/>
    </row>
    <row r="43" spans="1:6">
      <c r="C43" s="3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</sheetData>
  <mergeCells count="20">
    <mergeCell ref="A22:H22"/>
    <mergeCell ref="A1:C1"/>
    <mergeCell ref="A5:F5"/>
    <mergeCell ref="A8:A11"/>
    <mergeCell ref="A12:F12"/>
    <mergeCell ref="A15:A20"/>
    <mergeCell ref="A33:A36"/>
    <mergeCell ref="A37:F37"/>
    <mergeCell ref="G23:H23"/>
    <mergeCell ref="A25:A29"/>
    <mergeCell ref="G25:G29"/>
    <mergeCell ref="H25:H29"/>
    <mergeCell ref="A23:A24"/>
    <mergeCell ref="B23:B24"/>
    <mergeCell ref="C23:C24"/>
    <mergeCell ref="D23:D24"/>
    <mergeCell ref="E23:E24"/>
    <mergeCell ref="F23:F24"/>
    <mergeCell ref="F25:F29"/>
    <mergeCell ref="B27:B29"/>
  </mergeCells>
  <pageMargins left="0.37916666666666665" right="0.7" top="0.75" bottom="0.75" header="0.3" footer="0.3"/>
  <pageSetup scale="5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35babc-1b7d-458e-b70a-785cd1e69e80">
      <Terms xmlns="http://schemas.microsoft.com/office/infopath/2007/PartnerControls"/>
    </lcf76f155ced4ddcb4097134ff3c332f>
    <TaxCatchAll xmlns="8def057d-fd38-4210-80f2-2fc599abe2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482830C62554BA19956D18D661ACD" ma:contentTypeVersion="13" ma:contentTypeDescription="Create a new document." ma:contentTypeScope="" ma:versionID="e981f3d23230bf14b3a614ee4c2e55b5">
  <xsd:schema xmlns:xsd="http://www.w3.org/2001/XMLSchema" xmlns:xs="http://www.w3.org/2001/XMLSchema" xmlns:p="http://schemas.microsoft.com/office/2006/metadata/properties" xmlns:ns2="2335babc-1b7d-458e-b70a-785cd1e69e80" xmlns:ns3="8def057d-fd38-4210-80f2-2fc599abe2c1" targetNamespace="http://schemas.microsoft.com/office/2006/metadata/properties" ma:root="true" ma:fieldsID="a7b2845ee428d10d960adb1ca4a9d705" ns2:_="" ns3:_="">
    <xsd:import namespace="2335babc-1b7d-458e-b70a-785cd1e69e80"/>
    <xsd:import namespace="8def057d-fd38-4210-80f2-2fc599abe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5babc-1b7d-458e-b70a-785cd1e6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f057d-fd38-4210-80f2-2fc599abe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8c5717-f1da-4198-a778-e736e8298d49}" ma:internalName="TaxCatchAll" ma:showField="CatchAllData" ma:web="8def057d-fd38-4210-80f2-2fc599abe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4F4B7C-2D24-4F55-A946-6E53C828251B}">
  <ds:schemaRefs>
    <ds:schemaRef ds:uri="http://schemas.microsoft.com/office/2006/documentManagement/types"/>
    <ds:schemaRef ds:uri="2335babc-1b7d-458e-b70a-785cd1e69e80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def057d-fd38-4210-80f2-2fc599abe2c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5025EC-8CAF-4C94-A5A8-909EB400A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73660-B31A-4C27-8EFC-6424D4911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35babc-1b7d-458e-b70a-785cd1e69e80"/>
    <ds:schemaRef ds:uri="8def057d-fd38-4210-80f2-2fc599abe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ARG</vt:lpstr>
      <vt:lpstr>BOL</vt:lpstr>
      <vt:lpstr>BRA</vt:lpstr>
      <vt:lpstr>CHL</vt:lpstr>
      <vt:lpstr>COL</vt:lpstr>
      <vt:lpstr>CRI</vt:lpstr>
      <vt:lpstr>DOM</vt:lpstr>
      <vt:lpstr>ECU</vt:lpstr>
      <vt:lpstr>GTM</vt:lpstr>
      <vt:lpstr>HND</vt:lpstr>
      <vt:lpstr>JAM</vt:lpstr>
      <vt:lpstr>MEX</vt:lpstr>
      <vt:lpstr>NIC</vt:lpstr>
      <vt:lpstr>PAN</vt:lpstr>
      <vt:lpstr>PRY</vt:lpstr>
      <vt:lpstr>PER</vt:lpstr>
      <vt:lpstr>SLV</vt:lpstr>
      <vt:lpstr>URY</vt:lpstr>
      <vt:lpstr>VEN</vt:lpstr>
      <vt:lpstr>TTO</vt:lpstr>
      <vt:lpstr>Resumen</vt:lpstr>
      <vt:lpstr>2.7</vt:lpstr>
      <vt:lpstr>2.8</vt:lpstr>
      <vt:lpstr>2.9</vt:lpstr>
      <vt:lpstr>2.10</vt:lpstr>
      <vt:lpstr>4.5</vt:lpstr>
    </vt:vector>
  </TitlesOfParts>
  <Manager/>
  <Company>Inter-American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IADB;AURIM@IADB.ORG</dc:creator>
  <cp:keywords/>
  <dc:description/>
  <cp:lastModifiedBy>Minaya Auri Melissa</cp:lastModifiedBy>
  <cp:revision/>
  <dcterms:created xsi:type="dcterms:W3CDTF">2015-10-13T18:29:28Z</dcterms:created>
  <dcterms:modified xsi:type="dcterms:W3CDTF">2026-02-26T15:06:22Z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0x010100FE4482830C62554BA19956D18D661ACD</vt:lpwstr>
  </property>
  <property fmtid="{D5CDD505-2E9C-101B-9397-08002B2CF9AE}" pid="3" name="MediaServiceImageTags">
    <vt:lpwstr/>
  </property>
</Properties>
</file>